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9.xml" ContentType="application/vnd.openxmlformats-officedocument.spreadsheetml.comments+xml"/>
  <Override PartName="/xl/drawings/drawing14.xml" ContentType="application/vnd.openxmlformats-officedocument.drawing+xml"/>
  <Override PartName="/xl/comments10.xml" ContentType="application/vnd.openxmlformats-officedocument.spreadsheetml.comments+xml"/>
  <Override PartName="/xl/drawings/drawing15.xml" ContentType="application/vnd.openxmlformats-officedocument.drawing+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reyesaja\OneDrive - laprevisora\Backup Jason\2025\08. AGOSTO\"/>
    </mc:Choice>
  </mc:AlternateContent>
  <xr:revisionPtr revIDLastSave="0" documentId="13_ncr:1_{2820E719-9830-45CD-8956-F521AFD5BF67}" xr6:coauthVersionLast="47" xr6:coauthVersionMax="47" xr10:uidLastSave="{00000000-0000-0000-0000-000000000000}"/>
  <bookViews>
    <workbookView xWindow="20" yWindow="20" windowWidth="19180" windowHeight="10180" tabRatio="727" activeTab="3" xr2:uid="{00000000-000D-0000-FFFF-FFFF00000000}"/>
  </bookViews>
  <sheets>
    <sheet name="INICIO" sheetId="18" r:id="rId1"/>
    <sheet name="EJECUCIÓN" sheetId="22" state="hidden" r:id="rId2"/>
    <sheet name="TABLERO DE CONTROL" sheetId="21" state="hidden" r:id="rId3"/>
    <sheet name="EJECUCIÓN I TRIM" sheetId="24" r:id="rId4"/>
    <sheet name="01. SECTORIAL" sheetId="2" r:id="rId5"/>
    <sheet name="01. INSTITUCIONAL" sheetId="13" r:id="rId6"/>
    <sheet name="02. PINAR" sheetId="12" r:id="rId7"/>
    <sheet name="03. PAA" sheetId="15" r:id="rId8"/>
    <sheet name="06. PETH" sheetId="16" r:id="rId9"/>
    <sheet name="07. PIC" sheetId="9" r:id="rId10"/>
    <sheet name="08. PII" sheetId="19" r:id="rId11"/>
    <sheet name="09. PSST" sheetId="7" r:id="rId12"/>
    <sheet name="10 PAAC" sheetId="17" r:id="rId13"/>
    <sheet name="10.PETI" sheetId="23" r:id="rId14"/>
    <sheet name="12. PTRSPI" sheetId="6" r:id="rId15"/>
    <sheet name="Hoja1" sheetId="3" state="hidden" r:id="rId16"/>
    <sheet name="13.PSPI" sheetId="8" r:id="rId17"/>
  </sheets>
  <definedNames>
    <definedName name="_xlnm._FilterDatabase" localSheetId="5" hidden="1">'01. INSTITUCIONAL'!$D$12:$I$53</definedName>
    <definedName name="_xlnm._FilterDatabase" localSheetId="4" hidden="1">'01. SECTORIAL'!$A$12:$AH$29</definedName>
    <definedName name="_xlnm._FilterDatabase" localSheetId="6" hidden="1">'02. PINAR'!$A$13:$AI$13</definedName>
    <definedName name="_xlnm._FilterDatabase" localSheetId="7" hidden="1">'03. PAA'!$A$11:$S$414</definedName>
    <definedName name="_xlnm._FilterDatabase" localSheetId="9" hidden="1">'07. PIC'!$A$13:$AO$13</definedName>
    <definedName name="_xlnm._FilterDatabase" localSheetId="11" hidden="1">'09. PSST'!$A$1:$AK$83</definedName>
    <definedName name="_xlnm._FilterDatabase" localSheetId="12" hidden="1">'10 PAAC'!$C$39:$AE$95</definedName>
    <definedName name="_xlnm._FilterDatabase" localSheetId="16" hidden="1">'13.PSPI'!$A$13:$AH$21</definedName>
    <definedName name="Acciones_Categoría_3">#REF!</definedName>
    <definedName name="Admin">#REF!</definedName>
    <definedName name="Agricultura" localSheetId="13">#REF!</definedName>
    <definedName name="Agricultura" localSheetId="0">#REF!</definedName>
    <definedName name="Agricultura" localSheetId="2">#REF!</definedName>
    <definedName name="Agricultura">#REF!</definedName>
    <definedName name="Agricultura_y_Desarrollo_Rural" localSheetId="13">#REF!</definedName>
    <definedName name="Agricultura_y_Desarrollo_Rural" localSheetId="0">#REF!</definedName>
    <definedName name="Agricultura_y_Desarrollo_Rural" localSheetId="2">#REF!</definedName>
    <definedName name="Agricultura_y_Desarrollo_Rural">#REF!</definedName>
    <definedName name="Ambiental">#REF!</definedName>
    <definedName name="ambiente" localSheetId="13">#REF!</definedName>
    <definedName name="ambiente" localSheetId="0">#REF!</definedName>
    <definedName name="ambiente" localSheetId="2">#REF!</definedName>
    <definedName name="ambiente">#REF!</definedName>
    <definedName name="Ambiente_y_Desarrollo_Sostenible" localSheetId="13">#REF!</definedName>
    <definedName name="Ambiente_y_Desarrollo_Sostenible" localSheetId="0">#REF!</definedName>
    <definedName name="Ambiente_y_Desarrollo_Sostenible" localSheetId="2">#REF!</definedName>
    <definedName name="Ambiente_y_Desarrollo_Sostenible">#REF!</definedName>
    <definedName name="_xlnm.Print_Area" localSheetId="5">'01. INSTITUCIONAL'!$A$1:$AK$54</definedName>
    <definedName name="_xlnm.Print_Area" localSheetId="4">'01. SECTORIAL'!$A$1:$AH$34</definedName>
    <definedName name="_xlnm.Print_Area" localSheetId="6">'02. PINAR'!$A$1:$O$29</definedName>
    <definedName name="_xlnm.Print_Area" localSheetId="7">'03. PAA'!$A$1:$Z$523</definedName>
    <definedName name="_xlnm.Print_Area" localSheetId="8">'06. PETH'!$A$1:$N$22</definedName>
    <definedName name="_xlnm.Print_Area" localSheetId="9">'07. PIC'!$A$1:$AO$47</definedName>
    <definedName name="_xlnm.Print_Area" localSheetId="10">'08. PII'!$A$1:$O$32</definedName>
    <definedName name="_xlnm.Print_Area" localSheetId="11">'09. PSST'!$A$1:$Q$84</definedName>
    <definedName name="_xlnm.Print_Area" localSheetId="12">'10 PAAC'!$A$1:$AE$162</definedName>
    <definedName name="_xlnm.Print_Area" localSheetId="13">'10.PETI'!$A$1:$AJ$37</definedName>
    <definedName name="_xlnm.Print_Area" localSheetId="0">INICIO!$A$1:$MS$80</definedName>
    <definedName name="_xlnm.Print_Area" localSheetId="2">'TABLERO DE CONTROL'!$A$1:$EI$77</definedName>
    <definedName name="Ciencia__Tecnología_e_innovación" localSheetId="13">#REF!</definedName>
    <definedName name="Ciencia__Tecnología_e_innovación" localSheetId="0">#REF!</definedName>
    <definedName name="Ciencia__Tecnología_e_innovación" localSheetId="2">#REF!</definedName>
    <definedName name="Ciencia__Tecnología_e_innovación">#REF!</definedName>
    <definedName name="clases1">#REF!</definedName>
    <definedName name="Comercio__Industria_y_Turismo" localSheetId="13">#REF!</definedName>
    <definedName name="Comercio__Industria_y_Turismo" localSheetId="0">#REF!</definedName>
    <definedName name="Comercio__Industria_y_Turismo" localSheetId="2">#REF!</definedName>
    <definedName name="Comercio__Industria_y_Turismo">#REF!</definedName>
    <definedName name="fuente">Hoja1!$C$4:$C$6</definedName>
    <definedName name="inversión">Hoja1!$F$4:$F$11</definedName>
    <definedName name="nindicador">#REF!</definedName>
    <definedName name="nivel">#REF!</definedName>
    <definedName name="Nombre" localSheetId="13">#REF!</definedName>
    <definedName name="Nombre" localSheetId="0">#REF!</definedName>
    <definedName name="Nombre" localSheetId="2">#REF!</definedName>
    <definedName name="Nombre">#REF!</definedName>
    <definedName name="objetivo">Hoja1!$I$4:$I$13</definedName>
    <definedName name="PF" localSheetId="13">#REF!</definedName>
    <definedName name="PF" localSheetId="0">#REF!</definedName>
    <definedName name="PF" localSheetId="2">#REF!</definedName>
    <definedName name="PF">#REF!</definedName>
    <definedName name="Simulador">#REF!</definedName>
    <definedName name="Tipo_acumulación">#REF!</definedName>
    <definedName name="Tipo_indicador">#REF!</definedName>
    <definedName name="Tipos">#REF!</definedName>
    <definedName name="vice">#REF!</definedName>
    <definedName name="vpauto" localSheetId="13">#REF!</definedName>
    <definedName name="vpauto" localSheetId="0">#REF!</definedName>
    <definedName name="vpauto" localSheetId="2">#REF!</definedName>
    <definedName name="vpaut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24" l="1"/>
  <c r="E13" i="24"/>
  <c r="E11" i="24"/>
  <c r="E9" i="24"/>
  <c r="E7" i="24"/>
  <c r="E5" i="24"/>
  <c r="I3" i="24"/>
  <c r="F3" i="24"/>
  <c r="H3" i="24" s="1"/>
  <c r="E3" i="24"/>
  <c r="J35" i="23" l="1"/>
  <c r="J34" i="23"/>
  <c r="J36" i="23" s="1"/>
  <c r="AC32" i="23"/>
  <c r="Q32" i="23"/>
  <c r="AC31" i="23"/>
  <c r="Q31" i="23"/>
  <c r="AC30" i="23"/>
  <c r="Y30" i="23"/>
  <c r="U30" i="23"/>
  <c r="Q30" i="23"/>
  <c r="AC29" i="23"/>
  <c r="Y29" i="23"/>
  <c r="U29" i="23"/>
  <c r="Q29" i="23"/>
  <c r="AE28" i="23"/>
  <c r="AD28" i="23"/>
  <c r="AC28" i="23"/>
  <c r="AB28" i="23"/>
  <c r="AA28" i="23"/>
  <c r="Z28" i="23"/>
  <c r="Y28" i="23"/>
  <c r="X28" i="23"/>
  <c r="W28" i="23"/>
  <c r="V28" i="23"/>
  <c r="U28" i="23"/>
  <c r="T28" i="23"/>
  <c r="S28" i="23"/>
  <c r="R28" i="23"/>
  <c r="Q28" i="23"/>
  <c r="P28" i="23"/>
  <c r="AE27" i="23"/>
  <c r="AD27" i="23"/>
  <c r="AC27" i="23"/>
  <c r="AB27" i="23"/>
  <c r="AA27" i="23"/>
  <c r="Z27" i="23"/>
  <c r="Y27" i="23"/>
  <c r="X27" i="23"/>
  <c r="W27" i="23"/>
  <c r="V27" i="23"/>
  <c r="U27" i="23"/>
  <c r="T27" i="23"/>
  <c r="S27" i="23"/>
  <c r="R27" i="23"/>
  <c r="Q27" i="23"/>
  <c r="P27" i="23"/>
  <c r="AC26" i="23"/>
  <c r="AI6" i="23"/>
  <c r="AF6" i="23"/>
  <c r="X6" i="23"/>
  <c r="Q6" i="23"/>
  <c r="J6" i="23"/>
  <c r="G6" i="23"/>
  <c r="R98" i="17" l="1"/>
  <c r="R96" i="17"/>
  <c r="R68" i="17"/>
  <c r="R70" i="17"/>
  <c r="R72" i="17"/>
  <c r="R74" i="17"/>
  <c r="R76" i="17"/>
  <c r="R80" i="17"/>
  <c r="R82" i="17"/>
  <c r="R84" i="17"/>
  <c r="R86" i="17"/>
  <c r="R25" i="19" l="1"/>
  <c r="Q25" i="19"/>
  <c r="R24" i="19"/>
  <c r="Q24" i="19"/>
  <c r="R27" i="19"/>
  <c r="Q27" i="19"/>
  <c r="Q26" i="19" s="1"/>
  <c r="R26" i="19"/>
  <c r="R29" i="19"/>
  <c r="Q29" i="19"/>
  <c r="R28" i="19"/>
  <c r="X27" i="9"/>
  <c r="W27" i="9"/>
  <c r="AD26" i="9"/>
  <c r="X26" i="9"/>
  <c r="W26" i="9" s="1"/>
  <c r="X29" i="9"/>
  <c r="AD28" i="9" s="1"/>
  <c r="X28" i="9" s="1"/>
  <c r="W28" i="9" s="1"/>
  <c r="W29" i="9"/>
  <c r="X31" i="9"/>
  <c r="AD30" i="9" s="1"/>
  <c r="X30" i="9" s="1"/>
  <c r="W31" i="9"/>
  <c r="X33" i="9"/>
  <c r="AD32" i="9" s="1"/>
  <c r="X32" i="9" s="1"/>
  <c r="W33" i="9"/>
  <c r="X35" i="9"/>
  <c r="W35" i="9"/>
  <c r="AD34" i="9"/>
  <c r="X34" i="9" s="1"/>
  <c r="X37" i="9"/>
  <c r="AD36" i="9" s="1"/>
  <c r="X36" i="9" s="1"/>
  <c r="W37" i="9"/>
  <c r="X39" i="9"/>
  <c r="AD38" i="9" s="1"/>
  <c r="X38" i="9" s="1"/>
  <c r="W39" i="9"/>
  <c r="X41" i="9"/>
  <c r="AD40" i="9" s="1"/>
  <c r="X40" i="9" s="1"/>
  <c r="W41" i="9"/>
  <c r="X43" i="9"/>
  <c r="AD42" i="9" s="1"/>
  <c r="X42" i="9" s="1"/>
  <c r="W43" i="9"/>
  <c r="Q28" i="19" l="1"/>
  <c r="W30" i="9"/>
  <c r="W32" i="9"/>
  <c r="W34" i="9"/>
  <c r="W38" i="9"/>
  <c r="W36" i="9"/>
  <c r="W40" i="9"/>
  <c r="W42" i="9"/>
  <c r="R29" i="12"/>
  <c r="Q29" i="12"/>
  <c r="Q28" i="12" s="1"/>
  <c r="R28" i="12"/>
  <c r="R27" i="12"/>
  <c r="Q27" i="12"/>
  <c r="R26" i="12"/>
  <c r="Q26" i="12"/>
  <c r="S50" i="13" l="1"/>
  <c r="R51" i="13"/>
  <c r="S51" i="13"/>
  <c r="S49" i="13"/>
  <c r="R49" i="13"/>
  <c r="S48" i="13"/>
  <c r="S45" i="13"/>
  <c r="R45" i="13"/>
  <c r="S44" i="13"/>
  <c r="S47" i="13"/>
  <c r="R47" i="13"/>
  <c r="S46" i="13"/>
  <c r="S17" i="13"/>
  <c r="R17" i="13"/>
  <c r="S16" i="13"/>
  <c r="S43" i="13"/>
  <c r="R43" i="13"/>
  <c r="S42" i="13"/>
  <c r="R50" i="13" l="1"/>
  <c r="R44" i="13"/>
  <c r="R48" i="13"/>
  <c r="R46" i="13"/>
  <c r="R16" i="13"/>
  <c r="R42" i="13"/>
  <c r="Q23" i="2"/>
  <c r="P23" i="2"/>
  <c r="Q22" i="2"/>
  <c r="P22" i="2" s="1"/>
  <c r="AG6" i="8" l="1"/>
  <c r="V6" i="16"/>
  <c r="P6" i="6"/>
  <c r="AG6" i="2"/>
  <c r="P31" i="2"/>
  <c r="P29" i="2"/>
  <c r="P27" i="2"/>
  <c r="P25" i="2"/>
  <c r="P21" i="2"/>
  <c r="P19" i="2"/>
  <c r="P17" i="2"/>
  <c r="P15" i="2"/>
  <c r="G6" i="2" l="1"/>
  <c r="T24" i="7"/>
  <c r="Q30" i="2"/>
  <c r="P30" i="2" s="1"/>
  <c r="Q31" i="2"/>
  <c r="H6" i="15"/>
  <c r="AG7" i="22" s="1"/>
  <c r="R6" i="15"/>
  <c r="AI7" i="22" s="1"/>
  <c r="N6" i="15"/>
  <c r="AH7" i="22" s="1"/>
  <c r="AK13" i="22"/>
  <c r="AK7" i="22"/>
  <c r="AJ7" i="22"/>
  <c r="AJ6" i="7" l="1"/>
  <c r="AK10" i="22" s="1"/>
  <c r="AG6" i="7"/>
  <c r="AJ10" i="22" s="1"/>
  <c r="AD6" i="8"/>
  <c r="AJ14" i="22" s="1"/>
  <c r="AK14" i="22"/>
  <c r="AE6" i="12"/>
  <c r="AJ5" i="22" s="1"/>
  <c r="AJ12" i="22"/>
  <c r="AD6" i="2"/>
  <c r="AJ3" i="22" s="1"/>
  <c r="O6" i="2" l="1"/>
  <c r="S83" i="7"/>
  <c r="S81" i="7"/>
  <c r="S79" i="7"/>
  <c r="S77" i="7"/>
  <c r="S75" i="7"/>
  <c r="S73" i="7"/>
  <c r="S71" i="7"/>
  <c r="S69" i="7"/>
  <c r="S67" i="7"/>
  <c r="S65" i="7"/>
  <c r="S63" i="7"/>
  <c r="S61" i="7"/>
  <c r="S59" i="7"/>
  <c r="S57" i="7"/>
  <c r="S55" i="7"/>
  <c r="S53" i="7"/>
  <c r="S51" i="7"/>
  <c r="S49" i="7"/>
  <c r="S47" i="7"/>
  <c r="S45" i="7"/>
  <c r="S43" i="7"/>
  <c r="S41" i="7"/>
  <c r="S39" i="7"/>
  <c r="S37" i="7"/>
  <c r="S35" i="7"/>
  <c r="S33" i="7"/>
  <c r="S31" i="7"/>
  <c r="S29" i="7"/>
  <c r="S27" i="7"/>
  <c r="S25" i="7"/>
  <c r="S23" i="7"/>
  <c r="S21" i="7"/>
  <c r="S19" i="7"/>
  <c r="S17" i="7"/>
  <c r="S15" i="7"/>
  <c r="P6" i="16"/>
  <c r="AI6" i="22" s="1"/>
  <c r="V6" i="2"/>
  <c r="AI3" i="22" s="1"/>
  <c r="AK12" i="22"/>
  <c r="AH12" i="22"/>
  <c r="AI12" i="22"/>
  <c r="AD22" i="9"/>
  <c r="Q25" i="12"/>
  <c r="X47" i="9"/>
  <c r="AD46" i="9" s="1"/>
  <c r="X46" i="9" s="1"/>
  <c r="X45" i="9"/>
  <c r="AD44" i="9" s="1"/>
  <c r="X44" i="9" s="1"/>
  <c r="X21" i="9"/>
  <c r="AD20" i="9" s="1"/>
  <c r="X20" i="9" s="1"/>
  <c r="X19" i="9"/>
  <c r="AD18" i="9" s="1"/>
  <c r="X18" i="9" s="1"/>
  <c r="X17" i="9"/>
  <c r="AD16" i="9" s="1"/>
  <c r="X16" i="9" s="1"/>
  <c r="R16" i="19"/>
  <c r="O6" i="19"/>
  <c r="AI9" i="22" s="1"/>
  <c r="R6" i="7"/>
  <c r="AH10" i="22" s="1"/>
  <c r="Y6" i="7"/>
  <c r="AI10" i="22" s="1"/>
  <c r="V6" i="8"/>
  <c r="AI14" i="22" s="1"/>
  <c r="Q20" i="2"/>
  <c r="S90" i="17"/>
  <c r="R14" i="19"/>
  <c r="Q14" i="19" s="1"/>
  <c r="W6" i="12"/>
  <c r="AI5" i="22" s="1"/>
  <c r="O6" i="8"/>
  <c r="AH14" i="22" s="1"/>
  <c r="Q21" i="8"/>
  <c r="P21" i="8"/>
  <c r="Q20" i="8"/>
  <c r="P20" i="8" s="1"/>
  <c r="Q19" i="8"/>
  <c r="P19" i="8"/>
  <c r="Q18" i="8"/>
  <c r="Q17" i="8"/>
  <c r="P17" i="8"/>
  <c r="Q16" i="8"/>
  <c r="P16" i="8" s="1"/>
  <c r="P15" i="8"/>
  <c r="G6" i="8"/>
  <c r="V6" i="19"/>
  <c r="AK9" i="22" s="1"/>
  <c r="R31" i="19"/>
  <c r="Q31" i="19"/>
  <c r="R30" i="19"/>
  <c r="R23" i="19"/>
  <c r="Q23" i="19"/>
  <c r="R22" i="19"/>
  <c r="R21" i="19"/>
  <c r="Q21" i="19"/>
  <c r="R20" i="19"/>
  <c r="Q20" i="19" s="1"/>
  <c r="R19" i="19"/>
  <c r="Q19" i="19"/>
  <c r="R18" i="19"/>
  <c r="R17" i="19"/>
  <c r="Q17" i="19"/>
  <c r="Q15" i="19"/>
  <c r="R15" i="19"/>
  <c r="AM40" i="17"/>
  <c r="AB40" i="17"/>
  <c r="AL40" i="17" s="1"/>
  <c r="Y40" i="17"/>
  <c r="AJ40" i="17" s="1"/>
  <c r="V40" i="17"/>
  <c r="AH40" i="17"/>
  <c r="AK40" i="17"/>
  <c r="W40" i="17"/>
  <c r="AI40" i="17" s="1"/>
  <c r="R94" i="17"/>
  <c r="R92" i="17"/>
  <c r="R90" i="17"/>
  <c r="R88" i="17"/>
  <c r="P6" i="12"/>
  <c r="AH5" i="22" s="1"/>
  <c r="P18" i="8" l="1"/>
  <c r="Y90" i="17"/>
  <c r="AJ90" i="17" s="1"/>
  <c r="AB90" i="17"/>
  <c r="AL90" i="17" s="1"/>
  <c r="AC90" i="17"/>
  <c r="AM90" i="17" s="1"/>
  <c r="V90" i="17"/>
  <c r="AH90" i="17" s="1"/>
  <c r="Y80" i="17"/>
  <c r="AJ80" i="17" s="1"/>
  <c r="V80" i="17"/>
  <c r="AH80" i="17" s="1"/>
  <c r="W80" i="17"/>
  <c r="AI80" i="17" s="1"/>
  <c r="Q30" i="19"/>
  <c r="F6" i="19"/>
  <c r="Q18" i="19"/>
  <c r="Q22" i="19"/>
  <c r="XFD9" i="21"/>
  <c r="AH3" i="22"/>
  <c r="G6" i="7"/>
  <c r="Q16" i="19"/>
  <c r="I6" i="19" s="1"/>
  <c r="AG9" i="22" s="1"/>
  <c r="R66" i="17"/>
  <c r="R78" i="17" s="1"/>
  <c r="Z80" i="17"/>
  <c r="AK80" i="17" s="1"/>
  <c r="Z90" i="17"/>
  <c r="AK90" i="17" s="1"/>
  <c r="AB80" i="17"/>
  <c r="AL80" i="17" s="1"/>
  <c r="AC80" i="17"/>
  <c r="AM80" i="17" s="1"/>
  <c r="W90" i="17"/>
  <c r="AI90" i="17" s="1"/>
  <c r="T30" i="7"/>
  <c r="AH6" i="12"/>
  <c r="AK5" i="22" s="1"/>
  <c r="Z52" i="17" l="1"/>
  <c r="AK52" i="17" s="1"/>
  <c r="AK100" i="17" s="1"/>
  <c r="V52" i="17"/>
  <c r="AC52" i="17"/>
  <c r="AM52" i="17" s="1"/>
  <c r="AM100" i="17" s="1"/>
  <c r="AB52" i="17"/>
  <c r="AL52" i="17" s="1"/>
  <c r="AL100" i="17" s="1"/>
  <c r="W52" i="17"/>
  <c r="AI52" i="17" s="1"/>
  <c r="AI100" i="17" s="1"/>
  <c r="Y52" i="17"/>
  <c r="AJ52" i="17" s="1"/>
  <c r="AJ100" i="17" s="1"/>
  <c r="AK3" i="22"/>
  <c r="Q19" i="6"/>
  <c r="P19" i="6"/>
  <c r="Q18" i="6"/>
  <c r="P18" i="6" s="1"/>
  <c r="Q17" i="6"/>
  <c r="P17" i="6"/>
  <c r="Q16" i="6"/>
  <c r="P16" i="6" s="1"/>
  <c r="P15" i="6"/>
  <c r="G6" i="6"/>
  <c r="T83" i="7"/>
  <c r="T82" i="7"/>
  <c r="S82" i="7" s="1"/>
  <c r="T81" i="7"/>
  <c r="T80" i="7"/>
  <c r="S80" i="7" s="1"/>
  <c r="T79" i="7"/>
  <c r="T78" i="7"/>
  <c r="S78" i="7" s="1"/>
  <c r="T77" i="7"/>
  <c r="T76" i="7"/>
  <c r="S76" i="7" s="1"/>
  <c r="T75" i="7"/>
  <c r="T74" i="7"/>
  <c r="S74" i="7" s="1"/>
  <c r="T73" i="7"/>
  <c r="T72" i="7"/>
  <c r="S72" i="7" s="1"/>
  <c r="T71" i="7"/>
  <c r="T70" i="7"/>
  <c r="S70" i="7" s="1"/>
  <c r="T69" i="7"/>
  <c r="T68" i="7"/>
  <c r="T67" i="7"/>
  <c r="T66" i="7"/>
  <c r="S66" i="7" s="1"/>
  <c r="T65" i="7"/>
  <c r="T64" i="7"/>
  <c r="S64" i="7" s="1"/>
  <c r="T63" i="7"/>
  <c r="T62" i="7"/>
  <c r="S62" i="7" s="1"/>
  <c r="T61" i="7"/>
  <c r="T60" i="7"/>
  <c r="S60" i="7" s="1"/>
  <c r="T59" i="7"/>
  <c r="T58" i="7"/>
  <c r="S58" i="7" s="1"/>
  <c r="T57" i="7"/>
  <c r="T56" i="7"/>
  <c r="S56" i="7" s="1"/>
  <c r="T55" i="7"/>
  <c r="T54" i="7"/>
  <c r="T53" i="7"/>
  <c r="T52" i="7"/>
  <c r="S52" i="7" s="1"/>
  <c r="T51" i="7"/>
  <c r="T50" i="7"/>
  <c r="T49" i="7"/>
  <c r="T48" i="7"/>
  <c r="S48" i="7" s="1"/>
  <c r="T47" i="7"/>
  <c r="T46" i="7"/>
  <c r="T45" i="7"/>
  <c r="T44" i="7"/>
  <c r="S44" i="7" s="1"/>
  <c r="T43" i="7"/>
  <c r="T42" i="7"/>
  <c r="T41" i="7"/>
  <c r="T40" i="7"/>
  <c r="S40" i="7" s="1"/>
  <c r="T39" i="7"/>
  <c r="T38" i="7"/>
  <c r="S38" i="7" s="1"/>
  <c r="T37" i="7"/>
  <c r="T36" i="7"/>
  <c r="S36" i="7" s="1"/>
  <c r="T35" i="7"/>
  <c r="T34" i="7"/>
  <c r="S34" i="7" s="1"/>
  <c r="T33" i="7"/>
  <c r="T32" i="7"/>
  <c r="S32" i="7" s="1"/>
  <c r="T31" i="7"/>
  <c r="S30" i="7"/>
  <c r="T29" i="7"/>
  <c r="T28" i="7"/>
  <c r="S28" i="7" s="1"/>
  <c r="T27" i="7"/>
  <c r="T26" i="7"/>
  <c r="S26" i="7" s="1"/>
  <c r="T25" i="7"/>
  <c r="S24" i="7"/>
  <c r="T23" i="7"/>
  <c r="T22" i="7"/>
  <c r="S22" i="7" s="1"/>
  <c r="T21" i="7"/>
  <c r="T20" i="7"/>
  <c r="S20" i="7" s="1"/>
  <c r="T19" i="7"/>
  <c r="T18" i="7"/>
  <c r="S18" i="7" s="1"/>
  <c r="T17" i="7"/>
  <c r="T16" i="7"/>
  <c r="S16" i="7" s="1"/>
  <c r="W47" i="9"/>
  <c r="W46" i="9"/>
  <c r="W45" i="9"/>
  <c r="W44" i="9" s="1"/>
  <c r="X25" i="9"/>
  <c r="AD24" i="9" s="1"/>
  <c r="W25" i="9"/>
  <c r="W23" i="9"/>
  <c r="X22" i="9"/>
  <c r="W22" i="9" s="1"/>
  <c r="W21" i="9"/>
  <c r="W20" i="9" s="1"/>
  <c r="W19" i="9"/>
  <c r="W17" i="9"/>
  <c r="W16" i="9" s="1"/>
  <c r="W15" i="9"/>
  <c r="AK6" i="22"/>
  <c r="G6" i="16"/>
  <c r="Q21" i="16"/>
  <c r="P21" i="16"/>
  <c r="Q20" i="16"/>
  <c r="P20" i="16" s="1"/>
  <c r="Q19" i="16"/>
  <c r="P19" i="16"/>
  <c r="Q18" i="16"/>
  <c r="P18" i="16" s="1"/>
  <c r="Q17" i="16"/>
  <c r="P17" i="16"/>
  <c r="Q16" i="16"/>
  <c r="P16" i="16" s="1"/>
  <c r="P15" i="16"/>
  <c r="J39" i="16"/>
  <c r="J38" i="16"/>
  <c r="J40" i="16" s="1"/>
  <c r="Q15" i="16"/>
  <c r="Q14" i="16"/>
  <c r="P14" i="16" s="1"/>
  <c r="R25" i="12"/>
  <c r="R24" i="12"/>
  <c r="Q24" i="12" s="1"/>
  <c r="R23" i="12"/>
  <c r="Q23" i="12"/>
  <c r="R22" i="12"/>
  <c r="R21" i="12"/>
  <c r="Q21" i="12"/>
  <c r="R20" i="12"/>
  <c r="Q20" i="12" s="1"/>
  <c r="R19" i="12"/>
  <c r="Q19" i="12"/>
  <c r="R18" i="12"/>
  <c r="Q18" i="12" s="1"/>
  <c r="R17" i="12"/>
  <c r="Q17" i="12"/>
  <c r="R16" i="12"/>
  <c r="Q15" i="12"/>
  <c r="S41" i="13"/>
  <c r="R41" i="13"/>
  <c r="S40" i="13"/>
  <c r="S39" i="13"/>
  <c r="R39" i="13"/>
  <c r="S38" i="13"/>
  <c r="S37" i="13"/>
  <c r="R37" i="13"/>
  <c r="S36" i="13"/>
  <c r="R15" i="13"/>
  <c r="S15" i="13"/>
  <c r="S14" i="13"/>
  <c r="J43" i="12"/>
  <c r="J44" i="12" s="1"/>
  <c r="J42" i="12"/>
  <c r="R15" i="12"/>
  <c r="R14" i="12"/>
  <c r="J63" i="9"/>
  <c r="J62" i="9"/>
  <c r="AH48" i="9"/>
  <c r="X15" i="9"/>
  <c r="AD14" i="9" s="1"/>
  <c r="J39" i="8"/>
  <c r="J38" i="8"/>
  <c r="Q15" i="8"/>
  <c r="Q14" i="8"/>
  <c r="T15" i="7"/>
  <c r="T14" i="7"/>
  <c r="J37" i="6"/>
  <c r="J36" i="6"/>
  <c r="Q15" i="6"/>
  <c r="Q14" i="6"/>
  <c r="P14" i="6" s="1"/>
  <c r="Q16" i="2"/>
  <c r="Q17" i="2"/>
  <c r="Q18" i="2"/>
  <c r="P18" i="2" s="1"/>
  <c r="Q19" i="2"/>
  <c r="Q21" i="2"/>
  <c r="Q24" i="2"/>
  <c r="Q25" i="2"/>
  <c r="Q26" i="2"/>
  <c r="Q27" i="2"/>
  <c r="Q28" i="2"/>
  <c r="Q29" i="2"/>
  <c r="Q14" i="2"/>
  <c r="P14" i="2" s="1"/>
  <c r="Q15" i="2"/>
  <c r="P20" i="2"/>
  <c r="G6" i="9" l="1"/>
  <c r="P6" i="9"/>
  <c r="AI8" i="22" s="1"/>
  <c r="AH52" i="17"/>
  <c r="AH100" i="17" s="1"/>
  <c r="AM101" i="17"/>
  <c r="R38" i="13"/>
  <c r="G6" i="13"/>
  <c r="R36" i="13"/>
  <c r="R40" i="13"/>
  <c r="J6" i="6"/>
  <c r="AG13" i="22" s="1"/>
  <c r="J6" i="16"/>
  <c r="AG6" i="22" s="1"/>
  <c r="P26" i="2"/>
  <c r="P16" i="2"/>
  <c r="P24" i="2"/>
  <c r="X24" i="9"/>
  <c r="W24" i="9" s="1"/>
  <c r="AK101" i="17"/>
  <c r="S42" i="7"/>
  <c r="S46" i="7"/>
  <c r="S50" i="7"/>
  <c r="S54" i="7"/>
  <c r="S68" i="7"/>
  <c r="Q22" i="12"/>
  <c r="Q16" i="12"/>
  <c r="X27" i="8"/>
  <c r="AA28" i="8" s="1"/>
  <c r="R23" i="8"/>
  <c r="X23" i="8"/>
  <c r="AA24" i="8" s="1"/>
  <c r="R27" i="8"/>
  <c r="AC27" i="8"/>
  <c r="P14" i="8"/>
  <c r="J40" i="8"/>
  <c r="J38" i="6"/>
  <c r="AB25" i="6"/>
  <c r="X21" i="6"/>
  <c r="AA22" i="6" s="1"/>
  <c r="AC25" i="6"/>
  <c r="X25" i="6"/>
  <c r="AA26" i="6" s="1"/>
  <c r="AA31" i="6" s="1"/>
  <c r="R25" i="6"/>
  <c r="R21" i="6"/>
  <c r="AG12" i="22"/>
  <c r="S14" i="7"/>
  <c r="W18" i="9"/>
  <c r="AH51" i="9"/>
  <c r="AJ51" i="9"/>
  <c r="AE51" i="9"/>
  <c r="AH52" i="9" s="1"/>
  <c r="AH57" i="9" s="1"/>
  <c r="Y51" i="9"/>
  <c r="J64" i="9"/>
  <c r="AC27" i="16"/>
  <c r="AC23" i="16"/>
  <c r="R23" i="16"/>
  <c r="X23" i="16"/>
  <c r="AA24" i="16" s="1"/>
  <c r="X27" i="16"/>
  <c r="AA28" i="16" s="1"/>
  <c r="S23" i="16"/>
  <c r="Y23" i="16"/>
  <c r="S27" i="16"/>
  <c r="Y27" i="16"/>
  <c r="T23" i="16"/>
  <c r="W24" i="16" s="1"/>
  <c r="Z23" i="16"/>
  <c r="T27" i="16"/>
  <c r="W28" i="16" s="1"/>
  <c r="Z27" i="16"/>
  <c r="AA23" i="16"/>
  <c r="R27" i="16"/>
  <c r="O23" i="16"/>
  <c r="O24" i="16" s="1"/>
  <c r="U23" i="16"/>
  <c r="O27" i="16"/>
  <c r="O28" i="16" s="1"/>
  <c r="O29" i="16" s="1"/>
  <c r="U27" i="16"/>
  <c r="AA27" i="16"/>
  <c r="P23" i="16"/>
  <c r="S24" i="16" s="1"/>
  <c r="V23" i="16"/>
  <c r="AB23" i="16"/>
  <c r="P27" i="16"/>
  <c r="S28" i="16" s="1"/>
  <c r="V27" i="16"/>
  <c r="AB27" i="16"/>
  <c r="Q23" i="16"/>
  <c r="W23" i="16"/>
  <c r="Q27" i="16"/>
  <c r="W27" i="16"/>
  <c r="AD31" i="12"/>
  <c r="Y31" i="12"/>
  <c r="AB32" i="12" s="1"/>
  <c r="G6" i="12"/>
  <c r="S31" i="12"/>
  <c r="P40" i="12"/>
  <c r="T31" i="12"/>
  <c r="Z31" i="12"/>
  <c r="O31" i="12"/>
  <c r="J31" i="12" s="1"/>
  <c r="P31" i="12"/>
  <c r="P32" i="12" s="1"/>
  <c r="P33" i="12" s="1"/>
  <c r="V31" i="12"/>
  <c r="AB31" i="12"/>
  <c r="Q31" i="12"/>
  <c r="T32" i="12" s="1"/>
  <c r="W31" i="12"/>
  <c r="AC31" i="12"/>
  <c r="U31" i="12"/>
  <c r="X32" i="12" s="1"/>
  <c r="AA31" i="12"/>
  <c r="Q14" i="12"/>
  <c r="J6" i="12" s="1"/>
  <c r="AG5" i="22" s="1"/>
  <c r="R31" i="12"/>
  <c r="X31" i="12"/>
  <c r="R14" i="13"/>
  <c r="O36" i="12"/>
  <c r="Z51" i="9"/>
  <c r="AF51" i="9"/>
  <c r="O51" i="9"/>
  <c r="J51" i="9" s="1"/>
  <c r="AA51" i="9"/>
  <c r="AD52" i="9" s="1"/>
  <c r="AG51" i="9"/>
  <c r="V48" i="9"/>
  <c r="V51" i="9"/>
  <c r="V52" i="9" s="1"/>
  <c r="V53" i="9" s="1"/>
  <c r="AB51" i="9"/>
  <c r="Z48" i="9"/>
  <c r="W51" i="9"/>
  <c r="Z52" i="9" s="1"/>
  <c r="AC51" i="9"/>
  <c r="AI51" i="9"/>
  <c r="AD48" i="9"/>
  <c r="X51" i="9"/>
  <c r="AD51" i="9"/>
  <c r="S23" i="8"/>
  <c r="Y23" i="8"/>
  <c r="S27" i="8"/>
  <c r="Y27" i="8"/>
  <c r="N23" i="8"/>
  <c r="T23" i="8"/>
  <c r="W24" i="8" s="1"/>
  <c r="Z23" i="8"/>
  <c r="N27" i="8"/>
  <c r="J27" i="8" s="1"/>
  <c r="T27" i="8"/>
  <c r="W28" i="8" s="1"/>
  <c r="Z27" i="8"/>
  <c r="O23" i="8"/>
  <c r="O24" i="8" s="1"/>
  <c r="U23" i="8"/>
  <c r="AA23" i="8"/>
  <c r="O27" i="8"/>
  <c r="O28" i="8" s="1"/>
  <c r="O29" i="8" s="1"/>
  <c r="U27" i="8"/>
  <c r="AA27" i="8"/>
  <c r="P23" i="8"/>
  <c r="S24" i="8" s="1"/>
  <c r="V23" i="8"/>
  <c r="AB23" i="8"/>
  <c r="P27" i="8"/>
  <c r="S28" i="8" s="1"/>
  <c r="V27" i="8"/>
  <c r="AB27" i="8"/>
  <c r="Q23" i="8"/>
  <c r="W23" i="8"/>
  <c r="AC23" i="8"/>
  <c r="Q27" i="8"/>
  <c r="W27" i="8"/>
  <c r="S21" i="6"/>
  <c r="S25" i="6"/>
  <c r="Y25" i="6"/>
  <c r="T21" i="6"/>
  <c r="W22" i="6" s="1"/>
  <c r="Z21" i="6"/>
  <c r="T25" i="6"/>
  <c r="W26" i="6" s="1"/>
  <c r="Z25" i="6"/>
  <c r="O21" i="6"/>
  <c r="O22" i="6" s="1"/>
  <c r="U21" i="6"/>
  <c r="AA21" i="6"/>
  <c r="O25" i="6"/>
  <c r="O26" i="6" s="1"/>
  <c r="O27" i="6" s="1"/>
  <c r="U25" i="6"/>
  <c r="AA25" i="6"/>
  <c r="P21" i="6"/>
  <c r="S22" i="6" s="1"/>
  <c r="V21" i="6"/>
  <c r="AB21" i="6"/>
  <c r="P25" i="6"/>
  <c r="S26" i="6" s="1"/>
  <c r="V25" i="6"/>
  <c r="Y21" i="6"/>
  <c r="Q21" i="6"/>
  <c r="W21" i="6"/>
  <c r="AC21" i="6"/>
  <c r="Q25" i="6"/>
  <c r="W25" i="6"/>
  <c r="P28" i="2"/>
  <c r="AA33" i="16" l="1"/>
  <c r="J6" i="8"/>
  <c r="AG14" i="22" s="1"/>
  <c r="I6" i="2"/>
  <c r="AI101" i="17"/>
  <c r="AI102" i="17" s="1"/>
  <c r="AI11" i="22" s="1"/>
  <c r="AK102" i="17"/>
  <c r="AJ11" i="22" s="1"/>
  <c r="AM102" i="17"/>
  <c r="AK11" i="22" s="1"/>
  <c r="AI6" i="13"/>
  <c r="AK4" i="22" s="1"/>
  <c r="X6" i="13"/>
  <c r="AI4" i="22" s="1"/>
  <c r="AI2" i="22" s="1"/>
  <c r="AF6" i="13"/>
  <c r="AJ4" i="22" s="1"/>
  <c r="AJ2" i="22" s="1"/>
  <c r="J6" i="7"/>
  <c r="AG10" i="22" s="1"/>
  <c r="AA33" i="8"/>
  <c r="Q6" i="13"/>
  <c r="AH4" i="22" s="1"/>
  <c r="AH2" i="22" s="1"/>
  <c r="K6" i="13"/>
  <c r="AG4" i="22" s="1"/>
  <c r="X37" i="12"/>
  <c r="AA29" i="8"/>
  <c r="AA30" i="8" s="1"/>
  <c r="W31" i="6"/>
  <c r="J25" i="6"/>
  <c r="AA27" i="6"/>
  <c r="AA28" i="6" s="1"/>
  <c r="AH53" i="9"/>
  <c r="AH54" i="9" s="1"/>
  <c r="AD57" i="9"/>
  <c r="J27" i="16"/>
  <c r="AA29" i="16"/>
  <c r="AA30" i="16" s="1"/>
  <c r="O35" i="16"/>
  <c r="AA34" i="16"/>
  <c r="O25" i="16"/>
  <c r="W34" i="16"/>
  <c r="O33" i="16"/>
  <c r="AA35" i="16"/>
  <c r="AA36" i="16"/>
  <c r="S34" i="16"/>
  <c r="O36" i="16"/>
  <c r="O34" i="16"/>
  <c r="AA25" i="16"/>
  <c r="S33" i="16"/>
  <c r="W33" i="16"/>
  <c r="Z32" i="16"/>
  <c r="T32" i="16"/>
  <c r="X31" i="16"/>
  <c r="R31" i="16"/>
  <c r="Y32" i="16"/>
  <c r="S32" i="16"/>
  <c r="AC31" i="16"/>
  <c r="W31" i="16"/>
  <c r="Q31" i="16"/>
  <c r="X32" i="16"/>
  <c r="R32" i="16"/>
  <c r="AB31" i="16"/>
  <c r="P31" i="16"/>
  <c r="U32" i="16"/>
  <c r="S31" i="16"/>
  <c r="V31" i="16"/>
  <c r="AC32" i="16"/>
  <c r="W32" i="16"/>
  <c r="Q32" i="16"/>
  <c r="AA31" i="16"/>
  <c r="U31" i="16"/>
  <c r="O31" i="16"/>
  <c r="AB32" i="16"/>
  <c r="V32" i="16"/>
  <c r="P32" i="16"/>
  <c r="Z31" i="16"/>
  <c r="T31" i="16"/>
  <c r="J23" i="16"/>
  <c r="AA32" i="16"/>
  <c r="O32" i="16"/>
  <c r="Y31" i="16"/>
  <c r="AB33" i="12"/>
  <c r="AB34" i="12" s="1"/>
  <c r="R35" i="12"/>
  <c r="AB37" i="12"/>
  <c r="P38" i="12"/>
  <c r="Q36" i="12"/>
  <c r="P36" i="12"/>
  <c r="X38" i="12"/>
  <c r="R36" i="12"/>
  <c r="W36" i="12"/>
  <c r="AB30" i="12"/>
  <c r="T38" i="12"/>
  <c r="Y35" i="12"/>
  <c r="AB39" i="12"/>
  <c r="Q35" i="12"/>
  <c r="P37" i="12"/>
  <c r="S35" i="12"/>
  <c r="AB38" i="12"/>
  <c r="Z35" i="12"/>
  <c r="X36" i="12"/>
  <c r="AA36" i="12"/>
  <c r="Y36" i="12"/>
  <c r="V35" i="12"/>
  <c r="T37" i="12"/>
  <c r="AB35" i="12"/>
  <c r="O35" i="12"/>
  <c r="AD36" i="12"/>
  <c r="X35" i="12"/>
  <c r="AB36" i="12"/>
  <c r="U36" i="12"/>
  <c r="AC35" i="12"/>
  <c r="Z36" i="12"/>
  <c r="P35" i="12"/>
  <c r="V36" i="12"/>
  <c r="P39" i="12"/>
  <c r="AA35" i="12"/>
  <c r="T36" i="12"/>
  <c r="S36" i="12"/>
  <c r="AB40" i="12"/>
  <c r="U35" i="12"/>
  <c r="AD35" i="12"/>
  <c r="W35" i="12"/>
  <c r="AC36" i="12"/>
  <c r="T35" i="12"/>
  <c r="AG56" i="9"/>
  <c r="AA56" i="9"/>
  <c r="O56" i="9"/>
  <c r="AE55" i="9"/>
  <c r="Y55" i="9"/>
  <c r="AB55" i="9"/>
  <c r="AH56" i="9"/>
  <c r="AB56" i="9"/>
  <c r="AF55" i="9"/>
  <c r="AF56" i="9"/>
  <c r="Z56" i="9"/>
  <c r="AJ55" i="9"/>
  <c r="AD55" i="9"/>
  <c r="X55" i="9"/>
  <c r="AA55" i="9"/>
  <c r="AE56" i="9"/>
  <c r="Y56" i="9"/>
  <c r="AI55" i="9"/>
  <c r="AC55" i="9"/>
  <c r="W55" i="9"/>
  <c r="AJ56" i="9"/>
  <c r="AD56" i="9"/>
  <c r="X56" i="9"/>
  <c r="AH55" i="9"/>
  <c r="V55" i="9"/>
  <c r="AI56" i="9"/>
  <c r="AC56" i="9"/>
  <c r="W56" i="9"/>
  <c r="AG55" i="9"/>
  <c r="O55" i="9"/>
  <c r="V56" i="9"/>
  <c r="Z55" i="9"/>
  <c r="AH49" i="9"/>
  <c r="Z57" i="9"/>
  <c r="V59" i="9"/>
  <c r="Z58" i="9"/>
  <c r="AH58" i="9"/>
  <c r="V49" i="9"/>
  <c r="AD58" i="9"/>
  <c r="V57" i="9"/>
  <c r="AH60" i="9"/>
  <c r="V60" i="9"/>
  <c r="V58" i="9"/>
  <c r="AH59" i="9"/>
  <c r="W33" i="8"/>
  <c r="AA25" i="8"/>
  <c r="S33" i="8"/>
  <c r="O35" i="8"/>
  <c r="AA34" i="8"/>
  <c r="O25" i="8"/>
  <c r="W34" i="8"/>
  <c r="O33" i="8"/>
  <c r="AA36" i="8"/>
  <c r="S34" i="8"/>
  <c r="O36" i="8"/>
  <c r="O34" i="8"/>
  <c r="AA35" i="8"/>
  <c r="Z32" i="8"/>
  <c r="T32" i="8"/>
  <c r="N32" i="8"/>
  <c r="X31" i="8"/>
  <c r="R31" i="8"/>
  <c r="U32" i="8"/>
  <c r="S31" i="8"/>
  <c r="Y32" i="8"/>
  <c r="S32" i="8"/>
  <c r="AC31" i="8"/>
  <c r="W31" i="8"/>
  <c r="Q31" i="8"/>
  <c r="O32" i="8"/>
  <c r="X32" i="8"/>
  <c r="R32" i="8"/>
  <c r="AB31" i="8"/>
  <c r="V31" i="8"/>
  <c r="P31" i="8"/>
  <c r="AA32" i="8"/>
  <c r="AC32" i="8"/>
  <c r="W32" i="8"/>
  <c r="Q32" i="8"/>
  <c r="AA31" i="8"/>
  <c r="U31" i="8"/>
  <c r="O31" i="8"/>
  <c r="AB32" i="8"/>
  <c r="V32" i="8"/>
  <c r="P32" i="8"/>
  <c r="Z31" i="8"/>
  <c r="T31" i="8"/>
  <c r="N31" i="8"/>
  <c r="J23" i="8"/>
  <c r="Y31" i="8"/>
  <c r="O33" i="6"/>
  <c r="AA32" i="6"/>
  <c r="O23" i="6"/>
  <c r="W32" i="6"/>
  <c r="O31" i="6"/>
  <c r="AA34" i="6"/>
  <c r="S32" i="6"/>
  <c r="O34" i="6"/>
  <c r="O32" i="6"/>
  <c r="AA33" i="6"/>
  <c r="Z30" i="6"/>
  <c r="T30" i="6"/>
  <c r="X29" i="6"/>
  <c r="R29" i="6"/>
  <c r="Y30" i="6"/>
  <c r="S30" i="6"/>
  <c r="AC29" i="6"/>
  <c r="W29" i="6"/>
  <c r="Q29" i="6"/>
  <c r="Y29" i="6"/>
  <c r="X30" i="6"/>
  <c r="R30" i="6"/>
  <c r="AB29" i="6"/>
  <c r="V29" i="6"/>
  <c r="P29" i="6"/>
  <c r="O30" i="6"/>
  <c r="AC30" i="6"/>
  <c r="W30" i="6"/>
  <c r="Q30" i="6"/>
  <c r="AA29" i="6"/>
  <c r="U29" i="6"/>
  <c r="O29" i="6"/>
  <c r="AB30" i="6"/>
  <c r="V30" i="6"/>
  <c r="P30" i="6"/>
  <c r="Z29" i="6"/>
  <c r="T29" i="6"/>
  <c r="J21" i="6"/>
  <c r="AA30" i="6"/>
  <c r="U30" i="6"/>
  <c r="S29" i="6"/>
  <c r="AA23" i="6"/>
  <c r="S31" i="6"/>
  <c r="AN102" i="17" l="1"/>
  <c r="AG11" i="22" s="1"/>
  <c r="AK2" i="22"/>
  <c r="AH50" i="9"/>
  <c r="AA26" i="16"/>
  <c r="AA26" i="8"/>
  <c r="AA24" i="6"/>
  <c r="AG3" i="22" l="1"/>
  <c r="I49" i="2" l="1"/>
  <c r="O33" i="2" l="1"/>
  <c r="P33" i="2"/>
  <c r="Q33" i="2"/>
  <c r="R33" i="2"/>
  <c r="S33" i="2"/>
  <c r="T33" i="2"/>
  <c r="U33" i="2"/>
  <c r="V33" i="2"/>
  <c r="W33" i="2"/>
  <c r="X33" i="2"/>
  <c r="Y33" i="2"/>
  <c r="Z33" i="2"/>
  <c r="AA33" i="2"/>
  <c r="AB33" i="2"/>
  <c r="AC33" i="2"/>
  <c r="N33" i="2"/>
  <c r="O37" i="2"/>
  <c r="P37" i="2"/>
  <c r="Q37" i="2"/>
  <c r="R37" i="2"/>
  <c r="S37" i="2"/>
  <c r="T37" i="2"/>
  <c r="U37" i="2"/>
  <c r="V37" i="2"/>
  <c r="W37" i="2"/>
  <c r="X37" i="2"/>
  <c r="Y37" i="2"/>
  <c r="Z37" i="2"/>
  <c r="AA37" i="2"/>
  <c r="AB37" i="2"/>
  <c r="AC37" i="2"/>
  <c r="N37" i="2"/>
  <c r="N42" i="2" l="1"/>
  <c r="T42" i="2"/>
  <c r="Z42" i="2"/>
  <c r="O42" i="2"/>
  <c r="U42" i="2"/>
  <c r="AA42" i="2"/>
  <c r="P42" i="2"/>
  <c r="V42" i="2"/>
  <c r="AB42" i="2"/>
  <c r="W42" i="2"/>
  <c r="Q42" i="2"/>
  <c r="R42" i="2"/>
  <c r="X42" i="2"/>
  <c r="S42" i="2"/>
  <c r="Y42" i="2"/>
  <c r="AC42" i="2"/>
  <c r="O41" i="2"/>
  <c r="Z41" i="2"/>
  <c r="S41" i="2"/>
  <c r="P41" i="2"/>
  <c r="Y41" i="2"/>
  <c r="R41" i="2"/>
  <c r="X41" i="2"/>
  <c r="AC41" i="2"/>
  <c r="V41" i="2"/>
  <c r="W41" i="2"/>
  <c r="AB41" i="2"/>
  <c r="U41" i="2"/>
  <c r="I48" i="2"/>
  <c r="AA41" i="2"/>
  <c r="T41" i="2"/>
  <c r="Q41" i="2"/>
  <c r="AA34" i="2"/>
  <c r="N41" i="2"/>
  <c r="I37" i="2"/>
  <c r="O34" i="2"/>
  <c r="I33" i="2"/>
  <c r="AA38" i="2"/>
  <c r="O38" i="2"/>
  <c r="W34" i="2"/>
  <c r="W38" i="2"/>
  <c r="S34" i="2"/>
  <c r="S38" i="2"/>
  <c r="W43" i="2" l="1"/>
  <c r="AA43" i="2"/>
  <c r="S43" i="2"/>
  <c r="AA39" i="2"/>
  <c r="O45" i="2"/>
  <c r="AA45" i="2"/>
  <c r="O44" i="2"/>
  <c r="O43" i="2"/>
  <c r="S44" i="2"/>
  <c r="W44" i="2"/>
  <c r="O46" i="2"/>
  <c r="AA44" i="2"/>
  <c r="AA46" i="2"/>
  <c r="O35" i="2"/>
  <c r="O39" i="2"/>
  <c r="AA35" i="2"/>
  <c r="AA40" i="2" l="1"/>
  <c r="AA36" i="2"/>
  <c r="I50" i="2" l="1"/>
  <c r="U6" i="9" l="1"/>
  <c r="AK8" i="22" s="1"/>
  <c r="X14" i="9"/>
  <c r="W14" i="9" l="1"/>
  <c r="J6" i="9" s="1"/>
  <c r="AG8" i="22" s="1"/>
  <c r="AG2"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D9DC69F-7EB3-4696-BE27-E0F425318050}">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AACC9175-C3CF-411C-976C-E144C29FBCB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FC534883-0E6C-4C66-B50E-7A9F1E03621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AF431877-75D8-4A23-9B3A-C66557AC66FE}">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C98FFED6-8369-45D4-AB13-1E4AB8BA67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JUAN CARLOS BAUTISTA NARVAEZ</author>
    <author>ANDREA VANESSA CAMACHO</author>
    <author>DANILO ROJAS ORTIZ</author>
    <author>GIOVANNI MEDINA ORTIZ</author>
    <author>Admin</author>
    <author>tc={A27DA2DD-2427-483E-8BBB-342EAD8039A2}</author>
  </authors>
  <commentList>
    <comment ref="A11" authorId="0" shapeId="0" xr:uid="{29C53947-072D-49E0-8B99-977E1A3ED7D8}">
      <text>
        <r>
          <rPr>
            <b/>
            <sz val="9"/>
            <color rgb="FF000000"/>
            <rFont val="Tahoma"/>
            <family val="2"/>
          </rPr>
          <t xml:space="preserve">
Seleccione la opción según corresponda
</t>
        </r>
        <r>
          <rPr>
            <sz val="9"/>
            <color rgb="FF000000"/>
            <rFont val="Tahoma"/>
            <family val="2"/>
          </rPr>
          <t xml:space="preserve">
</t>
        </r>
      </text>
    </comment>
    <comment ref="D11" authorId="1" shapeId="0" xr:uid="{1ADB562D-BA61-4DDD-8101-C63EA445A447}">
      <text>
        <r>
          <rPr>
            <sz val="9"/>
            <color indexed="81"/>
            <rFont val="Tahoma"/>
            <family val="2"/>
          </rPr>
          <t xml:space="preserve">Digite el Código UNSPSC según corresponda de acuerdo al listado señalado en la hoja "Código UNSPSC", si tiene más de uno agregar en Columna V 
"Observaciones"
</t>
        </r>
      </text>
    </comment>
    <comment ref="E11" authorId="2" shapeId="0" xr:uid="{3AABFC42-26D0-44A6-8BE5-7C4CBA7E1DFB}">
      <text>
        <r>
          <rPr>
            <b/>
            <sz val="9"/>
            <color rgb="FF000000"/>
            <rFont val="Tahoma"/>
            <family val="2"/>
          </rPr>
          <t>En esta columna se debe indicar el nombre del código seleccionado en la columna anterior.</t>
        </r>
      </text>
    </comment>
    <comment ref="F11" authorId="0" shapeId="0" xr:uid="{9AD139AB-9BAB-4043-A592-9C8C70CE9D01}">
      <text>
        <r>
          <rPr>
            <b/>
            <sz val="9"/>
            <color rgb="FF000000"/>
            <rFont val="Tahoma"/>
            <family val="2"/>
          </rPr>
          <t xml:space="preserve">en esta columna se debe realizar una breve descripcion del bien o servicio a contratar.
</t>
        </r>
      </text>
    </comment>
    <comment ref="G11" authorId="3" shapeId="0" xr:uid="{C393B203-D4CC-46CE-8F4C-6BAD4C6847A7}">
      <text>
        <r>
          <rPr>
            <b/>
            <sz val="9"/>
            <color rgb="FF000000"/>
            <rFont val="Tahoma"/>
            <family val="2"/>
          </rPr>
          <t>en esta columna se debe indicar el mes de inicio del proceso (el inicio de todas las acciones precontractuales, Previo al vencimiento del contrato vigente si lo hay o previo a la fecha de inicio de ejecución de la contratación requerida.</t>
        </r>
      </text>
    </comment>
    <comment ref="H11" authorId="3" shapeId="0" xr:uid="{E83C1C6E-A474-4E37-8475-C96227E1BAD3}">
      <text>
        <r>
          <rPr>
            <b/>
            <sz val="9"/>
            <color rgb="FF000000"/>
            <rFont val="Tahoma"/>
            <family val="2"/>
          </rPr>
          <t>en esta columna se debe indicar el mes de recepción de ofertas posterior a la consecución de CDP.</t>
        </r>
      </text>
    </comment>
    <comment ref="I11" authorId="2" shapeId="0" xr:uid="{2C6FB3D2-C44B-4846-8D72-AFE278A5C8A2}">
      <text>
        <r>
          <rPr>
            <b/>
            <sz val="9"/>
            <color rgb="FF000000"/>
            <rFont val="Tahoma"/>
            <family val="2"/>
          </rPr>
          <t xml:space="preserve">DURACIÓN DEL CONTRATO PROYECTADO EN DIAS (Ejemplo: si el contrato es por un año el tiempo en días sera de 365 días)
</t>
        </r>
      </text>
    </comment>
    <comment ref="J11" authorId="4" shapeId="0" xr:uid="{F04F1E49-BA3A-43B6-A8AD-DEE79F18F82A}">
      <text>
        <r>
          <rPr>
            <b/>
            <sz val="9"/>
            <color rgb="FF000000"/>
            <rFont val="Tahoma"/>
            <family val="2"/>
          </rPr>
          <t>seleccione la opcion que corresponda según el tipo de modalidad</t>
        </r>
        <r>
          <rPr>
            <sz val="9"/>
            <color rgb="FF000000"/>
            <rFont val="Tahoma"/>
            <family val="2"/>
          </rPr>
          <t xml:space="preserve">
</t>
        </r>
      </text>
    </comment>
    <comment ref="K11" authorId="4" shapeId="0" xr:uid="{8C256439-6EEC-4CDD-888F-C40B0376F7AD}">
      <text>
        <r>
          <rPr>
            <b/>
            <sz val="9"/>
            <color rgb="FF000000"/>
            <rFont val="Tahoma"/>
            <family val="2"/>
          </rPr>
          <t xml:space="preserve">Corresponde, al valor del presupuesto aprobado por la Junta Directiva.
</t>
        </r>
      </text>
    </comment>
    <comment ref="L11" authorId="0" shapeId="0" xr:uid="{B201437B-424E-4A99-AD78-E6EA20439414}">
      <text>
        <r>
          <rPr>
            <b/>
            <sz val="9"/>
            <color rgb="FF000000"/>
            <rFont val="Tahoma"/>
            <family val="2"/>
          </rPr>
          <t xml:space="preserve">en esta columna se debe indicar el porcentaje correspondiente al IVA, si no genera IVA el porcentaje sera 0
</t>
        </r>
      </text>
    </comment>
    <comment ref="M11" authorId="4" shapeId="0" xr:uid="{A6963B8A-0B7A-47A2-9311-0405EFF1920B}">
      <text>
        <r>
          <rPr>
            <b/>
            <sz val="9"/>
            <color rgb="FF000000"/>
            <rFont val="Tahoma"/>
            <family val="2"/>
          </rPr>
          <t>Corresponde al valor IVA que genera el servicio o bien a contratar</t>
        </r>
      </text>
    </comment>
    <comment ref="O11" authorId="0" shapeId="0" xr:uid="{E1FD11EA-0CF5-4ED7-9CC1-3E68A63B640B}">
      <text>
        <r>
          <rPr>
            <b/>
            <sz val="9"/>
            <color rgb="FF000000"/>
            <rFont val="Tahoma"/>
            <family val="2"/>
          </rPr>
          <t>en esta columna se debe indicar si se requieren o no vigencias futuras.</t>
        </r>
      </text>
    </comment>
    <comment ref="P11" authorId="0" shapeId="0" xr:uid="{45661D4A-5F42-47A7-8878-434C61877B8E}">
      <text>
        <r>
          <rPr>
            <b/>
            <sz val="9"/>
            <color rgb="FF000000"/>
            <rFont val="Tahoma"/>
            <family val="2"/>
          </rPr>
          <t xml:space="preserve">seleccione la opción según corresponda.
</t>
        </r>
      </text>
    </comment>
    <comment ref="Q11" authorId="2" shapeId="0" xr:uid="{950A2DF7-7238-45DE-892F-DD13D45F5CEA}">
      <text>
        <r>
          <rPr>
            <b/>
            <sz val="9"/>
            <color rgb="FF000000"/>
            <rFont val="Tahoma"/>
            <family val="2"/>
          </rPr>
          <t>Indicar el valor estimado de la contrtación SIN puntos, comas ni signos; SÓLO NÚMEROS. UNICAMENTE para esta vigencia</t>
        </r>
      </text>
    </comment>
    <comment ref="R11" authorId="0" shapeId="0" xr:uid="{FD50C7BD-859F-4375-BB73-D600E6DDD3F7}">
      <text>
        <r>
          <rPr>
            <b/>
            <sz val="9"/>
            <color rgb="FF000000"/>
            <rFont val="Tahoma"/>
            <family val="2"/>
          </rPr>
          <t>Indicar el valor estimado de la contrtación SIN puntos, comas ni signos; SÓLO NÚMEROS. UNICAMENTE para esta vigencia</t>
        </r>
      </text>
    </comment>
    <comment ref="S11" authorId="0" shapeId="0" xr:uid="{824F5EFD-418C-454D-8138-9CAF80D1B59E}">
      <text>
        <r>
          <rPr>
            <b/>
            <sz val="9"/>
            <color rgb="FF000000"/>
            <rFont val="Tahoma"/>
            <family val="2"/>
          </rPr>
          <t>Indicar el valor estimado de la contrtación SIN puntos, comas ni signos; SÓLO NÚMEROS. UNICAMENTE para esta vigencia</t>
        </r>
      </text>
    </comment>
    <comment ref="T11" authorId="0" shapeId="0" xr:uid="{AF0B3607-9925-49C9-8CFC-9117CF3976B1}">
      <text>
        <r>
          <rPr>
            <b/>
            <sz val="9"/>
            <color rgb="FF000000"/>
            <rFont val="Tahoma"/>
            <family val="2"/>
          </rPr>
          <t>Indicar el valor estimado de la contrtación SIN puntos, comas ni signos; SÓLO NÚMEROS. UNICAMENTE para esta vigencia</t>
        </r>
        <r>
          <rPr>
            <sz val="9"/>
            <color rgb="FF000000"/>
            <rFont val="Tahoma"/>
            <family val="2"/>
          </rPr>
          <t xml:space="preserve">
</t>
        </r>
      </text>
    </comment>
    <comment ref="U11" authorId="2" shapeId="0" xr:uid="{0188173E-2EF4-4CCA-909F-58EC8D3224AD}">
      <text>
        <r>
          <rPr>
            <b/>
            <sz val="9"/>
            <color rgb="FF000000"/>
            <rFont val="Tahoma"/>
            <family val="2"/>
          </rPr>
          <t>FUNCIONARIO RESPONSABLE DE LA CONTRATACION</t>
        </r>
      </text>
    </comment>
    <comment ref="Z60" authorId="5" shapeId="0" xr:uid="{A27DA2DD-2427-483E-8BBB-342EAD8039A2}">
      <text>
        <t>[Comentario encadenado]
Su versión de Excel le permite leer este comentario encadenado; sin embargo, las ediciones que se apliquen se quitarán si el archivo se abre en una versión más reciente de Excel. Más información: https://go.microsoft.com/fwlink/?linkid=870924
Comentario:
    Para la vigencia 2025, solo se proyectó presupuesto por el concepto: INSUMOS DE PAPELERÍA, FORMAS PREIMPRESAS A NIVEL NACIONAL, dado que solo es un mes de ejecución.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9828359-41D4-4E1C-AC3A-E25A026F3A3B}">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L11" authorId="0" shapeId="0" xr:uid="{D11F7AD5-A3D1-4F9F-89FE-EFE3503623F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1DA12D47-A495-4D0B-9883-F7548F5854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H11" authorId="0" shapeId="0" xr:uid="{A61195D2-8BA1-4283-BC65-E3556E5D7879}">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2DE4E0A3-9D94-4E11-A043-BA5C4397F4C6}">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sharedStrings.xml><?xml version="1.0" encoding="utf-8"?>
<sst xmlns="http://schemas.openxmlformats.org/spreadsheetml/2006/main" count="11786" uniqueCount="2081">
  <si>
    <t>e</t>
  </si>
  <si>
    <r>
      <rPr>
        <b/>
        <sz val="20"/>
        <color theme="1"/>
        <rFont val="Calibri Light"/>
        <family val="2"/>
        <scheme val="major"/>
      </rPr>
      <t>NOTA:</t>
    </r>
    <r>
      <rPr>
        <sz val="20"/>
        <color theme="1"/>
        <rFont val="Calibri Light"/>
        <family val="2"/>
        <scheme val="major"/>
      </rPr>
      <t xml:space="preserve"> Los Planes No. 04 y No. 05, no aplican a la Compañía.</t>
    </r>
  </si>
  <si>
    <t>CONTROL DE CAMBIOS</t>
  </si>
  <si>
    <t>VERSIÓN</t>
  </si>
  <si>
    <t>FECHA</t>
  </si>
  <si>
    <t>CAMBIOS REALIZADOS</t>
  </si>
  <si>
    <t xml:space="preserve">PLAN </t>
  </si>
  <si>
    <t>EJECUTADO GLOBAL</t>
  </si>
  <si>
    <t>CUMPLIMIENTO I TRIMESTRE</t>
  </si>
  <si>
    <t>CUMPLIMIENTO II TRIMESTRE</t>
  </si>
  <si>
    <t>CUMPLIMIENTO III TRIMESTRE</t>
  </si>
  <si>
    <t>CUMPLIMIENTO IV TRIMESTRE</t>
  </si>
  <si>
    <t>PIAA</t>
  </si>
  <si>
    <t>% DE AVANCE ACUMULADO - 2023</t>
  </si>
  <si>
    <t>EJECUCIÓN GLOBAL II TRIMESTRE</t>
  </si>
  <si>
    <t>EJECUCIÓN GLOBAL III TRIMESTRE</t>
  </si>
  <si>
    <t>EJECUCIÓN GLOBAL IV TRIMESTRE</t>
  </si>
  <si>
    <t>PSEC</t>
  </si>
  <si>
    <t>PINS</t>
  </si>
  <si>
    <t>PINAR</t>
  </si>
  <si>
    <t>PETH</t>
  </si>
  <si>
    <t>PAA</t>
  </si>
  <si>
    <t>PIC</t>
  </si>
  <si>
    <t>PII</t>
  </si>
  <si>
    <t>PSST</t>
  </si>
  <si>
    <t>PAAC</t>
  </si>
  <si>
    <t>PETI</t>
  </si>
  <si>
    <t>PTRSPI</t>
  </si>
  <si>
    <t>PSPI</t>
  </si>
  <si>
    <t xml:space="preserve">PLAN INTEGRADO DE ACCIÓN ANUAL 2023 - TABLERO DE CONTROL </t>
  </si>
  <si>
    <t>PLAN</t>
  </si>
  <si>
    <t>AVANCE I TRIM</t>
  </si>
  <si>
    <t>SECTORIAL</t>
  </si>
  <si>
    <t xml:space="preserve">INSTITUCIONAL </t>
  </si>
  <si>
    <t>CONTROL EJECUCIÓN</t>
  </si>
  <si>
    <t>ROJO</t>
  </si>
  <si>
    <t>CONTROL CUMPLIMIENTO</t>
  </si>
  <si>
    <t>VERDE</t>
  </si>
  <si>
    <t>RESPONSABLE SEGUIMIENTO:</t>
  </si>
  <si>
    <t>GERENCIA DE INNOVACIÓN Y PROCESOS</t>
  </si>
  <si>
    <t>TOTAL PROGRAMADO:</t>
  </si>
  <si>
    <t>TOTAL EJECUTADO GLOBAL:</t>
  </si>
  <si>
    <t>META</t>
  </si>
  <si>
    <t xml:space="preserve">TOTAL CUMPLIMIENTO I TRIMESTRE </t>
  </si>
  <si>
    <t>TOTAL CUMPLIMIENTO II TRIMESTRE</t>
  </si>
  <si>
    <t>TOTAL CUMPLIMIENTO III TRIMESTRE</t>
  </si>
  <si>
    <t>TOTAL CUMPLIMIENTO IV TRIMESTRE</t>
  </si>
  <si>
    <t>PARTE 1. ALINEACIÓN PLANEACIÓN ESTRATÉGICA</t>
  </si>
  <si>
    <t>PARTE 3. SEGUIMIENTO CUANTITATIVO</t>
  </si>
  <si>
    <t>PARTE 4. SEGUIMIENTO CUALITATIVO</t>
  </si>
  <si>
    <t xml:space="preserve">No. </t>
  </si>
  <si>
    <t>OBJETIVO ESTRATÉGICO  SECTORIAL</t>
  </si>
  <si>
    <t>OBJETIVO ESTRATEGICO PREVISORA</t>
  </si>
  <si>
    <t>DIMENSIÓN MIPG</t>
  </si>
  <si>
    <t>POLÍTICA MIPG</t>
  </si>
  <si>
    <t>RESPONSABLE</t>
  </si>
  <si>
    <t>INICIATIVA</t>
  </si>
  <si>
    <t>DESCRIPCIÓN TAREA</t>
  </si>
  <si>
    <t xml:space="preserve">MEDICIÓN   </t>
  </si>
  <si>
    <t>RECURSOS</t>
  </si>
  <si>
    <t>PRESUPUESTO (FUENTE DE FINANCIAMIENTO)</t>
  </si>
  <si>
    <t>SEGUIMIENTO</t>
  </si>
  <si>
    <t>FECHA INICIAL</t>
  </si>
  <si>
    <t>FECHA FINAL</t>
  </si>
  <si>
    <t>PLANIFICACIÓN</t>
  </si>
  <si>
    <t>% Peso actividad dentro del plan</t>
  </si>
  <si>
    <t xml:space="preserve">Total % de avance </t>
  </si>
  <si>
    <t>ENERO</t>
  </si>
  <si>
    <t>FEBRERO</t>
  </si>
  <si>
    <t>MARZO</t>
  </si>
  <si>
    <t>ABRIL</t>
  </si>
  <si>
    <t>MAYO</t>
  </si>
  <si>
    <t>JUNIO</t>
  </si>
  <si>
    <t>JULIO</t>
  </si>
  <si>
    <t>AGOSTO</t>
  </si>
  <si>
    <t>SEPTIEMBRE</t>
  </si>
  <si>
    <t>OCTUBRE</t>
  </si>
  <si>
    <t>NOVIEMBRE</t>
  </si>
  <si>
    <t>DICIEMBRE</t>
  </si>
  <si>
    <t>ENERO 2024</t>
  </si>
  <si>
    <t>SEGUIMIENTO I TRIMESTRE</t>
  </si>
  <si>
    <t>SEGUIMIENTO II TRIMESTRE</t>
  </si>
  <si>
    <t>SEGUIMIENTO III TRIMESTRE</t>
  </si>
  <si>
    <t>SEGUIMIENTO IV TRIMESTRE</t>
  </si>
  <si>
    <t>DIMENSIÓN 3. GESTIÓN CON VALORES PARA RESULTADOS</t>
  </si>
  <si>
    <t>D3. SERVICIO AL CIUDADANO</t>
  </si>
  <si>
    <t xml:space="preserve">PLAN SECTORIAL </t>
  </si>
  <si>
    <t>GERENCIA DE SERVICIO</t>
  </si>
  <si>
    <t>RECURSOS HUMANOS</t>
  </si>
  <si>
    <t>N/A</t>
  </si>
  <si>
    <t>Trimestral</t>
  </si>
  <si>
    <t>Ejecutado</t>
  </si>
  <si>
    <t>se participo en la sesion programada el 26 de enero - Capacitacion masiva servicio a la ciudadania</t>
  </si>
  <si>
    <t>se participo en la sesion programada el 27 de junio</t>
  </si>
  <si>
    <t>Por parte del Ministerio de Hacienda no se ha citado nueva reunion mesa sectorial de Servicio al Ciudadano</t>
  </si>
  <si>
    <t>Se revisaron las presentaciones realizadas en las sesiones  y se cargaron en el SMGI.</t>
  </si>
  <si>
    <t>Programado</t>
  </si>
  <si>
    <t>OFICINA DE CONTROL INTERNO DISCIPLINARIO</t>
  </si>
  <si>
    <t>Asistencia y participación entidades del Sector Hacienda.</t>
  </si>
  <si>
    <t>RECURSOS HUMANOS - TÉCNOLOGICOS</t>
  </si>
  <si>
    <t xml:space="preserve">Se asistió a convocatorias desde el MHCP los dias 09 de febrero y 29 de marzo del 2023 respectivamente. Se adjuntan evidencias. </t>
  </si>
  <si>
    <t>Se asistió a la convocatoria desde el MHCP los días 11 de mayo y 29 de junio de 2023 respectivamente. Se adjuntan evidencias</t>
  </si>
  <si>
    <t>A día de hoy 12 de septiembre no nos han convocadoa a otra sesión del Colectivo Disciplinario.</t>
  </si>
  <si>
    <t>El día 27 de octubre hubo la quinta y última sesión del Colectivo Disciplinario.</t>
  </si>
  <si>
    <t>No se han recibido convocatorias para participar en las mesas y actividades sectoriales de la Política de Gestión del Conocimiento y la Innovación</t>
  </si>
  <si>
    <t>La Previsora participó en el Evento presencial - Comunidad de práctica Gestión del Conocimiento e Innovación - Sector Hacienda realizado el 21 de diciembre en la Casa Santa Bárbara del MHCP.</t>
  </si>
  <si>
    <t>Optimizar el modelo operativo con procesos transversales para ser más ágiles, flexibles y eficaces</t>
  </si>
  <si>
    <t>D5. GESTIÓN DOCUMENTAL</t>
  </si>
  <si>
    <t>SUBGERENCIA DE RECURSOS FÍSICOS</t>
  </si>
  <si>
    <t>No se han recibido convocatorias para participar en las mesas y actividades sectoriales de gestión documental</t>
  </si>
  <si>
    <t xml:space="preserve">Se hace participación en la convocatoria del Jueves 22 de junio del 2023 - El propósito fue el de dar a conocer los resultados del último Diagnóstico para la Consolidación y Fortalecimiento de la Gestión Documental.   </t>
  </si>
  <si>
    <t>Participación en la Segunda Mesa Sectorial de Gestión Documental, realizada el día 14 de septiembre de 2023 a través de la plataforma Teams.</t>
  </si>
  <si>
    <t>D3. GOBIERNO DIGITAL</t>
  </si>
  <si>
    <t xml:space="preserve">No se recibieron convocatorias sectoriales frente al seguimiento a la apropiación de tecnologías emergentes por parte del Ministerio de Hacienda y Crédito Público. </t>
  </si>
  <si>
    <t>En el marco de la Política de Seguridad Digital, Previsora asistió a la sesión con el Grupo de Respuesta a Emergencias Cibernéticas de Colombia - COLCERT,  quien actualmente es el punto de contacto para coordinar la prevención, mitigación, gestión y respuesta ante incidentes de seguridad digital.</t>
  </si>
  <si>
    <t>No se recibieron convocatorias sectoriales frente al seguimiento a la apropiación de tecnologías emergentes por parte del Ministerio de Hacienda y Crédito Público</t>
  </si>
  <si>
    <t>Se registraron las actividades en el SMGI. Ya se encuentra cumplida al 100% de acuerdo con las sesiones programadas.</t>
  </si>
  <si>
    <t>Integrar y potenciar las capacidades de la organización, competencias y valores del equipo humano requeridas para ser una organización colaborativa y flexible que cumple su misión</t>
  </si>
  <si>
    <t>DIMENSIÓN 1. TALENTO HUMANO</t>
  </si>
  <si>
    <t>D1. TALENTO HUMANO</t>
  </si>
  <si>
    <t>GERENCIA DE TALENTO HUMANO</t>
  </si>
  <si>
    <t>La Gerente de Talento Humano Tatiana Urrutia y la Secretaria General Leidy Mojica, participaron en la Mesa Sectorial Plan de Formalizacion del Empleo Publico en Equidad desarrollada el 21 de abril de 2023 en el auditorio del DAFP.</t>
  </si>
  <si>
    <t>No se recibieron convocatorias sectoriales frente a la política de integridad por parte de la Función Pública. Adicionalmente, la agenda de consulta de las sesiones realizadas no se tuvo disponible durante el tercer trimestre.</t>
  </si>
  <si>
    <t>D3. DEFENSA JURÍDICA</t>
  </si>
  <si>
    <t>GERENCIA DE LITIGIOS</t>
  </si>
  <si>
    <t>Semestral</t>
  </si>
  <si>
    <t xml:space="preserve">No se recibió citación o invitación para participar de la mesa sectorial de política de defensa jurídica sector hacienda. </t>
  </si>
  <si>
    <t>No se recibió citación o invitación para participar de la mesa sectorial de política de defensa jurídica sector hacienda. A la espera de confirmar si la primera sesión se realizó antes del 30 de junio de 2023.</t>
  </si>
  <si>
    <t>No se recibió citación o invitación para participar de la mesa sectorial de política de defensa jurídica sector hacienda.</t>
  </si>
  <si>
    <t>No aplica seguimiento para este periodo.</t>
  </si>
  <si>
    <t>EJECUTADO</t>
  </si>
  <si>
    <t>Ejecutado por semana</t>
  </si>
  <si>
    <t>Ejecutado por mes</t>
  </si>
  <si>
    <t>Ejecutado por trimestre</t>
  </si>
  <si>
    <t>Ejecutado por año acumulado</t>
  </si>
  <si>
    <t>PROGRAMADO</t>
  </si>
  <si>
    <t>Programado por semana</t>
  </si>
  <si>
    <t>Programado por mes</t>
  </si>
  <si>
    <t>Programado por trimestre</t>
  </si>
  <si>
    <t>Programado por año acumulado</t>
  </si>
  <si>
    <t>% C SEMANAL A / META SEMANAL A</t>
  </si>
  <si>
    <t>% C SEMANAL ACUMULADO / META PW</t>
  </si>
  <si>
    <t>%C MES / META MES</t>
  </si>
  <si>
    <t>%C MES ACUMULADO / META PW</t>
  </si>
  <si>
    <t>%C TRIMESTRE / META TRIMESTRE A</t>
  </si>
  <si>
    <t>%C TRIMESTRE / META PW</t>
  </si>
  <si>
    <t xml:space="preserve">% DE AVANCE PW  </t>
  </si>
  <si>
    <t xml:space="preserve">% META PROGRAMADA  </t>
  </si>
  <si>
    <t xml:space="preserve">% CUMPLIMIENTO  </t>
  </si>
  <si>
    <t>GERENCIA DE INNOVACIÓN Y PROCESOS
GERENCIA DE PLANEACIÓN</t>
  </si>
  <si>
    <t>D3. FORTALECIMIENTO ORGANIZACIONAL Y SIMPLIFICACIÓN DE PROCESOS</t>
  </si>
  <si>
    <t xml:space="preserve">PLAN INSTITUCIONAL </t>
  </si>
  <si>
    <t>Gastos de Operación - Recursos Propios</t>
  </si>
  <si>
    <t>SUBGERENCIA DE MEJORAMIENTO DE PROCESOS</t>
  </si>
  <si>
    <t>D3. PARTICIPACIÓN CIUDADANA EN LA GESTIÓN PÚBLICA</t>
  </si>
  <si>
    <t>GERENCIA DE PLANEACIÓN</t>
  </si>
  <si>
    <t>GR2. Fortalecer la Gestión TIC y de la Información en las Entidades del Sector Hacienda</t>
  </si>
  <si>
    <t>DIMENSIÓN 4. EVALUACIÓN DE RESULTADOS</t>
  </si>
  <si>
    <t>TOTAL CUMPLIMIENTO I SEMESTRE</t>
  </si>
  <si>
    <t>TOTAL CUMPLIMIENTO II SEMESTRE</t>
  </si>
  <si>
    <t>ACTIVIDAD ANUAL</t>
  </si>
  <si>
    <t>Cumplimiento del Plan Institucional de Capacitación</t>
  </si>
  <si>
    <t>Actividades ejecutadas del Plan de Capacitación/Actividades planeadas en el Plan de Capacitación)x100</t>
  </si>
  <si>
    <t>Presupuesto definido para el rubro de Capacitación y de acuerdo al programa y población final</t>
  </si>
  <si>
    <t>Presupuesto  autorizado para el rubro de Capacitación de personal y congresos, foros, seminarios y similares</t>
  </si>
  <si>
    <t>Diciembre</t>
  </si>
  <si>
    <t>Se realizo el analisis de las Necesidades de formación asi como la programación de las mesas de trabajo con proveedores especializados para definir y lanzar los programas</t>
  </si>
  <si>
    <t>Se gestionaron todas las actividades planeadas en el Plan de Formación para el II trimestre</t>
  </si>
  <si>
    <t>Se gestionaron todas las actividades planeadas en el Plan de Formación para el III trimestre</t>
  </si>
  <si>
    <t>Se gestionaron todas las actividades planeadas en el Plan de Formación para el IV trimestre, se generan informes y cierre del Plan de Formación</t>
  </si>
  <si>
    <t>Cumplimiento del Plan de incentivos institucionales</t>
  </si>
  <si>
    <t>Presupuesto definido para el rubro de Premios Concursos Internos</t>
  </si>
  <si>
    <t>Se gestionaron todas las actividades planeadas en el Plan Institucional de Incentivos para el primer Semestre</t>
  </si>
  <si>
    <t>Se gestionaron todas las actividades planeadas en el Plan Institucional de Incentivos para el segundo Semestre</t>
  </si>
  <si>
    <t>Se gestionaron todas las actividades planeadas en el Plan Anual del SG-SST Para el primer semestre</t>
  </si>
  <si>
    <t xml:space="preserve">Se gestionan todas las actividades planeadas en el Plan Anual de Trabajo de SST </t>
  </si>
  <si>
    <t>Presupuesto definido para el Rubro de Selección de Personal</t>
  </si>
  <si>
    <t>Anual</t>
  </si>
  <si>
    <t>Se realizó el cierre de la evaluación de desempeño 2022</t>
  </si>
  <si>
    <t>Se realizó la concertación de objetivos 2023</t>
  </si>
  <si>
    <t>Se realizó el seguimiento a la gestión de indicadores</t>
  </si>
  <si>
    <t xml:space="preserve">Actualmente se está gestionando el cierre de la evaluación 2023 los resultados se calculan en Febrero 2024 según los plazos establecidos </t>
  </si>
  <si>
    <t>OBJETIVO PINAR</t>
  </si>
  <si>
    <t>Presupuesto contemplado en Servicios de manejo documental</t>
  </si>
  <si>
    <t>Valor total estimado</t>
  </si>
  <si>
    <t>¿Se requieren vigencias futuras?</t>
  </si>
  <si>
    <t>Estado de solicitud de vigencias futuras</t>
  </si>
  <si>
    <t>FACULTAD</t>
  </si>
  <si>
    <t>PROGRAMA</t>
  </si>
  <si>
    <t>OBJETIVO PIC</t>
  </si>
  <si>
    <t>FORMADOR</t>
  </si>
  <si>
    <t>MODALIDAD</t>
  </si>
  <si>
    <t>TIPO</t>
  </si>
  <si>
    <t>POBLACIÓN A IMPACTAR</t>
  </si>
  <si>
    <t>DURACIÓN (HRS)</t>
  </si>
  <si>
    <t># FUNCIONARIOS</t>
  </si>
  <si>
    <t>(PREPARACIÓN ACADEMICA)</t>
  </si>
  <si>
    <t>(EJECUCIÓN ACADEMICA)</t>
  </si>
  <si>
    <t>CAPACIDADES PARA EL DESEMPEÑO</t>
  </si>
  <si>
    <t>INNOVACIÓN</t>
  </si>
  <si>
    <t xml:space="preserve">Desarrollar las competencias y habilidades de los funcionarios para crear y mejorar productos y servicios, promover la eficiencia de la compañía y consolidar los factores de competitividad </t>
  </si>
  <si>
    <t>MIXTO</t>
  </si>
  <si>
    <t>VOLUNTARIO</t>
  </si>
  <si>
    <t xml:space="preserve">Se gestionó formación para:
-Semana de la Innovación
-Vicepresidencia de Desarrollo Corporativo en Emprendimiento, Gestión del Conocimiento e Innovación.
-Escuela de Liderazgo con el componente de Creatividad e Innovación </t>
  </si>
  <si>
    <t xml:space="preserve">Se gestionó formación para:
- Taller de innovación y diseño de productos
- Finaliza programa para la VP. Desarrollo Corporativo. 
- Finaliza escuela de liderazgo. </t>
  </si>
  <si>
    <t>CAPACIDADES HUMANAS</t>
  </si>
  <si>
    <t>EXPERIENCIAL DEL CLIENTE</t>
  </si>
  <si>
    <t>Desarrollar conocimientos que permitan crear valor de manera apropiada, diferencial y continua para los clientes objetivo de Previsora</t>
  </si>
  <si>
    <t>Se realizo formación en:
-Mapas de Experiencia
-Taller Arquetipo
-Proyecto Exploración Experiencia al Cliente Previsora.
-Seminario el Poder de las Ventas - Sucursales</t>
  </si>
  <si>
    <t xml:space="preserve">Se realizó formación en:
- Mapas de experiencia del cliente
- Webinar proyecto de experiencia del cliente
- Finaliza programa del poder de las ventas dirigido a Sucursales. </t>
  </si>
  <si>
    <t>TRANSFORMACIÓN DIGITAL</t>
  </si>
  <si>
    <t>Desarrollar las competencias y habilidades digitales de los funcionarios para crear y mejorar productos y servicios</t>
  </si>
  <si>
    <t>Se realizó formación en:
-Habilidades Ofimáticas
-Uso y apropiación de Office 365
-Vicepresidencia de Desarrollo Corporativo en Emprendimiento, Gestión del Conocimiento e Innovación.</t>
  </si>
  <si>
    <t>Se realizó formación en:
- Finaliza escuela de habilidades ofimaticas
- Finaliza programa de uso y apropiación de Office 365</t>
  </si>
  <si>
    <t>CAPACIDADES MEDULARES</t>
  </si>
  <si>
    <t xml:space="preserve">Fortalecer los conocimientos de la organización a través de los Cursos Normativos </t>
  </si>
  <si>
    <t>OBLIGATORIO</t>
  </si>
  <si>
    <t>Funcionarios de Planta</t>
  </si>
  <si>
    <t>Presupuesto definido para el rubro de Capacitación y de acuerdo al programa final</t>
  </si>
  <si>
    <t>Para el 2023 los cursos normativos se trabajarán bajo las siguientes Actividades:
-Los ingresos realizarán la formación Normativa correspondiente en la Plataforma de la Universidad de la Sabana
- Se realizó capacitación de SAC 
- Se realizó evento de Comunicacione de SARO
- Se publico el curso virtual de Seguridad de la Información.</t>
  </si>
  <si>
    <t>Se realizó:
- Olimpiadas del conocimiento normativo que reune los cursos de SAC, SARO, SARLAFT, PCN, RSE, PIGA, BUEN GOBIERNO, CODIGO DE ETICA, SGI, CONTROL INTERNO, CIBERSEGURIDAD, SGSST</t>
  </si>
  <si>
    <t>ANÁLITICA DE DATOS</t>
  </si>
  <si>
    <t>Fortalecer los conocimientos para la toma de decisiones apalancadas en un modelo de analítica de datos que trasciendan a toda la organización.</t>
  </si>
  <si>
    <t>Se inicio: 
-Escuela de Liderazgo con el componente de TOGAF y Arquitectura Empresarial
-Se encuentra en planeación de las actividades: Ciencia de Datos y Programa de Power BI</t>
  </si>
  <si>
    <t xml:space="preserve">Se realizó formación en:
- Programa en ciencia de datos 
- Programa de Power BI
- Finaliza escuela de liderazgo (componente TOGAF y Arquitectura Empresarial). </t>
  </si>
  <si>
    <t>Sesión de alineación estratégica con Gerencia de Talento Humano, con el fin de conocer los principales elementos claves de impacto para el desarrollo del proyecto de Cultura Resiliente. La sesión se llevó a cabo el 26 de enero de 2023. 
Se alinearon los temas de Comunicaciones con el fin de acompañar el plan de endomarketing para el desarrollo del proyecto de Cultura Resiliente.
Presentación del plan de gestión integral del modelo de liderazgo en cada una de sus dimensiones; el documento fue entregado el 10 de febrero.
Realización del taller con líderes “Cultura Resiliente”; con el fin de crear y movilzar la co-responsabilidad y la contribución como parte fundamental en la consolidación del ecosistema cultural: Sesión realizada el 15 de febrero.Reuniones virtuales con los equipos por vicepresidencias. Listas de asistencia.
Se envía campaña de expectativa dando apertura al proceso de fortalecimiento de cultura resiliente en el 2023.
Se entrega material trabajado en el taller de co-creación a todos los líderes que participaron de la actividad.
Se hace entrega del manifiesto de líder Previsora para socialización.  Se envió material para video (palabras doctor Vélez, líderes hablando del manifiesto).
Ejecución de los talleres culturales en las sucursales Estatal y Centro Empresarial
Se realiza alineación del open cultural con la Gerencia de Servicio y la Presidencia Corporativo
Se diseña pieza gráfica para el open cultural con los respectivos ajustes.
Ejecución de los talleres culturales en la sucursal Centro de Servicios Masivos
Se revisa propuesta del guion y se replantea la actividad del panel por actividad de participación por áreas
Se diseña pieza gráfica para el open cultural con los respectivos ajustes.Se envía link para prueba y revisión de la encuesta de gestión del cambio a una muestra representativa.
Se definen fechas de citación junto con la pieza gráfica programando las sesiones del programa HRBP dirigido al equipo de Talento Humano.
Pieza de expectativa para actividad Entornos Saludables “YO”.
Actividad que promueve las buenas prácticas al interior de las áreas
Realización del taller Resignificando el propósito con el equipo de Talento Humano. Sesión 1 y 2 Canva Cultural
Realización de las sesiones 1 y 2 del programa de formación HRBP dirigido al equipo de Talento Humano.
Realización del open cultural como estrategia de conexión del proyecto con las personas y con el enfoque de orientación a potenciar desde la cultura la experiencia del cliente.
Elaboración estrategias y piezas de comunicación transversales al proyecto.
Taller Resignificando mi contribución, dirigido al equipo de Secretaría General
Taller Cultrua Resiliente dirigido al equipo sindical ASDECOS</t>
  </si>
  <si>
    <t xml:space="preserve">Se realizaron actividades de:
-Feria de cultura resiliente. 
-Actividades de apropiación de valores corporativos. 
- Medición de cultura resiliente y presentación de los resultados. </t>
  </si>
  <si>
    <t>Se realizar las capacitaciones internas solicitadas por las areas en el primer semestre de acuerdo al informe adjunto en soportes.</t>
  </si>
  <si>
    <t>Se realizarón las capacitaciones internas solicitadas por las areas en el primer semestre de acuerdo al informe adjunto en soportes.</t>
  </si>
  <si>
    <t>Actualizar conocimientos y adquirir nuevas destrezas y habilidades que permitan una mejor adaptación al cambio y un desempeño eficiente en el entorno laboral.</t>
  </si>
  <si>
    <t>PROVEEDOR</t>
  </si>
  <si>
    <t>Presupuesto definido para el rubro de Capacitación Congresos Foros y Seminarios y de acuerdo al programa y población final</t>
  </si>
  <si>
    <t xml:space="preserve">Se gestionaron los requerimientos solicitadas por las areas en el primer semestre.
</t>
  </si>
  <si>
    <t xml:space="preserve">Se gestionaron los requerimientos solicitadas por las areas en el segundo semestre.
</t>
  </si>
  <si>
    <t>CATEGORIA</t>
  </si>
  <si>
    <t>NOMBRE DE LA ACTIVIDAD</t>
  </si>
  <si>
    <t>DESCRIPCION DE LA ACTIVIDAD</t>
  </si>
  <si>
    <t>ÁREA LÍDER</t>
  </si>
  <si>
    <t>PREMIO</t>
  </si>
  <si>
    <t>INDIVIDUAL</t>
  </si>
  <si>
    <t>COLECTIVO</t>
  </si>
  <si>
    <t>MES DE EJECUCIÓN</t>
  </si>
  <si>
    <t>MES DE PREMIACIÓN</t>
  </si>
  <si>
    <t>CRITERIOS DE EVALUACIÓN</t>
  </si>
  <si>
    <t>PLAN DE INCENTIVOS INSTITUCIONALES</t>
  </si>
  <si>
    <t>GESTION DEL DESEMPEÑO</t>
  </si>
  <si>
    <t>Reconocimiento Evaluación de Desempeño</t>
  </si>
  <si>
    <t>GERENCIA DE TALENTO HUMANO - SUBGERENCIA DE DESARROLLO DE TALENTO HUMANO</t>
  </si>
  <si>
    <t>X</t>
  </si>
  <si>
    <t>40 funcionarios destacados en la evaluación de desempeño del año anterior y según la distribución de cupos de cada Vicepresidencia</t>
  </si>
  <si>
    <t>Concurso ejecutado</t>
  </si>
  <si>
    <t>DESARROLLO Y CULTURA</t>
  </si>
  <si>
    <t>Se inició con el desarrollo de concursos planteados dentro de esta categoría</t>
  </si>
  <si>
    <t>Se realizaron todas las actividades programadas para esta categoría</t>
  </si>
  <si>
    <t>DIMENSIÓN 2. DIRECCIONAMIENTO ESTRATÉGICO</t>
  </si>
  <si>
    <t xml:space="preserve">D2. PLANEACIÓN INSTITUCIONAL </t>
  </si>
  <si>
    <t>Satisfacción cliente</t>
  </si>
  <si>
    <t>Premiación áreas con resultados destacados en la encuesta cliente interno y final.</t>
  </si>
  <si>
    <t>Semana de la Creatividad y la Innovación</t>
  </si>
  <si>
    <t>SUBGERENCIA DE TRANSFORMACIÓN DIGITAL</t>
  </si>
  <si>
    <t>NUESTRA ESTRATEGIA</t>
  </si>
  <si>
    <t>OFICINA DE MERCADEO Y PUBLICIDAD</t>
  </si>
  <si>
    <t>Participación en eventos deportivos</t>
  </si>
  <si>
    <t>Realizar una actividad  de cierre en el mes de noviembre para todos los deportistas que participen en las diferentes disciplinas de entidades externas en nombre de la Compañía.</t>
  </si>
  <si>
    <t>SUBGERENCIA DE ADMINISTRACIÓN DE PERSONAL</t>
  </si>
  <si>
    <t>OBJETIVO DEL SG-SST</t>
  </si>
  <si>
    <t>ESTANDAR</t>
  </si>
  <si>
    <t>PROGRAMA O TEMA RELACIONADO</t>
  </si>
  <si>
    <t>ACTIVIDAD</t>
  </si>
  <si>
    <t>RESPONABLE</t>
  </si>
  <si>
    <t>FRECUENCIA</t>
  </si>
  <si>
    <t>RESPONSABILIDADES</t>
  </si>
  <si>
    <t>Se realiza deisgnación del responsable en SST</t>
  </si>
  <si>
    <t>Se realiza actualización de Instructivo criterios de SST para seleccion y evaluación de contratistas y proveedores</t>
  </si>
  <si>
    <t xml:space="preserve">NORMATIVIDAD VIGENTE EN SST </t>
  </si>
  <si>
    <t>Actualización de la Matriz Legal en SST</t>
  </si>
  <si>
    <t>Se realiza actualización de matriz de peligros y se remite en Normograma al area de cumplimiento para respectiva publicación</t>
  </si>
  <si>
    <t xml:space="preserve">PROGRAMA DE VIGILANCIA EPIDEMIOLOGICA OSTEOMUSCULAR </t>
  </si>
  <si>
    <t>Se realiza actualización del PVE Osteomuscular</t>
  </si>
  <si>
    <t xml:space="preserve">PROGRAMA DE VIGILANCIA EPIDEMIOLOGICA PSICOSOCIAL </t>
  </si>
  <si>
    <t>Se realiza actualización del PVE Psicosocial</t>
  </si>
  <si>
    <t xml:space="preserve">PYP. PROGRAMA ESTILOS DE VIDA SALUDABLE </t>
  </si>
  <si>
    <t>Se diseña politica de prevención de consumo de sustancias psicoactivas</t>
  </si>
  <si>
    <t xml:space="preserve">PERFIL SOCIODEMOGRAFICO </t>
  </si>
  <si>
    <t>Se realiza encuesta para la actualización de perfil sociodemografico</t>
  </si>
  <si>
    <t>INDICADORES</t>
  </si>
  <si>
    <t>De manera mensual se realizan mediciones y se reporta el resultado al SGI, arrojando cumplimiento de las metas establecidas</t>
  </si>
  <si>
    <t xml:space="preserve">IPEVR - MATRICES DE PELIGROS </t>
  </si>
  <si>
    <t>Se realiza actualización de matriz de peligros basados en los encuentros realizados con sucursales y visitas a pisos</t>
  </si>
  <si>
    <t>PLAN DE EMERGENCIAS</t>
  </si>
  <si>
    <t xml:space="preserve">Se realiza divulgación de planes de emergencias y PONS </t>
  </si>
  <si>
    <t>COPASST</t>
  </si>
  <si>
    <t>Acompañamiento a reuniones mensuales</t>
  </si>
  <si>
    <t>Se realiza acompañamiento mensual a las reuniones de COPASST, tratando diferentes temas (Reporte condiciones, Inspecciones, mediciones ocupacionales)</t>
  </si>
  <si>
    <t>Se realiza acompañamiento mensual a las reuniones de COPASST, tratando diferentes temas (Reporte condiciones, Inspecciones, mediciones ocupacionales, avances plan de trabajo, mes de la salud)</t>
  </si>
  <si>
    <t>Se realiza acompañamiento mensual a las reuniones de COPASST, tratando diferentes temas (Repaso conceptos de SST, revisión campaña conoce al COPASST)</t>
  </si>
  <si>
    <t>Se realiza acompañamiento mensual a las reuniones de COPASST, tratando diferentes temas (Socialización hallazgos inspecciones, hallazgos auditoria, resultados de la revisión por la alta dirección, campaña conoce al COPASST)</t>
  </si>
  <si>
    <t>Se realiza capacitación al COPASST en practicas para el desarrollo de inspecciones de seguridad.</t>
  </si>
  <si>
    <t>Se realiza capacitación al COPASST en Identificación de péligros, evaluación, valoracion de riesgos y determinación de controles</t>
  </si>
  <si>
    <t>Se realiza capacitación al COPASST en Investigación de accidentes y enfermedades laborales</t>
  </si>
  <si>
    <t>Se culmino el cronograma de capacitaciones</t>
  </si>
  <si>
    <t xml:space="preserve">POLITICA Y OBJETIVOS DEL SG SST </t>
  </si>
  <si>
    <t>Se realiza divulgación a traves de mejoramiento de procesos en pagina WEB e email</t>
  </si>
  <si>
    <t>Se realiza autoevaluación al SGGST correspondiente al año 2022.</t>
  </si>
  <si>
    <t>Se realiza evaluación a cumplimiento legal</t>
  </si>
  <si>
    <t>Se realizo a traves de Email socializando instructivo aprobado.</t>
  </si>
  <si>
    <t>Se realiza Reinducción a los contratistas UT Casa Matriz y Americana.</t>
  </si>
  <si>
    <t>Se realiza inducción a contratistas Datafile, Stefanini, 472.</t>
  </si>
  <si>
    <t>Se aplico encuesta de morbilidad sentida.</t>
  </si>
  <si>
    <t>Se consolida en base de encuestas y diagnostico de condiciones de salud</t>
  </si>
  <si>
    <t>Se realiza inspección de puestos de trabajo a 14 funcionarios que manifestaron sintomatologia Osteomuscular en mayor grado</t>
  </si>
  <si>
    <t>Se realizan escuelas de manejo del dolor por segmentos.</t>
  </si>
  <si>
    <t>Se realiza entrega de elementos de confort (elevadores de pantalla y descansapies)</t>
  </si>
  <si>
    <t>Se realizan 3 campañas para la realización de las pausas activas,, cognitivas y fisicas</t>
  </si>
  <si>
    <t>Se realizan 3 campañas para la realización de las pausas activas,cognitivas y fisicas.</t>
  </si>
  <si>
    <t>Se realiza acompañamiento de las practicantes de Fisioterapia en las pausas activas</t>
  </si>
  <si>
    <t>Derivado de la Bateria de R. Psicosocial se plantea y ejecuta una charla de manejo del duelo, asi como la intervención para el siguiente trimestre de entrevistas de profundización y escuelas de manejo saludable del estres.</t>
  </si>
  <si>
    <t>Derivado de la Bateria de R. Psicosocial se plantea y ejecuta una charla de reacción aguda al estres e higien del sueño.
Se ejecuto la ESCUELA VIVE + de manejo saludable del estres, ansiedad y depresion. Se comparten claves de salud mental a los asistentes.</t>
  </si>
  <si>
    <t>Derivado de la Bateria de R. Psicosocial se plantea y ejecuta una charla de asertividad y control emocional, felicidad y pertenencia y primeros auxilios psicologicos.
Se ejecuto la ESCUELA VIVE + de manejo saludable del estres, ansiedad y depresion. Se comparten claves de salud mental a los asistentes.</t>
  </si>
  <si>
    <t>Se realizan capacitaciones para la intervención del riesgo (manejo del duelo)</t>
  </si>
  <si>
    <t>Se realizan 3 actividades: Prevencion enfermedades Cardiovaculares, Alimentación saludable, enfermedades mas comunes en verano</t>
  </si>
  <si>
    <t>Se realiza: Jornada salud visual, Charla de riesgos asociados a cancer por consumo de alcohol</t>
  </si>
  <si>
    <t>Se realizan charlas: Diabetes Mellitus, infecciones gastrointestinales y respiratorias.
Se desarrolla el festival de la salud y bienestar enfocado en la promoción de habitos de vida saludable</t>
  </si>
  <si>
    <t>Se culmina programación de capacitaciones</t>
  </si>
  <si>
    <t>Se realiza el mes de la salud y bienestar ejecutando actividades de promoción y prevención</t>
  </si>
  <si>
    <t xml:space="preserve">EVALUACIONES MEDICAS OCUPACIONALES </t>
  </si>
  <si>
    <t>Se realizan examenes medicos ocupacionales periodicos para un total de 86 funcionarios.
Se extendio un segundo plazo para un grupo de 16 personas de casa matriz en el mes de julio, dado que algunos funcionarios se encontraban en vacaciones, y 24 de las sucursales que iniciaron entre el mes de junio y julio se espera obtener el informe en el segundo semestre.</t>
  </si>
  <si>
    <t>Se culmino programación de examenes medicos ocupacionales</t>
  </si>
  <si>
    <t>Gestionar casos de presunta enfermedad laboral o común que requiera manejo y seguimiento específico.</t>
  </si>
  <si>
    <t>Teniendo en cuenta que la información que se maneja de los casos de salud a los cuales se realiza seguimiento, son de manejo confidencial; Se informa que a cada caso se le realiza seguimiento de acuerdo con la necesidad, citas, controles médicos con especialistas, terapias, pausas activas, examen post incapacidad, reintegro, seguimiento a recomendaciones. Etc.
Se lleva un registro y carpeta por cada uno de los funcionarios, la cual se va actualizando a medida que el funcionario remite información o se recibe alguna notificación por parte de EPS, ARL o JR-JNCI</t>
  </si>
  <si>
    <t xml:space="preserve">MECANISMOS DE VIGILANCIA DE CONDICIONES DE SALUD </t>
  </si>
  <si>
    <t>Cada mes se prepara la carcterización del ausentismo para preentar estadisticas al COPASST</t>
  </si>
  <si>
    <t>Cada mes se prepara la caracterización del ausentismo para presentar estadisticas al COPASST</t>
  </si>
  <si>
    <t>Se lleva a cabo la prmera mesa laboral del año, junto con la ARL para revisar los procesos respectivos de los casos de salud.</t>
  </si>
  <si>
    <t>Se lleva a cabo la segunda mesa laboral del año, junto con la ARL para revisar los procesos respectivos de los casos de salud.</t>
  </si>
  <si>
    <t>Se lleva a cabo la tercera mesa laboral del año, junto con la ARL para revisar los procesos respectivos de los casos de salud.</t>
  </si>
  <si>
    <t>Culmina programación de mesas</t>
  </si>
  <si>
    <t>Acompañar las investigaciones junto con el equipo investigador cada vez que  se presente un evento AT/EL (hacer seguimiento)</t>
  </si>
  <si>
    <t>Se acompañaron 2 investigaciones de AT, ocurridos en el mes de marzo</t>
  </si>
  <si>
    <t>No se presentan accidentes en el II trimestre del año</t>
  </si>
  <si>
    <t>Se presento  un accidente de trabajo deportivo</t>
  </si>
  <si>
    <t>No se presentan accidentes en el IV trimestre del año</t>
  </si>
  <si>
    <t>Culminación de programación de actividades</t>
  </si>
  <si>
    <t>Se presentan informes de simulacros ejecutados a nivel nacional</t>
  </si>
  <si>
    <t>Calcular indicadores de SST y reportar al BSC</t>
  </si>
  <si>
    <t>Mensualmente se calculan los indicadores y se pasa reporte al BCS, hasta el momento se cumplen las metas</t>
  </si>
  <si>
    <t>AUDITORIA</t>
  </si>
  <si>
    <t>Se atiende auditoria y se cuenta con el informe</t>
  </si>
  <si>
    <t>PRESUPUESTO</t>
  </si>
  <si>
    <t>Realizar seguimiento al presupuesto</t>
  </si>
  <si>
    <t>SEGURIDAD SOCIAL</t>
  </si>
  <si>
    <t xml:space="preserve">COMITÉ DE CONVIVENCIA LABORAL </t>
  </si>
  <si>
    <t>RENDICION DE CUENTAS</t>
  </si>
  <si>
    <t>Reuniones de seguimiento al  cumplimiento de SST por parte de los Proveedores  clase de riesgo IV y V</t>
  </si>
  <si>
    <t>GESTION DE CAMBIO</t>
  </si>
  <si>
    <t>Realizar seguimiento al reporte de los cambios presentados</t>
  </si>
  <si>
    <t>REPORTE E INVESTIGACION AT/EL</t>
  </si>
  <si>
    <t xml:space="preserve">INSPECCIONES DE SEGURIDAD </t>
  </si>
  <si>
    <t>Realizar seguimiento a inspecciones planeadas según Cronograma de inspecciones de Seguridad</t>
  </si>
  <si>
    <t>REVISION POR LA DIRECCION</t>
  </si>
  <si>
    <t>Realizar Revisión por la dirección del SG SST</t>
  </si>
  <si>
    <t>I CUATRIMESTRE</t>
  </si>
  <si>
    <t>II CUATRIMESTRE</t>
  </si>
  <si>
    <t>III CUATRIMESTRE</t>
  </si>
  <si>
    <t>Actividad del Plan No.</t>
  </si>
  <si>
    <t>COMPONENTE</t>
  </si>
  <si>
    <t>ENTREGABLE</t>
  </si>
  <si>
    <t>PLANEACIÓN</t>
  </si>
  <si>
    <t>Peso</t>
  </si>
  <si>
    <t>% Avance Cuatrimestre I</t>
  </si>
  <si>
    <t>% Avance Cuatrimestre II</t>
  </si>
  <si>
    <t>% Avance Cuatrimestre III</t>
  </si>
  <si>
    <t>% Programado I C</t>
  </si>
  <si>
    <t>% Avance I C</t>
  </si>
  <si>
    <t>Seguimiento I Cuatrimestre</t>
  </si>
  <si>
    <t>% Programado II C</t>
  </si>
  <si>
    <t>% Avance II C</t>
  </si>
  <si>
    <t>Seguimiento II Cuatrimestre</t>
  </si>
  <si>
    <t>% Programado III C</t>
  </si>
  <si>
    <t>% Avance III C</t>
  </si>
  <si>
    <t>Seguimiento III Cuatrimestre</t>
  </si>
  <si>
    <t>Peso Componente</t>
  </si>
  <si>
    <t>P</t>
  </si>
  <si>
    <t>E</t>
  </si>
  <si>
    <t>GERENCIA DE RIESGOS</t>
  </si>
  <si>
    <t>Realizar la revisión de 5 procesos misionales donde se tengan identificados riesgos de corrupción, con el fin de realizar la actualización de los mismos.</t>
  </si>
  <si>
    <t>Mapa Actualizado y publicado en página Web, según el número de procesos definidos.</t>
  </si>
  <si>
    <t>HUMANOS, TECNOLÓGICOS, FÍSICOS Y FINANCIEROS</t>
  </si>
  <si>
    <t>Se definieron los cinco procesos objeto de revisión: Contratar bienes y servicios, gestionar siniestros automóviles, gestionar siniestos soat y ap, gestionar siniestros ramos generales, patrimoniales y vida, suscribir pólizas de negocios.</t>
  </si>
  <si>
    <t>Se realizó la revisión de los risegos de fraude para los procesos contratar bienes y servicios y gestionar siniestros de los ramos generales y patrimoniales. 
Se programaron para la primera semana de agosto las sesiones para revisar los riegsos y controles de los procesos gestionar siniestros automóviles, gestionar siniestros Soat y suscribir pólizas de negocios. Se adjunta la evidencia de las revisiones realizadas a la fecha.</t>
  </si>
  <si>
    <t xml:space="preserve">Se hicieron las reuniones para revisar los riesgos de fraude para los procesos contratar bienes y servicios, gstionar siniestros de automóviles, gestionar recobros, gestionar salvamentos, gestionar siniestros de los ramos generales y patrimoniales, gestionar siniestros Soat y suscribir pólizas de negocios. Se adjunta la evidencia de las revisiones realizadas a la fecha.
Se solicitó la publicación en la página wweb, del documento que contiene los riesgos de todos los procesos, de acuerdo con las actualizaciones realizadas.
</t>
  </si>
  <si>
    <t>Fortalecer la cultura de gestión de riesgos de corrupción en la Compañía a traves del envió de manera cuatrimestral  de comunicados alusivos al tema.</t>
  </si>
  <si>
    <t>Correo de comunicado publicado.</t>
  </si>
  <si>
    <t>Se prograrmó reunión con la Oficina de Mercadeo y Publicidad para el 20 de Abril, con el fin de definir la estrategia de comunicación a ejecutar respecto a prevención de fraude y corrupción. Se entregó el documento con la información que se debe incluir en la campaña de sensibilización.</t>
  </si>
  <si>
    <t>Se entregaron los contenidos a la Oficina de Mercadeo para la realización de la campaña de sensibilización, la información fue divulgada en diferentes canales de comunicación.</t>
  </si>
  <si>
    <t>Gestionar los casos reportados mediante los canales de denuncia</t>
  </si>
  <si>
    <t>Relación de casos gestionados</t>
  </si>
  <si>
    <t>No aplica seguimiento para este cuatrimestre. Se iniciará en mayo la revisión del Manual PAAC.</t>
  </si>
  <si>
    <t>El 26 de julio, posterior revisión de insumo generado por la Secretaría General respecto a la unificación del Manual MN-178 IMPLEMENTACIÓN LEY DE TRANSPARENCIA Y ACCESO A LA INFORMACIÓN en el Manual del Plan Anticorrupción, DI-DES-002 PLAN ANTICORRUPCION Y DE ATENCION AL CIUDADANO, se remite el documento revisado a las áreas líderes para iniciar con sesiones de trabajo de actualización documental. Durante el segundo cuatrimestre se inició el trabajo con la Oficina de Mercadeo, la Secretaría General y la Gerencia de Riesgos, para el último cuatrimestre se gestionará el componente de Mecanismos para mejorar la atención al ciudadano, el cual tienen un impacto mucho menor en esta actualización. De dicho avance y las sesiones de trabajo con las áreas, se adjunta el cronograma unificado de avance con el porcentaje de avance promedio.
Componente 1. Gerencia de Riesgos - Avance: 20%
Componente 2. No aplica
Componente 3. Oficina de Mercadeo - Avance: 25%
Componente 4. Gerencia de Servicio - N/A
Componente 5. Secretaría General - Avance: 25%</t>
  </si>
  <si>
    <t>Fue presentado y aprobado en Comité de Presidencia el Plan Anticorrupción y de Atención al ciudadano (PAAC). Se adjunta la presentación realizada en el Comité así como el documento del Manual PAAC que se envió al Comité de Presidencia para comentarios hasta el 5 de enero.</t>
  </si>
  <si>
    <t>Se realizó la publicación correspondiente del informe de gestión en la página web
https://www.previsora.gov.co/previsora/sites/default/files/INFORME-DE-GESTION-2022-FINAL-1v3.pdf</t>
  </si>
  <si>
    <t>No aplica seguimiento para este cuatrimestre.</t>
  </si>
  <si>
    <t>Carta del Presidente</t>
  </si>
  <si>
    <t>Se elaborará una carta gráfica del Presidente con los resultados más importantes y será enviada a todos los funcionarios, para realizarse su seguimiento en el próximo cuatrimestre</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</si>
  <si>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</si>
  <si>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Diseñar una encuesta de satisfacción sobre la comunicación de resultados al interior de la compañía</t>
  </si>
  <si>
    <t xml:space="preserve">Se adjuntan resultados de medición de indicadores asociados a satisfacción
</t>
  </si>
  <si>
    <t>Este informe será publicado en la página web</t>
  </si>
  <si>
    <t>Encuestas de satisfacción Clientes y usuarios finales</t>
  </si>
  <si>
    <t>Encuestas de servicio aplicadas y nivel de satisfacción de usuarios medido (cliente final)</t>
  </si>
  <si>
    <t>Se realiza encuesta de cliente final con resultados a mes de marzo. En este momento se encuentra en medición y tabulación los resultados correspondientes al mes de abril. 
Se adjunta link de consulta 
https://app.powerbi.com/view?r=eyJrIjoiNTdiNTNmMDMtYTAxYi00MzVjLWJlY2EtOTFiNDJhZTBlNDY4IiwidCI6IjRjYTRjNjYxLTgzYjUtNDc1NS1hZjc5LWMwYzg0ZGI3NTJmMCIsImMiOjR9</t>
  </si>
  <si>
    <t>Se realiza encuesta de cliente final con resultados a julio
Se adjunta link de consulta 
https://app.powerbi.com/view?r=eyJrIjoiNTdiNTNmMDMtYTAxYi00MzVjLWJlY2EtOTFiNDJhZTBlNDY4IiwidCI6IjRjYTRjNjYxLTgzYjUtNDc1NS1hZjc5LWMwYzg0ZGI3NTJmMCIsImMiOjR9</t>
  </si>
  <si>
    <t xml:space="preserve">Se realiza encuesta de cliente final con resultados a octubre
Se adjunta link de consulta 
https://app.powerbi.com/view?r=eyJrIjoiZmM0OTdmYjgtODA1MS00ZDJhLWFiMmUtYTBjMTVlY2RiZmJmIiwidCI6IjRjYTRjNjYxLTgzYjUtNDc1NS1hZjc5LWMwYzg0ZGI3NTJmMCIsImMiOjR9
</t>
  </si>
  <si>
    <t>Encuestas de satisfacción intermediarios (Agentes y Agencias)</t>
  </si>
  <si>
    <t>Se realiza encuesta de satisfacción Aliado Estratégico primer trimestre 2023
Se adjunta link de consulta 
https://app.powerbi.com/view?r=eyJrIjoiMjIyNDRmNmYtNjM1Mi00NTk3LWI0YTQtNDcwYWIzZTlhYmVhIiwidCI6IjRjYTRjNjYxLTgzYjUtNDc1NS1hZjc5LWMwYzg0ZGI3NTJmMCIsImMiOjR9</t>
  </si>
  <si>
    <t>Se realiza encuesta de satisfacción Aliado Estratégico segundo trimestre 2023
Se adjunta link de consulta 
https://app.powerbi.com/view?r=eyJrIjoiMjIyNDRmNmYtNjM1Mi00NTk3LWI0YTQtNDcwYWIzZTlhYmVhIiwidCI6IjRjYTRjNjYxLTgzYjUtNDc1NS1hZjc5LWMwYzg0ZGI3NTJmMCIsImMiOjR9</t>
  </si>
  <si>
    <t>Se realiza encuesta de satisfacción Aliado Estratégico tercer trimestre 2023
Se adjunta link de consulta 
https://app.powerbi.com/view?r=eyJrIjoiMzNkNDA0N2QtOTJjZC00YTNmLWI2M2QtODZmNzYxNjQxOGUzIiwidCI6IjRjYTRjNjYxLTgzYjUtNDc1NS1hZjc5LWMwYzg0ZGI3NTJmMCIsImMiOjR9</t>
  </si>
  <si>
    <t>Las actividades se encuentran planeadas para los meses de mayo y junio</t>
  </si>
  <si>
    <t>Se realizo la actividadad de socialización de información sobre el SAC dirigida a todos los funcionarios de la compañia.</t>
  </si>
  <si>
    <t>Se realiza la actividad en el mes de octubre de acuerdo con lo planeado para el segundo semestre de 2023. se adjunta lanzamiento del curso SAC dirigida a todos los funcionarios de la Compañía
Se adjunta reportes correspondiente al primer y segundo semestre de 2023</t>
  </si>
  <si>
    <t>Implementar incentivos para motivar la excelencia en la atención al cliente</t>
  </si>
  <si>
    <t>Se presentara en comité de SAC en el mes de Octubre con el avance correspondiente al tercer trimestre, se entrgaron los incentivos a las áreas que en la encuesta de servicio al cliente obtuvieron el mejor puntaje.</t>
  </si>
  <si>
    <t>Se presentó en el comité del SAC  realizado el 15 de noviembre de 2023 el avance los  resultados de las encuestas de servicio correspondiente al al tercer trimres  de 2023.</t>
  </si>
  <si>
    <t>Realizar seguimiento permanente al comportamiento de las PQR</t>
  </si>
  <si>
    <t>Presentación del comportamiento de PQRs en los comités de SAC</t>
  </si>
  <si>
    <t>HUMANOS, OPERATIVO, TECNOLÓGICOS, FÍSICOS Y FINANCIEROS</t>
  </si>
  <si>
    <t>SECRETARÍA GENERAL</t>
  </si>
  <si>
    <t>Reportar el cumplimiento por parte de La Previsora  para la vigencia 2023 de los lineamientos del MINTIC Y DEL DAFP a la Procuraduría en el Reporte del índice de transparencia y acceso a la información  según lo estipulado por el Anexo 2 sobre Estándares de publicación y divulgación de información de la Resolución 1519 de 2020 del Ministerio de Tecnologías de la Información y las Comunicaciones. y/o la que la modique o sustituya.</t>
  </si>
  <si>
    <t>Resultado de auditoría efectuada por la Procuaduría del cumplimiento del índice de transpatencia y acceso a la información para la vigencia 2023.</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</si>
  <si>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</si>
  <si>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
Se ha avanzado en los sigueintes temas cumplidos a la fecha:
* Diligenciamiento del FURAG.
* Diligenciamiento de la Matriz Ita.
Se avanzo al 100% en la revision de la normatividad y la actualización del normograma.</t>
  </si>
  <si>
    <t>El Ministerio de Hacienda y Crédito Público programó 2 sesiones a las cuales la Oficina de Control Interno Disciplinario asistió.</t>
  </si>
  <si>
    <t>El Ministerio de Hacienda y Crédito Público programó 1 sesión a la cuales la Oficina de Control Interno Disciplinario asistió.</t>
  </si>
  <si>
    <t xml:space="preserve">Sensibilizaciones al personal de planta en temas de derecho disciplinario a través de publicación cuatrimestral en los diferentes canales de comunicación dispuestos en la compañía. </t>
  </si>
  <si>
    <t>HUMANOS, TECNOLÓGICOS</t>
  </si>
  <si>
    <t>Se realizó publicación en Comunicaciones Corporativas sobre "Manifestaciones que Constituyen Acoso Laboral" el día 1 de marzo de 2023</t>
  </si>
  <si>
    <t>Se realizó publicación en Comunicaciones Corporativas sobre "Manifestaciones que Constituyen Acoso Sexual en el lugar de trabajo" el día 20 de junio de 2023</t>
  </si>
  <si>
    <t>Se realizó publicación en Comunicaciones Corporativas sobre "Como podemos evitar el acoso labotal" el día 6 de octubre de 2023</t>
  </si>
  <si>
    <t>Se aplico la encuesta de apropiación de valores  para primer semestre y se obtuvo un puntaje del 99,3%</t>
  </si>
  <si>
    <t xml:space="preserve">Se lanza encuesta de Valores II Semestre 2023 el 28 diciembre con plazo de respuesta hasta el 10 de enero de 2024, lo anterior teniendo en cuenta que en paralelo se lanzo la Encuesta de Cliente Interno. </t>
  </si>
  <si>
    <t>Cada 
Cuatrimestre</t>
  </si>
  <si>
    <t>Acumulado</t>
  </si>
  <si>
    <t>GERENCIA DE T.I</t>
  </si>
  <si>
    <t>HOJA DE RUTA</t>
  </si>
  <si>
    <t>PROYECTO, INICIATIVA O ACTIVIDAD</t>
  </si>
  <si>
    <t>NOMBRE</t>
  </si>
  <si>
    <t>ALCANCE</t>
  </si>
  <si>
    <t>EVIDENCIA</t>
  </si>
  <si>
    <t>Recurso Humano</t>
  </si>
  <si>
    <t>Recursos Propios</t>
  </si>
  <si>
    <t>TOTAL CUMPLIMIENTO AÑO</t>
  </si>
  <si>
    <t>D3. SEGURIDAD DIGITAL</t>
  </si>
  <si>
    <t>Gerencia de Riesgos</t>
  </si>
  <si>
    <t>Matrices de activos de información por proceso actualizadas</t>
  </si>
  <si>
    <t xml:space="preserve"> A marzo de 2023 se efectuó con los líderes de proceso,la actualización de las matrices de activos de información. Documento consolidado de activos de información.</t>
  </si>
  <si>
    <t>La actualización anual fue efectuada en el primer trimestre del año, Se han actualizado algunos activos de acuerdo con los cambios o nuevas revisiones de los procesos.</t>
  </si>
  <si>
    <t>Todos los procesos actualizaron las matrices de activos de información</t>
  </si>
  <si>
    <t>Revisar los riesgos y/o controles cuando se materialicen eventos de seguridad y/o se implementen o mejoren los controles con el fin de actualizar la matriz de riesgos en caso de requerirse.</t>
  </si>
  <si>
    <t>Matriz de riesgos de seguridad de la información</t>
  </si>
  <si>
    <t>Se realizó la actualización de la matriz de riesgos de acuerdo con actualización de activo de información, página web.</t>
  </si>
  <si>
    <t>La actualización es de periodicidad semestral o cuando haya cambios en los activos. Para este trimestre no se generaron cambios</t>
  </si>
  <si>
    <t>Se efectuó en conjunto con los líderes de proceso la actualización de los riesgos sonbre los activos de información críticos, teniendo en cuenta los eventos de riesgo materializado</t>
  </si>
  <si>
    <t>Gerencia de Riesgos / Líderes de proceso</t>
  </si>
  <si>
    <t>Actualizar riesgos y controles de seguridad de la información sobre los activos de información críticos.</t>
  </si>
  <si>
    <t>fuente de financiacion</t>
  </si>
  <si>
    <t>inversión</t>
  </si>
  <si>
    <t>Meta 2: Realizar 4 mediciones del nivel de desarrollo del servicio civil.</t>
  </si>
  <si>
    <t>1. CONTAR CON TALENTO HUMANO COMPROMETIDO, COMPETENTE Y MOTIVADO</t>
  </si>
  <si>
    <t>funcionamiento</t>
  </si>
  <si>
    <t>Meta 1: Desarrollar el 100% de las actividades previstas en el plan de acción de la política pública para la gestión integral del talento humano en el periodo 2016 - 2019</t>
  </si>
  <si>
    <t>2. DESARROLLAR UNA GESTIÓN POR PROCESOS FUNCIONAL Y EFICIENTE</t>
  </si>
  <si>
    <t>inversión y funcionamiento</t>
  </si>
  <si>
    <t>Meta 4: Alcanzar 57.000 beneficiarios con programas, estrategias y/o actividades específicas de bienestar y/o estímulos.</t>
  </si>
  <si>
    <t>3. POTENCIALIZAR EL USO TIC´S PARA EL PROCESAMIENTO DE INFORMACIÓN DE LOS SERVIDORES PÚBLICOS</t>
  </si>
  <si>
    <t>Meta 5 Beneficiar 20.000 funcionarios con programas de capacitación y formación de acuerdo con la competencia del DASCD</t>
  </si>
  <si>
    <t>4. DISEÑAR E IMPLEMENTAR UNA POLÍTICA PÚBLICA INTEGRAL DEL TALENTO HUMANO EN EL DISTRITO</t>
  </si>
  <si>
    <t>Meta 3: Proponer cinco modelos, metodologías o instrumentos que orienten a las entidades en la gestión estratégica del talento humano</t>
  </si>
  <si>
    <t>5. DISEÑAR E IMPLEMENTAR MECANISMOS DE EVALUACIÓN Y FORMACIÓN INTEGRAL</t>
  </si>
  <si>
    <t>Meta-1 Beneficiar al 100 % de los Funcionarios de la Entidad con acciones que propicien el Mejoramiento del Ambiente de Trabajo y favorezcan el Clima Laboral.</t>
  </si>
  <si>
    <t>6. GENERAR ENTIDADES MODERNAS A TRAVÉS DE MECANISMOS DE ORGANIZACIÓN DEL TRABAJO</t>
  </si>
  <si>
    <t>Meta-2 Modernizar 100 % de los Procesos de la Entidad a través del Mejoramiento Continuo de los Productos y Servicios, la Actualización Documental, la Gestión del Riesgo y el Desarrollo de Estrategias de Transparencia, Anticorrupción y Rendición de Cuentas.</t>
  </si>
  <si>
    <t>7. PROMOVER BIENESTAR INTEGRAL EN LOS SERVIDORES PÚBLICOS DEL DISTRITO ORIENTADO A LA FELICIDAD LABORAL</t>
  </si>
  <si>
    <t>Meta-3 Mejorar 100 % de los Sistemas de Información, los recursos Tecnológicos y los Desarrollos que modernicen la Gestión de la Entidad.</t>
  </si>
  <si>
    <t>8. PROMOVER LA MERITOCRACIA COMO BASE DE SELECCIÓN PARA LAS DIFERENTES FORMAS DE VINCULACIÓN</t>
  </si>
  <si>
    <t xml:space="preserve">9. LOGRAR UN ALTO RECONOCIMIENTO DEL SERVIDOR PÚBLICO DISTRITAL Y DEL DASCD EN BOGOTÁ Y EL PAÍS </t>
  </si>
  <si>
    <t>10: FORTALECER EL DESARROLLO DEL SERVICIO CIVIL EN EL DISTRITO CAPITAL</t>
  </si>
  <si>
    <t>Responsable</t>
  </si>
  <si>
    <t>Desarrollar actividades de sensibilización y capacitación en el SGSI y Ciberseguridad.</t>
  </si>
  <si>
    <t>Funcionarios y contratistas</t>
  </si>
  <si>
    <t>Reporte de funcionarios que han efectuado el curso generado por la Gerencia de TH.
Evidencias de mensajes y campañas de sensibilización  efectuadas</t>
  </si>
  <si>
    <t>Humanos</t>
  </si>
  <si>
    <t>CAPACITACION</t>
  </si>
  <si>
    <t>Durante el primer trimestre se reportan los usuarios que ingresaron a la compañía y que debieron hacer el curso de SI/CS. El curso de reinducción para toda la compañía no se ha desplegado. Se deja como evidencia el reporte entregado por la Subgerencia de Capacitación.
Así mismo se deja evidencia de algunos de los "Tips de Seguridad" enviados como parte de la campaña de sensibilización a través de comunicaciones corporativas.</t>
  </si>
  <si>
    <t>Durante el segundo  trimestre se reportan los usuarios que ingresaron a la compañía y que debieron hacer el curso de SI/CS ylos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</si>
  <si>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tercer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</si>
  <si>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CUARTO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</si>
  <si>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Se define al momento de hacer la planeación de la prueba</t>
  </si>
  <si>
    <t>Informe de resultados de la prueba  (información sensible que en caso de requerirse se podrá consultar en la gerencia de riesgos)</t>
  </si>
  <si>
    <t>GRUPO: 'GASTOS TECNOLOGICOS                      RUBRO:  SEGURIDAD INFORMATICA Y ADMINISTRACION DE INFRAESTRUCTURA TECNOLOGICA SEGURIDAD INFORMATICA CONCEPTO: SEGURIDAD DE LA INFORMACION - G. RIESGO</t>
  </si>
  <si>
    <t>La evaluación se hace de forma aleatoria sobre controles técnicos</t>
  </si>
  <si>
    <t>Informe de resultados de la evaluaciones efectuadas (información sensible que en caso de requerirse se podrá consultar en la gerencia de riesgos)</t>
  </si>
  <si>
    <t>Durante el primer trimestre del año se revisaron dos controles de seguridad. El informe de resultados es de carácter ocnfidencial por lo cual no es deja en las evidencias, pero puede ser consultado por personal interno en la gerencia de riesgos</t>
  </si>
  <si>
    <t>Durante elsegundo trimestre del año se revisaron seis controles de seguridad. El informe de resultados es de carácter ocnfidencial por lo cual no es deja en las evidencias, pero puede ser consultado por personal interno en la gerencia de riesgos</t>
  </si>
  <si>
    <t>Durante el tercer trimestre del año se revisaron cuatro controles de seguridad. El informe de resultados es de carácter ocnfidencial por lo cual no es deja en las evidencias, pero puede ser consultado por personal interno en la gerencia de riesgos</t>
  </si>
  <si>
    <t>Durante el CUARTO trimestre del año se revisaron 13 SEPTIEMBRE, NOVIEMBRE DICIEMBRE. controles de seguridad. El informe de resultados es de carácter ocnfidencial por lo cual no se deja en las evidencias, pero puede ser consultado por personal interno en la gerencia de riesgos</t>
  </si>
  <si>
    <t xml:space="preserve">Se efectuaron mesas de trabajo entre la gerencia de riesgos y la gerencia de servicio, para hacer un diagnóstico y establecer las acciones a seguir, y se reciben recomendaciones de ajuste sobre algunoss documentos </t>
  </si>
  <si>
    <t>En proceso de formalización la actualización de los documentos, conforme con la revisión efectuada en las diferentes mesas de trabajo realizadas</t>
  </si>
  <si>
    <t xml:space="preserve">Se actualizó y formalizó documento MSPI integrando lineamientos de seguridad de datos personales
Se actualizó y formalizó la Matriz de requisitos de seguridad y continuidad, incluyendo lineamientos de seguridad de datos personales
</t>
  </si>
  <si>
    <t>EJECUCIÓN PLAN INSTITUCIONAL DE ACCIÓN ANUAL (PIAA)</t>
  </si>
  <si>
    <t xml:space="preserve">SEGUIMIENTO </t>
  </si>
  <si>
    <t>GC1. FORTALECER LAS CAPACIDADES DEL TALENTO HUMANO Y PROMOVER LA CULTURA DE INTEGRIDAD DEL SECTOR HACIENDA</t>
  </si>
  <si>
    <t>#DECISIONES CON DATOS</t>
  </si>
  <si>
    <t>PLAN INSTITUCIONAL ANUAL</t>
  </si>
  <si>
    <t>ASAMBLEA GENERAL DE ACCIONISTAS</t>
  </si>
  <si>
    <t>MENSUAL</t>
  </si>
  <si>
    <t>GC2. FORTALECER LA GESTIÓN PÚBLICA A TRAVÉS DE PROCESOS ADMINISTRATIVOS, FINANCIEROS Y JURÍDICOS DEL SECTOR HACIENDA</t>
  </si>
  <si>
    <t>#CULTURA RESILIENTE</t>
  </si>
  <si>
    <t>D1. INTEGRIDAD</t>
  </si>
  <si>
    <t>PLAN INSTITUCIONAL DE ARCHIVOS</t>
  </si>
  <si>
    <t>REVISOR FÍSCAL</t>
  </si>
  <si>
    <t>TRIMESTRAL</t>
  </si>
  <si>
    <t>GR1. FORTALECER LOS MECANISMOS PARA UNA CULTURA DE TRANSPARENCIA Y PARTICIPACIÓN CIUDADANA EN LAS ENTIDADES DEL SECTOR HACIENDA</t>
  </si>
  <si>
    <t>#INNOVACIÓN APLICADA</t>
  </si>
  <si>
    <t>PLAN ANUAL DE ADQUISICIONES</t>
  </si>
  <si>
    <t>JUNTA DIRECTIVA</t>
  </si>
  <si>
    <t>SEMESTRAL</t>
  </si>
  <si>
    <t>GR2. FORTALECER LA GESTIÓN DE CONOCIMIENTO E INNOVACIÓN EN LAS ENTIDADES DEL SECTOR HACIENDA</t>
  </si>
  <si>
    <t>#A UN CLIC</t>
  </si>
  <si>
    <t>D2. GESTIÓN PRESUPUESTAL Y EFICIENCIA EN EL GASTO PÚBLICO</t>
  </si>
  <si>
    <t>PLAN ESTRATÉGICO DE TALENTO HUMANO</t>
  </si>
  <si>
    <t>PRESIDENCIA</t>
  </si>
  <si>
    <t>GR3. PROMOVER LA TRASNFORMACIÓN DIGITAL EN LAS ENTIDADES DEL SECTOR PARA CONTRIBUIR A LA MODERNIZACIÓN DE LOS PROCESOS DE ENTREGA DE PRODUCTOS Y SERVICIOS DE CADA ENTIDAD</t>
  </si>
  <si>
    <t>#AGILIDAD EMPRESARIAL</t>
  </si>
  <si>
    <t xml:space="preserve">DIMENSIÓN 5. INFORMACIÓN Y COMUNICACIÓN </t>
  </si>
  <si>
    <t>D2. COMPRAS Y CONTRATACIÓN PÚBLICA</t>
  </si>
  <si>
    <t xml:space="preserve">PLAN INSTITUCIONAL DE CAPACITACIÓN </t>
  </si>
  <si>
    <t>CONTROL INTERNO</t>
  </si>
  <si>
    <t>GM1. LOGRAR LA SOSTENIBILIDAD FISCAL A TRAVÉS DEL RECAUDO, CONTROL EFECTIVO Y GENERACIÓN DE CULTURA DE LEGALIDAD</t>
  </si>
  <si>
    <t>#CLIENTE CÉNTRICO</t>
  </si>
  <si>
    <t xml:space="preserve">DIMENSIÓN 6. GESTIÓN DEL CONOCIMIENTO </t>
  </si>
  <si>
    <t>GM2. IMPLEMENTAR Y FORTALECER INSTRUMENTOS ECONOMICOS Y FINANCIEROS A TRAVÉS DE INVERSIONES TEMATICAS O CONVENIOS DE COFINANCIACIÓN, PARA CONTRIBUIR AL CAMBIO CLIMATICO Y AL USO SOSTENIBLE DE LA BIODIVERSIDAD</t>
  </si>
  <si>
    <t>#ALIANZAS ESTRATÉGICAS</t>
  </si>
  <si>
    <t>DIMENSIÓN 7. CONTROL INTERNO</t>
  </si>
  <si>
    <t>PLAN DE TRABAJO ANUAL DE SEGURIDAD Y SALUD EN EL TRABAJO</t>
  </si>
  <si>
    <t>OFICIAL DE CUMPLIMIENTO</t>
  </si>
  <si>
    <t xml:space="preserve">GM3. DINAMIZAR LA BANCA DE DESARROLLO PARA LA INCLUSIÓN FINANCIERA, COMO INSTRUMENTO QUE INCENTIVE Y ESTIMULE LA COMPETITIVIDAD, INVERSIÓN, LA ECONOMIA POPULAR Y DESARROLLO </t>
  </si>
  <si>
    <t>#RENTABILIDAD</t>
  </si>
  <si>
    <t>PLAN ANTICORRUPCIÓN Y DE ATENCIÓN AL CIUDADANO</t>
  </si>
  <si>
    <t>#PROPÓSITO COLOMBIA</t>
  </si>
  <si>
    <t>PLAN ESTRATÉGICO DE TIC</t>
  </si>
  <si>
    <t>#REPUTACIÓN CORPORATIVA</t>
  </si>
  <si>
    <t>D3. MEJORA NORMATIVA</t>
  </si>
  <si>
    <t xml:space="preserve">PLAN DE TRATAMIENTO DE RIESGOS DE SEGURIDAD Y PRIVACIDAD DE LA INFORMACIÓN </t>
  </si>
  <si>
    <t xml:space="preserve">PLAN DE SEGURIDAD Y PRIVACIDAD DE LA INFORMACIÓN </t>
  </si>
  <si>
    <t>D3. RACIONALIZACIÓN DE TRAMITES</t>
  </si>
  <si>
    <t>PLAN SECTORIAL</t>
  </si>
  <si>
    <t>VICEPRESIDENCIA TÉCNICA</t>
  </si>
  <si>
    <t>OFICINA DE PREVENCIÓN DE RIESGOS</t>
  </si>
  <si>
    <t xml:space="preserve">D4. SEGUIMIENTO Y EVALUACIÓN DEL DESEMPEÑO INSTITUCIONAL </t>
  </si>
  <si>
    <t>GERENCIA DE REASEGUROS Y COASEGUROS</t>
  </si>
  <si>
    <t xml:space="preserve">D5. TRANSPARENCIA, ACCESO A LA INFORMACIÓN PÚBLICA Y LUCHA CONTRA LA CORRUPCIÓN </t>
  </si>
  <si>
    <t>GERENCIA DE ACTUARÍA</t>
  </si>
  <si>
    <t>GERENCIA TÉCNICA DE SOAT</t>
  </si>
  <si>
    <t>D5. GESTIÓN DE LA INFORMACIÓN ESTADÍSTICA</t>
  </si>
  <si>
    <t>GERENCIA TÉCNICA DE AUTOMOVILES</t>
  </si>
  <si>
    <t xml:space="preserve">D6. GESTIÓN DEL CONOCIMIENTO Y LA INFORMACIÓN </t>
  </si>
  <si>
    <t>GERENCIA TÉCNICA DE SEGUROS PATRIMONIALES Y VIDA</t>
  </si>
  <si>
    <t xml:space="preserve">D7. CONTROL INTERNO </t>
  </si>
  <si>
    <t>OFICINA DE CUMPLIMIENTO Y LINEAS FINANCIERAS</t>
  </si>
  <si>
    <t>OFICINA DE RESPONSABILIDAD CIVIL</t>
  </si>
  <si>
    <t>OFICINA DE VIDA GRUPO Y AP</t>
  </si>
  <si>
    <t>GERENCIA TÉCNICA DE SEGUROS GENERALES E INGENIERÍAS</t>
  </si>
  <si>
    <t>OFICINA DE TRANSPORTES</t>
  </si>
  <si>
    <t>OFICINA DE INCENDIO Y LINEAS ALIADAS</t>
  </si>
  <si>
    <t>OFICINA DE RAMOS TÉCNICOS</t>
  </si>
  <si>
    <t>VICEPRESIDENCIA FINANCIERA</t>
  </si>
  <si>
    <t>GERENCIA DE INVERSIONES</t>
  </si>
  <si>
    <t>GERENCIA CONTABLE Y TRIBUTARIA</t>
  </si>
  <si>
    <t>OFICINA DE CONTABILIDAD E IMPUESTOS</t>
  </si>
  <si>
    <t>GERENCIA DE PLANEACIÓN FINANCIERA</t>
  </si>
  <si>
    <t>GERENCIA DE CARTERA</t>
  </si>
  <si>
    <t>ACTUARIO RESPONSABLE</t>
  </si>
  <si>
    <t>VICEPRESIDENCIA JURÍDICA</t>
  </si>
  <si>
    <t>GERENCIA JURÍDICA</t>
  </si>
  <si>
    <t xml:space="preserve">GERENCIA DE CONTRATACIÓN </t>
  </si>
  <si>
    <t>VICEPRESIDENCIA COMERCIAL</t>
  </si>
  <si>
    <t>GERENCIA DE NEGOCIOS ESTATALES</t>
  </si>
  <si>
    <t>GERENCIA DE DESARROLLO COMERCIAL</t>
  </si>
  <si>
    <t>GERENCIA DE NEGOCIOS PRIVADOS</t>
  </si>
  <si>
    <t>VICEPRESIDENCIA DE INDEMNIZACIONES</t>
  </si>
  <si>
    <t>GERENCIA DE INDEMNIZACIONES SEGUROS GENERALES Y PATRIMONIALES</t>
  </si>
  <si>
    <t>GERENCIA DE INDEMNIZACIONES AUTOMOVILES</t>
  </si>
  <si>
    <t>GERENCIA DE INDEMNIZACIONES SOAT - VIDA - AP</t>
  </si>
  <si>
    <t>OFICINA DE INDEMNIZACIONES ZONA OCCIDENTE</t>
  </si>
  <si>
    <t>OFICINA DE INDEMNIZACIONES ZONA NORTE</t>
  </si>
  <si>
    <t>OFICINA DE INDEMNIZACIONES ZONA CENTRO</t>
  </si>
  <si>
    <t>VICEPRESIDENCIA DE DESARROLLO CORPORATIVO</t>
  </si>
  <si>
    <t xml:space="preserve">GERENCIA DE PLANEACIÓN   </t>
  </si>
  <si>
    <t xml:space="preserve">GERENCIA DE TECNOLOGÍA DE LA INFORMACIÓN </t>
  </si>
  <si>
    <t>SUBGERENCIA DE PLANEACIÓN Y PROYECTOS T.I</t>
  </si>
  <si>
    <t xml:space="preserve">SUBGERENCIA DE INFRAESTRUCTURA Y SERVICIOS TECNOLÓGICOS </t>
  </si>
  <si>
    <t xml:space="preserve">SUBGERENCIA DE MANTENIMIENTO DE SISTEMAS DE INFORMACIÓN </t>
  </si>
  <si>
    <t>OFICINA DE ARQUITECTURA EMPRESARIAL</t>
  </si>
  <si>
    <t>SUCURSALES</t>
  </si>
  <si>
    <t>CORRESPONDABLE</t>
  </si>
  <si>
    <t>Humanos 
Tecnológicos
Financieros</t>
  </si>
  <si>
    <t>Participación de emisores que desarrollen planes ASG y administración de riesgos de transición climática</t>
  </si>
  <si>
    <t>(# de emisores con iniciativas ASG y administración de riesgos de transición climática / # total emisores aprobados) *100.</t>
  </si>
  <si>
    <t>Medir los ahorros generados en el presupuesto de gastos administrativos y comerciales, producto de menores valores adjudicados o presupuestos no utilizados.</t>
  </si>
  <si>
    <t xml:space="preserve"> Ahorros de presupuesto / (Presupuesto de gastos administrativos, tecnológicos y comerciales)
NOTA: No se incluye presupuesto de proyectos. Este presupuesto incluye en el 2021 el presupuesto de los proyectos de TI de Datacenter y Migración base de datos.</t>
  </si>
  <si>
    <t>Gestionar el cumplimiento de sentencias y conciliaciones</t>
  </si>
  <si>
    <t xml:space="preserve">Indicador de cumplimiento de sentencias y conciliaciones formulado y medido </t>
  </si>
  <si>
    <t>Atender los lineamientos de la Ley 1712 de 2014, la Resolución 1519 de 2020 expedida por el MinTIC y las Directrices del Departamento Administrativo de la Función Pública (Transparencia) asegurar la integralidad y veracidad de la información publicada.</t>
  </si>
  <si>
    <t>Mantener actualizados los componentes de  la sección de Transparencia y acceso a la información pública en la página web</t>
  </si>
  <si>
    <t>#Actualizaciones sección de transparencia y acceso a la información pública realizados / # total de solicitudes de actualización de la sección de transparencia y acceso a la información pública trimestrales</t>
  </si>
  <si>
    <t>Cumplimiento del plan definido para alcanzar el 100% del alcance.</t>
  </si>
  <si>
    <t>RECURSOS HUMANOS
RECURSOS FINANCIEROS
RECURSOS TECNOLÓGICOS</t>
  </si>
  <si>
    <t>Conjunto de actividades definidas en el Plan de incentivos 2024</t>
  </si>
  <si>
    <t>Gestión del Alto Desempeño</t>
  </si>
  <si>
    <t>Cumplimiento de las etapas del proceso de evaluación del desempeño 2024</t>
  </si>
  <si>
    <t>Presupuesto  definido para el rubro de Capacitación de personal y Congresos, foros, seminarios</t>
  </si>
  <si>
    <t>Funcionarios de Planta de acuerdo con las necesidades de las áreas</t>
  </si>
  <si>
    <t xml:space="preserve">De acuerdo con la cantidad de contenidos que se definan </t>
  </si>
  <si>
    <t xml:space="preserve">Enero </t>
  </si>
  <si>
    <t>Se reconocerá el desempeño eficiente y sobresaliente por la calificación de evaluación de desempeño recibida durante el año inmediatamente anterior a 40 colaboradores que en su evaluación obtengan un puntaje superior al 95% y que hayan cumplido al 100% con su oferta de formación.</t>
  </si>
  <si>
    <t>BONOS</t>
  </si>
  <si>
    <t>Programa de fortalecimiento de la Cultura Resiliente</t>
  </si>
  <si>
    <t>BONOS Y PUNTOS</t>
  </si>
  <si>
    <t>Participación y cumplimiento en las actividades de cultura planteadas</t>
  </si>
  <si>
    <t>#SER EXPERIENCIA</t>
  </si>
  <si>
    <t>Mayo de 2025</t>
  </si>
  <si>
    <t>"Se premiarán a las 4 áreas de casa matriz que obtengan los mejores puntajes en la encuesta de cliente interno.
Se premiarán a las 4 sucursales que obtengan los mejores puntajes en la encuesta de cliente final."</t>
  </si>
  <si>
    <t>TRANSFORMACIÓN DIGITAL E INNOVACIÓN</t>
  </si>
  <si>
    <t>En esta semana confluyen actividades basadas en las directrices estratégicas de #innovaciónaplicada, #aunclic, #clientecentrico, #agilidad empresarial con la participación de actores internos y externos, juegos, concursos, webinars, entre otros.</t>
  </si>
  <si>
    <t>GERENCIA DE INNOVACIÓN</t>
  </si>
  <si>
    <t>PARTICIPACIÓN EN EVENTOS DEPORTIVOS</t>
  </si>
  <si>
    <t>Se premiaran a los colaboradores que participen en los  eventos deportivos en representación de la compañía.</t>
  </si>
  <si>
    <t>Cumplir la normatividad nacional vigente aplicable en materia de riesgos laborales.</t>
  </si>
  <si>
    <t>Prevenir la ocurrencia de accidentes y enfermedades laborales</t>
  </si>
  <si>
    <t>Asegurar la identificación, evaluación e intervención de los diferentes factores de riesgos y peligros significativos para la salud de los trabajadores.</t>
  </si>
  <si>
    <t>Implementar acciones de mejora eficaces en los procesos que minimicen la recurrencia de errores.</t>
  </si>
  <si>
    <t>Cumplir el plan de trabajo de SST
Ver despliegue estratégico y matriz de indicadores SST</t>
  </si>
  <si>
    <t>Asegurar que se identifican los requisitos aplicables y se cumplen
Ver despliegue estratégico y matriz de indicadores SST</t>
  </si>
  <si>
    <t>Alcanzar los resultados de AT y EL propuestos
 Ver despliegue estratégico y matriz de indicadores de SST</t>
  </si>
  <si>
    <t>Medir y controlar los riesgos y realizar las inspecciones planeadas
Ver despliegue estratégico</t>
  </si>
  <si>
    <t>Formular los planes de emergencia y probarlos
Ver matriz de indicadores de SST</t>
  </si>
  <si>
    <t>Realizar seguimiento y verificación del SST 
Ver matriz de indicadores de SST</t>
  </si>
  <si>
    <t xml:space="preserve">E1 RECURSOS </t>
  </si>
  <si>
    <t>Divulgar las responsabilidades en SST a todos los niveles</t>
  </si>
  <si>
    <t>ANUAL</t>
  </si>
  <si>
    <t>RECURSOS HUMANOS
RECURSOS TECNOLOGICOS
RECURSOS FINANCIEROS</t>
  </si>
  <si>
    <t>Solicitar a revisoría fiscal certificación de pago de aportes de SS</t>
  </si>
  <si>
    <t>Capacitaciones a integrantes del comité</t>
  </si>
  <si>
    <t>VER CRONOGRAMA DE CHARLAS Y CAPACITACIONES</t>
  </si>
  <si>
    <t>Solicitar actas de reunión e informes de gestión</t>
  </si>
  <si>
    <t xml:space="preserve">E2 GESTION INTEGRAL DEL SG-SST </t>
  </si>
  <si>
    <t>Divulgar la Política y objetivos del SG</t>
  </si>
  <si>
    <t>EVALUACION DEL SG</t>
  </si>
  <si>
    <t>Reportar evaluación de estándares mínimos del SG SST ante el Ministerio de Trabajo y la ARL</t>
  </si>
  <si>
    <t>DOCUMENTACION</t>
  </si>
  <si>
    <t>Realizar actualización de los documentos y registros del SG</t>
  </si>
  <si>
    <t xml:space="preserve">Realizar rendición de cuentas sobre el desempeño de los trabajadores en SST </t>
  </si>
  <si>
    <t>Evaluación de cumplimiento legal</t>
  </si>
  <si>
    <t>CONRATISTAS</t>
  </si>
  <si>
    <t>Se programa según requerimiento</t>
  </si>
  <si>
    <t>Inducción a proveedores nuevos</t>
  </si>
  <si>
    <t xml:space="preserve">E3 GESTIÓN DE LA SALUD </t>
  </si>
  <si>
    <t>Desarrollo Mes vida saludable a nivel nacional</t>
  </si>
  <si>
    <t xml:space="preserve">Actualización de los datos para el Perfil Sociodemográfico </t>
  </si>
  <si>
    <t>Revisión de la realización de exámenes Post Incapacidad</t>
  </si>
  <si>
    <t>Permanente</t>
  </si>
  <si>
    <t>Realizar seguimiento a la ejecución de  los planes de acción de las no conformidades derivadas por AT/EL</t>
  </si>
  <si>
    <t xml:space="preserve">E4 GESTION DE LOS PELIGROS Y RIESGOS </t>
  </si>
  <si>
    <t>Actualizar las matrices de peligros, valoración y evaluación de riesgos</t>
  </si>
  <si>
    <t>MEDICIONES HIGIENICAS</t>
  </si>
  <si>
    <t>Verificar la implementación de mediciones higienicas derivadas de la identificacion de peligros y valoración de riegos</t>
  </si>
  <si>
    <t>AUTOREPORTE</t>
  </si>
  <si>
    <t xml:space="preserve">Seguimiento de las situaciones reportadas a través del correo de seguridad y salud en el trabajo  Auto reporte de Actos y Condiciones Inseguras </t>
  </si>
  <si>
    <t>E5 GESTION DE AMENAZAS</t>
  </si>
  <si>
    <t>Actualización y divulgación de planes emergencias incluyendo planos, elementos de seguridad y brigadas</t>
  </si>
  <si>
    <t>Desarrollo de simulacros de emergencia</t>
  </si>
  <si>
    <t>E6 VERIFICACION DEL SG SST</t>
  </si>
  <si>
    <t>Atender auditoria del SGSST</t>
  </si>
  <si>
    <t>ESTRATEGIA DE T.I.</t>
  </si>
  <si>
    <t>1) Documento PETI versión actualizada
2) Presentaciones y/o piezas de comunicación relacionadas a la socialización del PETI
3) Informe de analisis de brechas, mejoras y planes de acción del PETI.</t>
  </si>
  <si>
    <t>GOBIERNO DE T.I.</t>
  </si>
  <si>
    <t>SERVICIOS TECNOLOGICOS</t>
  </si>
  <si>
    <t>Desarrollo de la Hoja de Ruta de Servicios Tecnológicos para el año 2024</t>
  </si>
  <si>
    <t>Matriz MSPI</t>
  </si>
  <si>
    <t>GERENCIA DE RIESGOS
GERENCIA DE T.I</t>
  </si>
  <si>
    <t>Solicitar a los  líderes de proceso la actualización anual de la matriz de inventario de activos de información a cargo de cada uno y realizar la consolidación de la misma.</t>
  </si>
  <si>
    <t>Diseñar y desarrollar una prueba de Ingenieria social , documentando la respuesta, recuperación, reanudación de la operación en contingencia y restauración.</t>
  </si>
  <si>
    <r>
      <t>Ejecutar un programa de evaluación de al men</t>
    </r>
    <r>
      <rPr>
        <sz val="11"/>
        <rFont val="Calibri"/>
        <family val="2"/>
      </rPr>
      <t>os 20</t>
    </r>
    <r>
      <rPr>
        <sz val="11"/>
        <color rgb="FF000000"/>
        <rFont val="Calibri"/>
      </rPr>
      <t xml:space="preserve"> controles de los establecidos en el estándar ISO 27001 asociados a los procesos de la compañía y hacer seguimiento a la implementación de acciones de mejoramiento sobre los mismos si a ello hay lugar</t>
    </r>
  </si>
  <si>
    <t>Revisión de las brechas establecidas</t>
  </si>
  <si>
    <t>Servicio para el diligenciamiento de manera virtual del formulario de conocimiento del cliente.</t>
  </si>
  <si>
    <t>Prestar el servicio de licenciamiento, mantenimiento y actualización del Software Midas.</t>
  </si>
  <si>
    <t>Realizar la renovación del licenciamiento de los módulos del Sistema SAS®, realizar la actualización de la herramienta SAS office Analytics a la versión Office Analytics M8 y brindar capacitación para los funcionarios que LA PREVISORA S.A. designe para tal fin, previo acuerdo con EL PROVEEDOR</t>
  </si>
  <si>
    <t>Consulta de información financiera para ejecutar los modelos internos de cupos de emisores y contrapartes</t>
  </si>
  <si>
    <t>servicios profesionales de abogado, analizando y proyectando las decisiones de segunda instancia de los procesos disciplinarios .</t>
  </si>
  <si>
    <t>Se requiere contratar herramienta tecnologica para realizar todo el proceso de gestión de la atención integral a los siniestros derivados de las  pólizas expedidas bajo el ramo de automóviles.</t>
  </si>
  <si>
    <t>Valoración de pérdida de capacidad laboral para las reclamaciones del amparo de incapacidad permante de los ramos de Soat y AP</t>
  </si>
  <si>
    <t>Calificadora de Riesgo</t>
  </si>
  <si>
    <t>Orientación, herramientas de gestión, perspectivas frente a normatividad e investigaciones sobre asuntos ASG</t>
  </si>
  <si>
    <t>Asesoría  jurídica especializada para administrar la información de La Previsora S.A. Compañía de Seguros en la plataforma Markit de ISDA con el fin de vigilar, suministrar, actualizar y/o modificar periódicamente, la información necesaria en dicha plataforma.</t>
  </si>
  <si>
    <t>Asesoría jurídica para obtener la renovación del Legal Entity Identifier (LEI) necesario para la negociación de instrumentos derivados</t>
  </si>
  <si>
    <t>Prestar los servicios especializados para la consultoría, acompañamiento y capacitación a los funcionarios de LA PREVISORA S.A. en la aplicación de las Normas Internacionales de Información Financiera (NIIF).</t>
  </si>
  <si>
    <t>MODELO DE ALIANZAS (FASE II) DESARROLLO  DE PORTAL O PLATAFORMA PARA OPERATIVIZAR LAS ALIANZAS COMERCIALES</t>
  </si>
  <si>
    <t>RENOVACION MEMBRESIA A COLOMBIA FINTECH</t>
  </si>
  <si>
    <t>ASESORIAS EN ACTUALIZACION E IMPLEMENTACION DE ESTRATEGIAS</t>
  </si>
  <si>
    <t>DESARROLLO DE ACTIVIDADES PARA PROGRAMA DE CULTURA DIGITAL</t>
  </si>
  <si>
    <t>INCLUSION DE LA CAPA DE  INTELIGENCIA ARTIFICIAL EN LOS ACTIVOS DIGITALES CORPORATIVOS</t>
  </si>
  <si>
    <t>PLATAFORMA DEVOPS</t>
  </si>
  <si>
    <t>CANALES DE COMUNICACIÓN</t>
  </si>
  <si>
    <t>BIOMÉTRICOS PARA TRANSMISIÓN A ENTES DE CONTROL</t>
  </si>
  <si>
    <t>CERTIMAIL</t>
  </si>
  <si>
    <t>SUSCRIPCIÓN OFFICE 365</t>
  </si>
  <si>
    <t>SOFTWARE MESA DE AYUDA</t>
  </si>
  <si>
    <t xml:space="preserve">Prestación de servicios profesionales para la asesoría jurídica de propiedad intelectual (propiedad industrial, derechos de autor) y realizar las gestiones y trámites necesarios ante la Superintendencia de Industria y Comercio para obtener los registros y/o renovaciones de la propiedad industrial de La Previsora, así como la protección de Derecho de Autor de La Compañía ante la Dirección Nacional de Derechos de Autor. </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</si>
  <si>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</si>
  <si>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Servicios de educación y capacitación en administración</t>
  </si>
  <si>
    <t>Atención de asesorias y conceptos jurídicos especializados a demanda</t>
  </si>
  <si>
    <t xml:space="preserve">Investigación Estudio de bienes </t>
  </si>
  <si>
    <t>Representación y defensa judicial en los litigios de la compañía A DEMANDA</t>
  </si>
  <si>
    <t>EL PROVEEDOR se compromete con LA PREVISORA S.A a Prestar el servicio de Administración de Riesgos para el ramo de Transportes de los clientes asignados por la Oficina de Transportes y la Oficina de Prevención de Riesgos.</t>
  </si>
  <si>
    <t>ARRENDAMIENTO SOFTWARE</t>
  </si>
  <si>
    <t>Suministro de bonos canasta</t>
  </si>
  <si>
    <t>Suministro de bonos dotación</t>
  </si>
  <si>
    <t>Suministro de bonos regalo</t>
  </si>
  <si>
    <t>Asesor laboral y de seguridad social integral</t>
  </si>
  <si>
    <t>Contratación Póliza de Vida Grupo plan de beneficios directivos</t>
  </si>
  <si>
    <t>Prestar servicios especializados en búsqueda de talentos (head hunter), selección y presentación de candidatos potenciales para suplir las vacantes de los cargos directivos que requiera la Compañía.</t>
  </si>
  <si>
    <t>Prestar el servicio de uso y administración de plataforma virtual para pruebas de conocimientos de ingreso a LA PREVISORA S.A., así como el diseño de preguntas para los cargos que esta requiera</t>
  </si>
  <si>
    <t xml:space="preserve"> Desarrollar e implementar estrategias y herramientas necesarias para afianzar la cultura organizacional, basado en un proceso de integridad, gestión del cambio y liderazgo.</t>
  </si>
  <si>
    <t>Contratar proveedor especializado  que brinde de acuerdo a las necesidades de capacitación, entrenamiento y/o desarrollo de los colaboradores de La Previsora en diferentes cursos, congresos, foros y seminarios (FASECOLDA)</t>
  </si>
  <si>
    <t>Contratar proveedor especializado  que brinde de acuerdo a las necesidades de capacitación, entrenamiento y/o desarrollo de los colaboradores de La Previsora en diferentes cursos, congresos, foros y seminarios (INS)</t>
  </si>
  <si>
    <t>Contratar proveedores especializados  que brinde de acuerdo a las necesidades de capacitación, entrenamiento y/o desarrollo de los colaboradores de La Previsora en diferentes cursos, congresos, foros y seminarios</t>
  </si>
  <si>
    <t>Exámenes médicos ocupacionales de ingreso, egreso, periódicos, post incapacidad entre otros</t>
  </si>
  <si>
    <t>Servicio de consultoría para la actualización de matrices de peligros y planes de emergencias</t>
  </si>
  <si>
    <t>Entrenador  deportivo y eventos</t>
  </si>
  <si>
    <t>Plan de bienestar</t>
  </si>
  <si>
    <t>Póliza de hospitalización y cirugía para los funcionarios confeccionados según convención colectiva de trabajo 2024 - 2027 para la vigencia 2025</t>
  </si>
  <si>
    <t>Póliza de vida grupo y exequias para los funcionarios confeccionados según convención colectiva de trabaja 2024 - 2027 para la vigencia 2025</t>
  </si>
  <si>
    <t>Póliza vida grupo deudor para los prestamos hipotecarios que han y/o serán otorgados a los trabajadores, según lo defino en la convención colectiva de trabajo 2024 - 2027 para la vigencia 2025</t>
  </si>
  <si>
    <t>Intermediación de seguros para realizar la asesoría necesaria para obtener el cubrimiento de los riesgos derivados de la póliza de hospitalización y cirugía.</t>
  </si>
  <si>
    <t>Póliza de incendio y terremoto para los inmuebles que se encuentran hipotecados a favor de la compañía por el préstamo otorgado a los trabajadores según la convención colectiva de trabajo 2024 - 2027 para la vigencia 2025</t>
  </si>
  <si>
    <t>Convenio de colaboración tecnológica y operativa para la operación integral  de los créditos al personal y la respectiva cartera actual y futura.</t>
  </si>
  <si>
    <t>Compra de bonos de carbono para compensación</t>
  </si>
  <si>
    <t>Contratar el suministro para  los funcionarios y visitantes de Casa Matriz de bebidas hidratantes.</t>
  </si>
  <si>
    <t>Contratar la recertificación del transporte vertical y puertas eléctricas de Casa Matriz</t>
  </si>
  <si>
    <t xml:space="preserve">Contratar el mantenimiento de las máquinas de café </t>
  </si>
  <si>
    <t>Contratar el mantenimiento preventivo y correctivo de los aires acondicionados de Casa Matriz y la "L"</t>
  </si>
  <si>
    <t>Contratar el intermediario para la renovación del programa de seguros</t>
  </si>
  <si>
    <t xml:space="preserve">Contratar los ramos de Automóviles, Manejo Comercial, Responsabilidad Civil, Riesgos Cibernéticos, Servidores Públicos, Todo Riesgo Daños Materiales, Transporte de Valores e Infidelidad y Riesgos Financieros </t>
  </si>
  <si>
    <t>Realizar el servicio de mantenimiento de puertas de seguridad y avisos luminosos de las sedes ubicadas en la ciudad de Bogotá.</t>
  </si>
  <si>
    <t>Mantenimiento correctivo del sistema de bombeo, inyectores y extractores</t>
  </si>
  <si>
    <t>Revisión y recarga de extintores</t>
  </si>
  <si>
    <t>Mantenimiento ascensores</t>
  </si>
  <si>
    <t>Servicio de vigilancia nacional</t>
  </si>
  <si>
    <t xml:space="preserve">Renovación soporte y mantenimiento aplicativo LEVIN </t>
  </si>
  <si>
    <t>Contratar avalúos y estudio de títulos de los inmuebles de las compañía bajo normas NIIF</t>
  </si>
  <si>
    <t>Contratar el servicio de mensajería expresa a través de mensajería expresa o Courier para atender la recepción, clasificación, distribución transporte y entrega de documentos y paquetes corporativos solicitada por Casa Matriz - Subgerencia de Recursos Físicos, manejado a través del sistema de crédito con pago según guía prenumerada para atender el correo certificado a nivel urbano, municipios cercanos, municipios lejanos, distribución nacional; envíos aeropuerto-aeropuerto y servicio urgente y o para envío internacionales</t>
  </si>
  <si>
    <t xml:space="preserve">Correo electrónico certificado </t>
  </si>
  <si>
    <t>Suministro y distribución continua de herramientas, materiales de construcción, materiales eléctricos y de ferretería</t>
  </si>
  <si>
    <t>Casa Matriz_Adecuación integral y remodelación de tres de los pisos de Casa Matriz, incluye obra civil, sistema de oficina abierta, red eléctrica normal y regulada e iluminación</t>
  </si>
  <si>
    <t>Contratar el mantenimiento preventivo y correctivo de los vehiculos de la Compañía</t>
  </si>
  <si>
    <t>Suministro de piezas gráficas impresas correspondientes al material publicitario y merchandising.</t>
  </si>
  <si>
    <t>Capacitaciones dirigidas a intermediarios para el desarrollo de la estrategia, acompañamiento y productividad, permitiendo fortalecer sus capacidades y hacer uso de las herramientas comerciales.</t>
  </si>
  <si>
    <t>Contratación de los servicios de administración y mantenimiento de la página www.saberseguro.com</t>
  </si>
  <si>
    <t>Con el objeto de dar continuidad a las diferentes gestiones que se vienen adelantando dentro del Sistema de Atención al Consumidor – SAC de Previsora Seguros, se hace necesario adquirir elementos de apoyo para ser entregados a los Consumidores Financieros como resarcimientos por peticiones, quejas y reclamos, así como por participación en los talleres, capacitaciones, conferencias, ferias  y demás actividades de sensibilización y socialización sobre temas de Educación Financiera o asociadas al SAC, así como a asistente a las jornadas de capacitación interna, virtual o presencial dirigida a funcionarios y terceros que participan dentro del proceso de atención al consumidor.</t>
  </si>
  <si>
    <t>Prestación de los servicios de asesoría, diseño y desarrollo de contenidos conceptuales o teóricos, así como un programa de coaching financiero en cumplimiento de los criterios del sello de calidad definidos en la Resolución 0240 del 2022 emitida por la Superintendencia Financiera, mediante herramientas prácticas, talleres, material educativo, entre otros, que fortalezcan el programa de Educación Financiera actual de LA PREVISORA S.A, Saber Seguro.</t>
  </si>
  <si>
    <t>Cierre de Gestion Intermediarios</t>
  </si>
  <si>
    <t xml:space="preserve">Servicio de contratacion de impresión carnet estudiantil </t>
  </si>
  <si>
    <t xml:space="preserve">Evento Cierre de Gestión Funcionarios </t>
  </si>
  <si>
    <t xml:space="preserve">Mantenimiento de Aires Acondicionados </t>
  </si>
  <si>
    <t xml:space="preserve">Contratar servicio de Mantenimiento de Aires acondicionados </t>
  </si>
  <si>
    <t xml:space="preserve">Contratar servicio de Mantenimiento de Planta Electrica </t>
  </si>
  <si>
    <t>mantenimiento aires acondicionados</t>
  </si>
  <si>
    <t>Contrato de inspección de riesgos sucursal Florencia.</t>
  </si>
  <si>
    <t xml:space="preserve">Arrendamiento de parqueaderos para vehículos de funcionarios de La Previsora S.A. Sucursal Manizales. </t>
  </si>
  <si>
    <t xml:space="preserve">Mantenimiento Aire Acondicionado </t>
  </si>
  <si>
    <t>Mantenimiento cuartos tecnicos</t>
  </si>
  <si>
    <t xml:space="preserve">Mantenimiento electrico sucursal </t>
  </si>
  <si>
    <t xml:space="preserve">Arrendamiento de parqueaderos para vehículos de funcionarios de la sucursal. </t>
  </si>
  <si>
    <t>Servicio de parqueadero de vehiculo funcionarios.</t>
  </si>
  <si>
    <t>Mantenimiento de aires acondicionados</t>
  </si>
  <si>
    <t>Impresion de papeleria o formularios comerciales (CARNETS ESTUDIANTILES)</t>
  </si>
  <si>
    <t>Contración servicio de mantenimiento planta electrica</t>
  </si>
  <si>
    <t>Realizar dos mantenimientos de Aire acondicionado Mini Split</t>
  </si>
  <si>
    <t>mantenimiento correctivo de luminarias led 60*60 ubicadas en toda la oficina donde funciona LA PREVISORA SEGUROS S.A.</t>
  </si>
  <si>
    <t>Realizar mantenimiento preventivo o correctivo con suministro de repuestos  de los aires acondicionados de la sucursal Yopal, con una periodicidad trimestral.</t>
  </si>
  <si>
    <t> </t>
  </si>
  <si>
    <t>NO</t>
  </si>
  <si>
    <t>NA</t>
  </si>
  <si>
    <t>Presidencia</t>
  </si>
  <si>
    <t>SI</t>
  </si>
  <si>
    <t>JOHN JAVIER MEJIA</t>
  </si>
  <si>
    <t>JASON REYES/TATIANA FERRO</t>
  </si>
  <si>
    <t>MARIA LUCIA LLERAS</t>
  </si>
  <si>
    <t>LIANA ABRIL</t>
  </si>
  <si>
    <t>KATERINE ALVARADO - MARTHA LUCIA GOMEZ</t>
  </si>
  <si>
    <t xml:space="preserve">MARTHA LUCIA GOMEZ </t>
  </si>
  <si>
    <t>ELIANA DEL CARMEN ROYS</t>
  </si>
  <si>
    <t>CARMEN EUGENIA CHARRIA</t>
  </si>
  <si>
    <t xml:space="preserve">JOSE ALEJANDRO VALENCIA </t>
  </si>
  <si>
    <t>ANA BELEN GUTIERREZ</t>
  </si>
  <si>
    <t>NIRAY MAURICIO OCAMPO</t>
  </si>
  <si>
    <t>NORMA CRISTINA GONZALEZ MUÑOZ</t>
  </si>
  <si>
    <t>GERMAN PARRA</t>
  </si>
  <si>
    <t xml:space="preserve">PLAN INTEGRADO DE ACCIÓN ANUAL 2025 - SECTORIAL </t>
  </si>
  <si>
    <t>PLAN INTEGRADO DE ACCIÓN ANUAL 2025 - INSTITUCIONAL</t>
  </si>
  <si>
    <t>PLAN INTEGRADO DE ACCIÓN ANUAL 2025 - PLAN INSTITUCIONAL DE ARCHIVO</t>
  </si>
  <si>
    <t>PLAN INTEGRADO DE ACCIÓN ANUAL 2025 - PLAN ANUAL DE ADQUISICIONES</t>
  </si>
  <si>
    <t>PLAN INTEGRADO DE ACCIÓN ANUAL 2025 - PLAN ESTRATÉGICO DE TALENTO HUMANO</t>
  </si>
  <si>
    <t>PLAN INTEGRADO DE ACCIÓN ANUAL 2025 - PLAN INSTITUCIONAL DE CAPACITACIÓN</t>
  </si>
  <si>
    <t>PLAN INTEGRADO DE ACCIÓN ANUAL 2025 - PLAN DE INCENTIVOS INSTITUCIONALES</t>
  </si>
  <si>
    <t>PLAN INTEGRADO DE ACCIÓN ANUAL 2025 - PLAN ANUAL DE SEGURIDAD Y SALUD EN EL TRABAJO</t>
  </si>
  <si>
    <t>PLAN INTEGRADO DE ACCIÓN ANUAL 2025 - PLAN ESTRATÉGICO DE TECNOLOGÍAS DE LA INFORMACIÓN</t>
  </si>
  <si>
    <t xml:space="preserve">PLAN INTEGRADO DE ACCIÓN ANUAL 2025 - PLAN DE TRATAMIENTO DE RIESGOS DE SEGURIDAD Y PRIVACIDAD DE LA INFORMACIÓN </t>
  </si>
  <si>
    <t>PLAN INTEGRADO DE ACCIÓN ANUAL 2025 - PLAN DE SEGURIDAD Y PRIVACIDAD DE LA INFORMACIÓN</t>
  </si>
  <si>
    <t>PLAN INTEGRADO DE ACCIÓN ANUAL 2025 - PROGRAMA DE TRANSPARENCIA Y ÉTICA PÚBLICA</t>
  </si>
  <si>
    <t>PARTE 2. PLANIFICACIÓN ACTIVIDADES 2025</t>
  </si>
  <si>
    <t>MANTENER LA SOLIDEZ FINANCIERA, ASEGURAR RENTABILIDAD Y SER CONFIABLE EN SU PORTAFOLIO DE INVERSIÓN.</t>
  </si>
  <si>
    <t xml:space="preserve">LOGRAR SOSTENIBILIDAD ECONÓMICA, SOCIAL, AMBIENTAL Y DE BUEN GOBIERNO BUSCANDO RENTABILIDAD PARA LOS ACCIONISTAS. </t>
  </si>
  <si>
    <t>FORTALECER EL RELACIONAMIENTO PARA ESTABLECER SINERGIAS CON EL GRUPO BICENTENARIO QUE GENEREN VALOR A LA COMPAÑÍA.</t>
  </si>
  <si>
    <t xml:space="preserve">INCREMENTAR EL POSICIONAMIENTO Y RECONOCIMIENTO DE PREVISORA COMO UNA COMPAÑÍA SÓLIDA Y CONFIABLE </t>
  </si>
  <si>
    <t xml:space="preserve">CREAR VALOR DE MANERA APROPIADA, DIFERENCIAL Y CONTINUA PARA LOS CLIENTES OBJETIVO DE PREVISORA </t>
  </si>
  <si>
    <t>FORTALECER LA INNOVACIÓN PARA ASEGURAR LA EFICIENCIA Y MEJORAMIENTO DE LA COMPAÑÍA, Y CONSOLIDAR FACTORES DE COMPETITIVIDAD EN EL MERCADO.</t>
  </si>
  <si>
    <t>ACTIVAR LA RUTA TRANSFORMACIÓN DIGITAL DE PREVISORA, ASEGURANDO LAS CAPACIDADES, INFRAESTRUCTURA TECNOLÓGICA Y PROCESOS EFICIENTES QUE REQUIERE UNA EXPERIENCIA EMPÁTICA Y ÁGIL CON LOS CLIENTES E INTERMEDIARIOS.</t>
  </si>
  <si>
    <t>OPTIMIZAR EL MODELO OPERATIVO CON PROCESOS TRANSVERSALES Y SISTEMAS INTEGRADOS PARA SER MÁS ÁGILES, FLEXIBLES Y EFICACES.</t>
  </si>
  <si>
    <t>FORTALECER EL PROCESO DE CAPTURA, ANÁLISIS, ENTENDIMIENTO Y USO ADECUADO DE LOS DATOS INTERNOS Y EXTERNOS PARA LA TOMA DE DECISIONES, APALANCADO EN INTELIGENCIA ARTIFICIAL Y OTRAS TECNOLOGÍAS EMERGENTES.</t>
  </si>
  <si>
    <t xml:space="preserve">POTENCIAR LAS CAPACIDADES Y COMPETENCIAS REQUERIDAS PARA EL CUMPLIMIENTO DE LA ESTRATEGIA Y PARA MANTENER SU RECONOCIMIENTO COMO UNA COMPAÑÍA LÍDER EN EL MERCADO. </t>
  </si>
  <si>
    <t>Participar en las mesas sectoriales, capacitaciones gestionadas por el Ministerio de Hacienda en el marco de la dimensión del Talento Humano -2025</t>
  </si>
  <si>
    <t>Participar en las mesas sectoriales de la política de Defensa Jurídica del Sector Hacienda - 2025</t>
  </si>
  <si>
    <t>Participar en las mesas sectoriales de gestión y desempeño ambiental - 2025</t>
  </si>
  <si>
    <t>Participar en las actividades que se definan en las mesas sectoriales de Relacionamiento Ciudadano - 2025</t>
  </si>
  <si>
    <t>Participar de las sesiones del colectivo disciplinario y de las actividades que se deriven de las mesas de trabajo. - 2025</t>
  </si>
  <si>
    <t>Participar en la comunidad de practica sectorial de Gestión del Conocimiento e innovación - 2025</t>
  </si>
  <si>
    <t>Realizar informe con las conclusiones del análisis de casos perdidos y ganados y/o análisis de riesgos conforme al aplicativo dispuesto por la ANDJE - 2025</t>
  </si>
  <si>
    <t>Participar en las mesas y actividades sectoriales de Gestión Documental - 2025</t>
  </si>
  <si>
    <t>Participar en las actividades que convoque el líder temático de Gobierno Digital y Seguridad Digital - 2025</t>
  </si>
  <si>
    <t>Cumplimiento del Plan Estratégico Corporativo 2025</t>
  </si>
  <si>
    <t>Cumplir con el Plan Estratégico Corporativo 2025</t>
  </si>
  <si>
    <t>% de cumplimiento total del Plan Estratégico Corporativo 2025</t>
  </si>
  <si>
    <t>Tecnologicos
Humanos
Financieros</t>
  </si>
  <si>
    <t>Índice de madurez digital​</t>
  </si>
  <si>
    <t>Medición utilizando el instrumento de madurez digital establecido por la PWC y ajustado por Previsora. ​</t>
  </si>
  <si>
    <t>Media geométrica de los resultados de cada dimensión.​</t>
  </si>
  <si>
    <t>Gestión proyecto: Implementación Gobierno de datos y análitica.</t>
  </si>
  <si>
    <t>Cumplimiento gestión proyecto: 
(% Avance Real / % Planeado).</t>
  </si>
  <si>
    <t>Programa de Educación Financiera</t>
  </si>
  <si>
    <t>Impacto de Educación Financiera</t>
  </si>
  <si>
    <t>Número de Colombianos alcanzados con los contenidos de Educación Financiera
F=Incrementar 15.000 usuarios nuevos en el programa SaberSeguro.com #Usuarios Nuevos</t>
  </si>
  <si>
    <t>Recursos Humanos, Tecnológicos Financieros</t>
  </si>
  <si>
    <t>$150.000.000</t>
  </si>
  <si>
    <t xml:space="preserve">Ejecutar actividades que apunten al mantenimiento del Sistema de Gestión Integral (SGI) de la compañía. </t>
  </si>
  <si>
    <t xml:space="preserve">Ejecutar actividades de integración y mantenimiento de los componentes del Sistema de Gestión Integral para la vigencia 2025. </t>
  </si>
  <si>
    <t># Actividades Reaizadas en el periodo / # Actividades Programadas en el periodo</t>
  </si>
  <si>
    <t>HUMANOS</t>
  </si>
  <si>
    <t>Realizar seguimiento al desempeño de las políticas y planes asociados al Modelo Integrado de Planeación y Gestión de la compañía</t>
  </si>
  <si>
    <t xml:space="preserve">Realizar medición del desempeño de las políticas institucional es de gestión y desempeño del MIPG aplicables a la compañía. </t>
  </si>
  <si>
    <t># Comités Institucionales de Gestión y Desempeño realizados / 2</t>
  </si>
  <si>
    <t>Alinear las iniciativas de relacionamiento con el ciudadano con las actividades del sector Hacienda</t>
  </si>
  <si>
    <t>Participar en las actividades que se definan en las Mesas Sectoriales de Relacionamiento con el Ciudadano</t>
  </si>
  <si>
    <t>Asistencia y participación en actividades del sector Hacienda</t>
  </si>
  <si>
    <t>Gestión del Gobierno de Datos y Lineamientos del Plan Estadístico</t>
  </si>
  <si>
    <t>Construcción del Modelo de Gestión de Gobierno de Datos junto con la Metodologia y Lineamientos de Plan Estadístico, mapeo de Registros Administrativos, Operaciones Estadísticas</t>
  </si>
  <si>
    <t>(%Avance Real / %Avance planeado)* 100</t>
  </si>
  <si>
    <t>1. Recursos Tecnologicos
3. Recursos Humanos</t>
  </si>
  <si>
    <t>Gestión de los Metadatos</t>
  </si>
  <si>
    <t>Construcción de políticas, procesos y procedimientos para organizar y gestionar información descriptiva sobre los datos, como su estructura, significado, origen y relaciones y la incorporación de la guía de metadatos de Registros Administrativos.</t>
  </si>
  <si>
    <t>Gestión de la Calidad de los Datos</t>
  </si>
  <si>
    <t>Construcción de políticas, procesos y procedimientos para garantizar que los datos en la organización sean precisos, completos, consistentes y relevantes para su propósito previsto. De igual manera, se incorporarán las recomendaciones para asegurar la Calidad en el Proceso Estadístico.</t>
  </si>
  <si>
    <t>Gestión de la Analítica de Datos</t>
  </si>
  <si>
    <t>Construcción de políticas, procesos y procedimientos para planificar, coordinar y supervisar actividades relacionadas con el análisis de los datos para generar conocimientos y apoyar la toma de decisiones. Analizar y caracterizar correctamente los indicadores de demanda de la información estadística.</t>
  </si>
  <si>
    <t>Gestion de la Integración y la interoperabilidad de datos</t>
  </si>
  <si>
    <t>Establecer políticas, procesos y procedimientos para ccoordinar y gestionar la integración de datos de diversas fuentes para garantizar su compatibilidad y utilidad en toda la organización. Incorporar en esta actividad los procesos transversales recomendados por el Dane para el apoyo a la producción Estadística</t>
  </si>
  <si>
    <t>Gestión de la Seguridad de Datos</t>
  </si>
  <si>
    <t>Identificar el complemento al SGSI de la Compañía en la implementación de medidas de seguridad para proteger los datos contra accesos no autorizados, pérdidas, alteraciones o divulgaciones indebidas. Incorporar en esta actividad los procesos transversales recomendados por el Dane para el apoyo a la producción Estadística</t>
  </si>
  <si>
    <t>Despliegue del Modelo de Gobierno de Datos, Analítica e Información Estadística</t>
  </si>
  <si>
    <t xml:space="preserve">Consolidar documentos de los modelos construidos que detallen los procesos  y los riesgos asociados e integrarlo con los procesos ya existentes para su operacionalización y seguimiento. </t>
  </si>
  <si>
    <t>Gestión del Cambio y Comunicación</t>
  </si>
  <si>
    <t>Gestionar los cambios organizacionales derivados del plan y comunicarlos eficazmente a todas las partes interesadas.</t>
  </si>
  <si>
    <t xml:space="preserve">Realizar seguimiento al Programa de gestión documental  PGD. </t>
  </si>
  <si>
    <t xml:space="preserve">Seguimiento a:                                                                                                                                                   a. Programa de normalización de formas y formularios electrónicos
b. Programa de documentos vitales o esenciales
c. Programa de archivos descentralizados
d. Programa de reprografía
e. Programa de documentos especiales
f. Programa de auditoría y control </t>
  </si>
  <si>
    <t xml:space="preserve">Programas ejecutados en el Programa de gestión documental / Programas planeados en el Programa de gestión documental </t>
  </si>
  <si>
    <t xml:space="preserve">Correo electrónico certificado                                                                                                         Actualización de soportes (Microfilm a PDF) </t>
  </si>
  <si>
    <t xml:space="preserve">Consolidar la carpeta Única en todas las sucursales de la Compañía </t>
  </si>
  <si>
    <t>Realizar el proceso de cargue documental (Pólizas) en el modulo de Onbase Carpeta Única</t>
  </si>
  <si>
    <t>Sucursales con Carpeta Única / Sucursales planeadas a contar con Carpeta Única</t>
  </si>
  <si>
    <t xml:space="preserve">Rubro Gastos de emisión de Pólizas </t>
  </si>
  <si>
    <t xml:space="preserve">Elaborar y presentar las tablas de valoración documental para convalidación al Archivo general de la Nación. </t>
  </si>
  <si>
    <t xml:space="preserve">Elaboración de tablas de Valoración Documental - TVD, para organización del acervo documental del año 1954 - 2001 </t>
  </si>
  <si>
    <t>Cantidad de tablas de valoración presentadas / Cantidad de tablas de valoración estimadas</t>
  </si>
  <si>
    <t xml:space="preserve">Proyecto SGDEA </t>
  </si>
  <si>
    <t xml:space="preserve">Realizar seguimiento al Sistema Integrado de Conservación - SIC. </t>
  </si>
  <si>
    <t xml:space="preserve">Seguimiento a:                                                                                                                                                                                                           a. Programa de Sensibilización y Toma de Conciencia
b. Programa de Inspección y Mantenimiento
c. Programa de Monitoreo y Control de Condiciones Ambientales
d. Programa de Limpieza de las Instalaciones
e. Programa de Saneamiento y Control de Plagas
f.  Programa de Conservación en la Producción y Manejo Documental                                                                                                               </t>
  </si>
  <si>
    <t xml:space="preserve">Rubro Gastos de archivo y microfilmación </t>
  </si>
  <si>
    <t xml:space="preserve">Documento con soporte de entrega a convalidación según lo definido en el Acuerdo 001 del 2024. </t>
  </si>
  <si>
    <t xml:space="preserve">Documento de radicación de Tablas de valoración Documental </t>
  </si>
  <si>
    <t xml:space="preserve">Participación en los procesos de capacitación del proceso administrar la documentación al interior de la Compañía. </t>
  </si>
  <si>
    <t xml:space="preserve">Capacitaciones ejecutadas en la vigencia / Capacitaciones programadas en la vigencia </t>
  </si>
  <si>
    <t xml:space="preserve">Acto administrativo con la pólitica de gestión documental.  </t>
  </si>
  <si>
    <t xml:space="preserve">Indicadores de la política de Gestión Documental </t>
  </si>
  <si>
    <t xml:space="preserve">Total de Indicadores generados por vicepresidencia / Cumplimiento de los indicadores por vicepresidencia </t>
  </si>
  <si>
    <t>cm / suc</t>
  </si>
  <si>
    <t>Vicepresidencia</t>
  </si>
  <si>
    <t>área / sucursal</t>
  </si>
  <si>
    <t>Códigos UNSPSC</t>
  </si>
  <si>
    <t>Descripción del código UNSPSC</t>
  </si>
  <si>
    <t>Descripción corta del bien o servicio a contratar</t>
  </si>
  <si>
    <t>Mes estimado para el inicio proceso selección</t>
  </si>
  <si>
    <t>Mes estimado para la presentación de ofertas</t>
  </si>
  <si>
    <t>Duración estimada  contrato en meses</t>
  </si>
  <si>
    <t xml:space="preserve">Modalidad  selección </t>
  </si>
  <si>
    <t>Valor Total de la Contratación
(Sin IVA)</t>
  </si>
  <si>
    <t>Porcentaje de IVA</t>
  </si>
  <si>
    <t>Valor IVA</t>
  </si>
  <si>
    <t>Valor presupuesto Vigencia 2025
incluido IVA</t>
  </si>
  <si>
    <t>Valor presupuesto Vigencia 2026
incluido IVA</t>
  </si>
  <si>
    <t>Valor presupuesto Vigencia 2027
incluido IVA2</t>
  </si>
  <si>
    <t>Valor presupuesto Vigencia 2028
incluido IVA</t>
  </si>
  <si>
    <t>Nombre de contacto del responsable</t>
  </si>
  <si>
    <t>Observaciones</t>
  </si>
  <si>
    <t>Valor contratación antes de IVA 2025</t>
  </si>
  <si>
    <t>Rubro pptal validado</t>
  </si>
  <si>
    <t>Subrubro pptal validado</t>
  </si>
  <si>
    <t>Concepto pptal validado</t>
  </si>
  <si>
    <t>Casa Matriz</t>
  </si>
  <si>
    <t>Secretaría_General</t>
  </si>
  <si>
    <t>Gerencia de Talento Humano</t>
  </si>
  <si>
    <t>Servicios de Recursos Humanos</t>
  </si>
  <si>
    <t>INVITACIÓN ABIERTA</t>
  </si>
  <si>
    <t>NO SOLICITADAS</t>
  </si>
  <si>
    <t>BONIFICACIÓN DIRECTIVOS</t>
  </si>
  <si>
    <t>BONIFICACIÓN DIRECTIVOS BONOS CANASTA</t>
  </si>
  <si>
    <t>AUXILIOS AL PERSONAL</t>
  </si>
  <si>
    <t>UNIFORMES</t>
  </si>
  <si>
    <t>PREMIOS CONCURSOS INTERNOS</t>
  </si>
  <si>
    <t>PREMIOS CONCURSOS INTERNOS-GER TALENTO HUMANO</t>
  </si>
  <si>
    <t>Servicios legales sobre derecho laboral</t>
  </si>
  <si>
    <t>INVITACIÓN DIRECTA</t>
  </si>
  <si>
    <t>HONORARIOS ADMINISTRATIVOS</t>
  </si>
  <si>
    <t>ASESORIA PENSIONAL Y LABORAL</t>
  </si>
  <si>
    <t>Seguros de vida</t>
  </si>
  <si>
    <t>INV. INTANGIBLES DIFERIDOS - OTROS</t>
  </si>
  <si>
    <t>INV. SEGUROS</t>
  </si>
  <si>
    <t>SEGURO DE VIDA A EMPLEADOS</t>
  </si>
  <si>
    <t>Subgerencia Desarrollo de Talento Humano</t>
  </si>
  <si>
    <t>Servicios de preselección  de hojas de vida o  currículum vitae</t>
  </si>
  <si>
    <t>INVITACIÓN CERRADA</t>
  </si>
  <si>
    <t>SELECCION DE PERSONAL</t>
  </si>
  <si>
    <t>FIRMAS ESPECIALIZADAS EN SELECCIÓN 
_Se debe realizar un nuevo contrato y se va a hacer por contratación directa por la experiencia y conocimiento del proveedor.  Correo 29/02/2024</t>
  </si>
  <si>
    <t>Servicio de arriendo o leasing de plataformas o equipos de comunicación de datos</t>
  </si>
  <si>
    <t>OTROS GASTOS ASOCIADOS AL PROCESO DE SELECCIÓN DE PERSONAL</t>
  </si>
  <si>
    <t>Formación o desarrollo laboral</t>
  </si>
  <si>
    <t>CAPACITACION DE PERSONAL Y CONGRESOS, FOROS, SEMINARIOS Y SIMILARES</t>
  </si>
  <si>
    <t>CAPACITACION DE PERSONAL</t>
  </si>
  <si>
    <t>TRANSFORMANDO PREVISORA</t>
  </si>
  <si>
    <t>Prestar el servicio de uso y administración de plataforma virtual para pruebas de psicotecnicas de ingreso a LA PREVISORA S.A.</t>
  </si>
  <si>
    <t>Servicios para el diseño e implementacion  de los programas que hacen parte de la oferta de formacion anual de la Universidad Corporativa  UNISABANA</t>
  </si>
  <si>
    <t>GTOS DE CAPACITACIÓN AL PERSONAL</t>
  </si>
  <si>
    <t>Contratar proveedor especializado  que brinde de acuerdo a las necesidades de capacitación, entrenamiento y/o desarrollo de los colaboradores de La Previsora en diferentes cursos, congresos, foros y seminarios ASOBANCARIA</t>
  </si>
  <si>
    <t>CONGRESOS, FOROS, SEMINARIOS Y SIMILARES</t>
  </si>
  <si>
    <t>Subgerencia Administración de Personal</t>
  </si>
  <si>
    <t>Evaluación diagnóstica y productos de examen de uso general</t>
  </si>
  <si>
    <t>PROGRAMAS DE BIENESTAR SOCIAL Y RECREACION</t>
  </si>
  <si>
    <t>GASTOS DE SALUD OCUPACIONAL Y SISTEMA DE SGSST</t>
  </si>
  <si>
    <t>Kits de primera respuesta para servicios médicos de emergencia</t>
  </si>
  <si>
    <t>Adquisición de elementos de Seguridad y Salud en el Trabajo SG-SST (elementos de emergencias, camillas, puntos seguros, botiquines, señalización, chalecos, elementos ergonomicos).</t>
  </si>
  <si>
    <t>Servicios de consultoría de negocios y administración corporativa</t>
  </si>
  <si>
    <t>Eventos profesionales deportivos</t>
  </si>
  <si>
    <t>PLAN DE BIENESTAR</t>
  </si>
  <si>
    <t>Gestión de eventos</t>
  </si>
  <si>
    <t>PLAN DE BIENESTAR
_Se incluye el valor del presupuesto de Desarrollo de Talento Humano que corresponde a concursos.  Correo 29/02/2024</t>
  </si>
  <si>
    <t>Seguros de asistencia médica y hospitalización</t>
  </si>
  <si>
    <t>POLIZA DE HOSPITALIZACION Y CIRUGIA</t>
  </si>
  <si>
    <t>SEGURO DEUDORES DE PRESTAMOS HIPOTECARIOS</t>
  </si>
  <si>
    <t>Servicios de asesoría en riesgo</t>
  </si>
  <si>
    <t>El área indica que el contrato no genera ninguna erogación presupuestal, correo martes 14 de enero 2025.</t>
  </si>
  <si>
    <t>Seguros de edificios o del contenido de edificios</t>
  </si>
  <si>
    <t>INCENDIO Y/O TERREMOTO</t>
  </si>
  <si>
    <t>Servicios legales de cobro de deudas o cartera.</t>
  </si>
  <si>
    <t>SERVICIO DE OUTSOURCING PARA LA ADMÓN Y CONTROL DE CREDITOS AL PERSONAL</t>
  </si>
  <si>
    <t>Servicios de suministro de alimentos</t>
  </si>
  <si>
    <t xml:space="preserve">Contratar un proveedor  que suministre  refrigerios para los procesos de Formación presenciales. </t>
  </si>
  <si>
    <t>CAPACITACIÓN DE PERSONAL, CONGRESOS , FOROS Y SEMINARIOS</t>
  </si>
  <si>
    <t>CAPACITACIÓN DE PERSONAL Y OTROS GASTOS ASOCIADOS</t>
  </si>
  <si>
    <t>GASTOS DE CAPACITACIÓN AL PERSONAL</t>
  </si>
  <si>
    <t>Programas de reconocimiento de servicios</t>
  </si>
  <si>
    <t>Contratar el servicio de una plataforma web para uso ilimitado de los módulos de competencias desempeño por objetivos tareas análisis de potencial volatilidad planes de desarrollo clima organizacional organigrama perfiles de cargo criticidad de cargos y planes de sucesión incluido el servicio de hosting.</t>
  </si>
  <si>
    <t>SELECCION_DE_PERSONAL</t>
  </si>
  <si>
    <t>SELECCION_DE_PERSONAL_</t>
  </si>
  <si>
    <t>OTROS_GASTOS_ASOCIADOS_AL_PROCESO_DE_SELECCIÓN_DE_PERSONAL</t>
  </si>
  <si>
    <t xml:space="preserve">Subgerencia de Recursos Físicos </t>
  </si>
  <si>
    <t>Servicios de elaboración de bebidas de agua</t>
  </si>
  <si>
    <t>APROBADAS</t>
  </si>
  <si>
    <t>JESSNY TATIANA GARCIA</t>
  </si>
  <si>
    <t>Solicitud contractual No. 6794 del 6 de diciembre de 2024</t>
  </si>
  <si>
    <t>ASEO Y CAFETERIA</t>
  </si>
  <si>
    <t>CAFETERIA</t>
  </si>
  <si>
    <t>MIRYAM ADRIANA ORTIZ</t>
  </si>
  <si>
    <t>JUDICIALES NOTARIALES Y DE REGISTRO</t>
  </si>
  <si>
    <t>GASTOS JUDICIALES, NOTARIALES Y DE SOLICITUD DE CERTIFICADOS</t>
  </si>
  <si>
    <t>Máquinas de cappuccino o expreso</t>
  </si>
  <si>
    <t>Solicitud contractual No. 6791 del 6 de diciembre de 2024</t>
  </si>
  <si>
    <t>MANTENIMIENTO Y REPARACIONES ADMINISTRATIVAS</t>
  </si>
  <si>
    <t>MANTENIMIENTO Y REPARACIONES, MUEBLES, ENSERES Y OTROS</t>
  </si>
  <si>
    <t>Servicio de instalación o mantenimiento o reparación de aires acondicionados</t>
  </si>
  <si>
    <t>Solicitud contractual No.6792 del 6 de diciembre de 2024</t>
  </si>
  <si>
    <t>MANTENIMIENTO DE AIRE ACONDICIONADO</t>
  </si>
  <si>
    <t>Contratar todos los ramos de seguros para los bienes muebles e inmuebles de La Previsora S.A. Cía de Seguros</t>
  </si>
  <si>
    <t>AUTOMÓVILES
INFIDELIDAD Y RIESGOS FINANCIEROS
MANEJO COMERCIAL
RESPONSABILIDAD CIVIL
RESPONSABILIDAD CIVIL
SERVIDORES PÚBLICOS
TODO RIESGO DAÑOS MATERIALES
TRANSPORTE DE VALORES
SEGURO OBLIGATORIO DE ACCIDENTES DE TRANSITO
OTROS SEGUROS
RIESGOS CIBERNÉTICOS</t>
  </si>
  <si>
    <t>Servicio de instalación y mantenimiento de avisos</t>
  </si>
  <si>
    <t>Solicitud contractual No. 6829</t>
  </si>
  <si>
    <t>MANTENIMIENTO Y REPARACIONES MUEBLES, ENSERES Y OTROS</t>
  </si>
  <si>
    <t>Servicios de  mantenimiento o administración  de estaciones de bombeo</t>
  </si>
  <si>
    <t>Solicitud contractual No 6796 del 6 de diciembre de 2024</t>
  </si>
  <si>
    <t>Extintores</t>
  </si>
  <si>
    <t>MANTENIMIENTO DE EXTINTORES</t>
  </si>
  <si>
    <t>Servicios de mantenimiento de ascensores</t>
  </si>
  <si>
    <t>MANTENIMIENTO DE ASCENSORES</t>
  </si>
  <si>
    <t>Servicios de vigilancia</t>
  </si>
  <si>
    <t>Necesidad No. 237 del 12 de diciembre de 2024</t>
  </si>
  <si>
    <t>VIGILANCIA</t>
  </si>
  <si>
    <t>CONTRATO NAC. DE VIGILANCIA</t>
  </si>
  <si>
    <t>Software de administración</t>
  </si>
  <si>
    <t>NATHALY MUÑOZ</t>
  </si>
  <si>
    <t>MANTENIMIENTO Y REPARACIONES TECNOLOGICAS</t>
  </si>
  <si>
    <t>MANTENIMIENTO Y REPARACIONES SOFTWARE</t>
  </si>
  <si>
    <t>SIAF</t>
  </si>
  <si>
    <t>Servicios de avalúo de inmuebles</t>
  </si>
  <si>
    <t>HONORARIOS POR AVALÚOS</t>
  </si>
  <si>
    <t>Servicios de mensajería courrier</t>
  </si>
  <si>
    <t>Necesidad No. 241 del 30 de diciembre de 2024</t>
  </si>
  <si>
    <t>SERVICIO DE CORREO
TRANSPORTE URBANO Y ACARREOS</t>
  </si>
  <si>
    <t>SERVICIO DE CORREO
ACARREOS</t>
  </si>
  <si>
    <t>MENSAJERÍA ESPECIAL A NIVEL NACIONAL
SERVICIO DE ACARREO - RECURSOS FÍSICOS</t>
  </si>
  <si>
    <t>Servicios de correo electrónico y mensajería</t>
  </si>
  <si>
    <t>RUSBI JAIR ORDUZ</t>
  </si>
  <si>
    <t>Ferretería en general</t>
  </si>
  <si>
    <t>Necesidad No 239 del 9 de diciembre de 2024</t>
  </si>
  <si>
    <t>ELEMENTOS VARIOS FUNGIBLES</t>
  </si>
  <si>
    <t>PROVEEDURÍA SUMINISTRO DE ELEMENTOS FUNGIBLES</t>
  </si>
  <si>
    <t>Servicios de terminado interior, dotación y remodelación</t>
  </si>
  <si>
    <t>THELMIRA NUÑEZ</t>
  </si>
  <si>
    <t>ADECUACION E INSTALACION DE OFICINA</t>
  </si>
  <si>
    <t>INSTALACIONES ELÉCTRICAS
REMODELACIÓN
REPARACIONES LOCATIVAS</t>
  </si>
  <si>
    <t>Revistas</t>
  </si>
  <si>
    <t>Contratar la suscripción Contexto Jurídico</t>
  </si>
  <si>
    <t>PUBLICACIONES, SUSCRIPCIONES Y BIBLIOTECA</t>
  </si>
  <si>
    <t>OTRAS PUBLICACIONES Y SUSCRIPCIONES</t>
  </si>
  <si>
    <t>Taller</t>
  </si>
  <si>
    <t>Solicitud contractual No. 6793 del 6 de diciembre de 2024</t>
  </si>
  <si>
    <t>MANTENIMIENTO Y REPARACIONES VEHÍCULOS DE LA COMPAÑÍA</t>
  </si>
  <si>
    <t>Mantenimiento o monitoreo de alarmas contra incendios</t>
  </si>
  <si>
    <t>mantenimientos preventivos y correctivos al sistema de alarma y detección de incendios de Casa Matriz</t>
  </si>
  <si>
    <t>Conjuntos o dispositivos de polo a tierra</t>
  </si>
  <si>
    <t>mantenimiento preventivo y correctivo del sistema de apantallamiento (pararrayos), sistema de puesta a tierra, Instalación de DPS</t>
  </si>
  <si>
    <t xml:space="preserve">Servicio de limpieza y mantenimiento de edificios y oficinas </t>
  </si>
  <si>
    <t xml:space="preserve"> suministro y distribución elementos de oficina, útiles, papelería, elementos de aseo y cafetería a nivel nacional, bajo un esquema de proveeduría integral.</t>
  </si>
  <si>
    <t>Para la vigencia 2025, solo se proyectó presupuesto por el concepto: INSUMOS DE PAPELERÍA, FORMAS PREIMPRESAS A NIVEL NACIONAL, dado que solo es un mes de ejecución.</t>
  </si>
  <si>
    <t>ASEO Y CAFETERIA
GASTOS DE EMISION DE POLIZAS
UTILES Y PAPELERIA</t>
  </si>
  <si>
    <t>ASEO
CAFETERIA
GASTOS DE EMISION DE POLIZAS
UTILES Y PAPELERIA</t>
  </si>
  <si>
    <t>PROVEEDURÍA ELEMENTOS DE  ASEO
PROVEEDURÍA ELEMENTOS DE CAFETERÍA
PAPELERÍA ESPECIAL FORMAS IMPRESAS 
INSUMOS DE PAPELERÍA, FORMAS PREIMPRESAS A NIVEL NACIONAL</t>
  </si>
  <si>
    <t>Suscripción digital del diario de La República</t>
  </si>
  <si>
    <t>DIARIO LA REPÚBLICA</t>
  </si>
  <si>
    <t>Servicio de instalación de sistemas de alarmas contra robo y detección de fuego</t>
  </si>
  <si>
    <t>Reubicación sistema de alarma</t>
  </si>
  <si>
    <t>Teléfonos fijos</t>
  </si>
  <si>
    <t xml:space="preserve">Compra de teléfonos </t>
  </si>
  <si>
    <t>INV. ADQUISICIÓN ACTIVOS FIJOS</t>
  </si>
  <si>
    <t>INV. ADQUISICIÓN ACTIVOS - EQUIPO, MUEBLES, ENSERES DE OFICINA</t>
  </si>
  <si>
    <t>Servicios de mensajería especializada</t>
  </si>
  <si>
    <t>Prestar el servicio de mensajería especializada bajo la modalidad de outsourcing a nivel nacional, para el manejo, recepción, distribución y entrega de la correspondencia urbana y demás comunicaciones oficiales enviadas y recibidas
tiene menú contextual</t>
  </si>
  <si>
    <t>Revisión de RFQ por la Subgerencia de Recursos Físicos</t>
  </si>
  <si>
    <t>TRANSPORTE URBANO Y ACARREOS</t>
  </si>
  <si>
    <t>TRANSPORTE URBANO</t>
  </si>
  <si>
    <t>SERVICIO DE MENSAJERÍA ESPECIALIZADA</t>
  </si>
  <si>
    <t>Rehabilitación ambiental</t>
  </si>
  <si>
    <t>DIANA PAOLA GRANADOS</t>
  </si>
  <si>
    <t>CONTRIBUCIONES Y AFILIACIONES</t>
  </si>
  <si>
    <t>CONTRIBUCIÓN BONOS CARBONO</t>
  </si>
  <si>
    <t>Servicios de siembra de árboles. arbustos o plantas ornamentales</t>
  </si>
  <si>
    <t>Siembra de arboles</t>
  </si>
  <si>
    <t>Equipo y suministros de producción de microfilmes</t>
  </si>
  <si>
    <t>Servicio de modernización de formato (MICROFILMACIÓN)</t>
  </si>
  <si>
    <t>GASTOS DE ARCHIVO Y MICROFILMACION</t>
  </si>
  <si>
    <t>SERVICIO DE MANEJO DOCUMENTAL</t>
  </si>
  <si>
    <t>Hornos microondas para uso comercial</t>
  </si>
  <si>
    <t>Adquisición de 5 hornos microondas caseros</t>
  </si>
  <si>
    <t>ADQ. DE ACTIVOS FIJOS NECESIDADES CASA MATRIZ</t>
  </si>
  <si>
    <t>Aires acondicionados</t>
  </si>
  <si>
    <t xml:space="preserve">Adquisición de 1 aire de backup para la compañia </t>
  </si>
  <si>
    <t>Impresora básica</t>
  </si>
  <si>
    <t>Adquisición de 4 equipos con impresora de stickers y pistola para las recepciones</t>
  </si>
  <si>
    <t>Sistemas de alarma contra incendios</t>
  </si>
  <si>
    <t xml:space="preserve">Adquisición por actualización del sistema de detección de incendio Casa Matriz </t>
  </si>
  <si>
    <t>Tanques de almacenamiento</t>
  </si>
  <si>
    <t>Adquisición de hidroacumulador</t>
  </si>
  <si>
    <t>Computadores de tableta</t>
  </si>
  <si>
    <t xml:space="preserve">Adquisición de 2 tablets para el sistema de control de activos </t>
  </si>
  <si>
    <t>Mantenimiento de hidroacumuladores</t>
  </si>
  <si>
    <t>Gasolina</t>
  </si>
  <si>
    <t>Suministro de ACPM para la planta eléctrico y GASOLINA para los vehículos de la compañía</t>
  </si>
  <si>
    <t>MANTENIMIENTO Y REPARACIONES MUEBLES, ENSERES Y OTROS
MANTENIMIENTO Y REPARACIONES VEHÍCULOS DE LA COMPAÑÍA</t>
  </si>
  <si>
    <t>Detectores de movimiento</t>
  </si>
  <si>
    <t>Reconocimiento facial</t>
  </si>
  <si>
    <t>ACTUALIZACIÓN DEL APLICATIVO DEL SISTEMA DE CONTROL DE ACCESO Y PROG. PUERTAS</t>
  </si>
  <si>
    <t>Servicios de asesoría de gestión</t>
  </si>
  <si>
    <t>Contratar bibliotecologo</t>
  </si>
  <si>
    <t xml:space="preserve">Presupuesto de la Gerencia de Planeación </t>
  </si>
  <si>
    <t>SGDEA</t>
  </si>
  <si>
    <t>Contratar historiador</t>
  </si>
  <si>
    <t>Secretaria General</t>
  </si>
  <si>
    <t>Prestación de servicios profesionales</t>
  </si>
  <si>
    <t>Apoyar el direccionamiento de procesos asociados al fortalecimiento de una cultura de Sostenibilidad y Responsabilidad Social Empresarial (RSE), mediante definición y realización de estrategias y acciones dirigidas a los ejes de Pacto Global de Naciones Unidas: Derechos Humanos, Ambiente, Estándares Laborales y Anticorrupción y la implementación de nuevos estándares que permitan que Previsora sea un referente en estas materias ante la comunidad en general, entre otras actividades que contribuyan a desarrollo sostenible y al cumplimiento de los compromisos del Gobierno Nacional.</t>
  </si>
  <si>
    <t>JAIVER ANDRES PARRA SILVA</t>
  </si>
  <si>
    <t>PRESTACIÓN DE SERVICIOS SECRETARÍA GENERAL</t>
  </si>
  <si>
    <t>Servicios de custodia de valores</t>
  </si>
  <si>
    <t>Contratar el servicio de desmaterialización de acciones de la compañía - DECEVAL</t>
  </si>
  <si>
    <t>JENNY ALEXANDRA NARANJO</t>
  </si>
  <si>
    <t>RESULTADO FINANCIERO</t>
  </si>
  <si>
    <t xml:space="preserve">CUSTODIA DE TITULOS </t>
  </si>
  <si>
    <t>Software de planificación de recursos empresariales (ERP) y contabilidad financiera</t>
  </si>
  <si>
    <t>Soporte y Mantenimiento aplicativo Porfin BackOffice Inversiones</t>
  </si>
  <si>
    <t>El valor total de la contratación no corresponde a la suma de las vigencias futuras. (G.C.)</t>
  </si>
  <si>
    <t>MANTENIMIENTO Y REPARACIONES SOTWARE</t>
  </si>
  <si>
    <t>PORFIN</t>
  </si>
  <si>
    <t>ARRENDAMIENTO TECNOLOGICO</t>
  </si>
  <si>
    <t>ARRENDAMIENTO HARDWARE</t>
  </si>
  <si>
    <t>Apoyo a la gestión de Programas de Transparencia y Ética Pública.</t>
  </si>
  <si>
    <t>LEYDY VIVIANA MOJICA</t>
  </si>
  <si>
    <t>Servicios profesionales para actuar como asesor permanente de la Junta Directiva de LA PREVISORA S.A. para los asuntos jurídicos en relación con el modelo de gobernanza de la entidad, su integración al Grupo Bicentenario y otros asuntos que puedan surgir en el curso de las sesiones de dicho órgano de administración.</t>
  </si>
  <si>
    <t>Vicepresidencia_Indemnizaciones</t>
  </si>
  <si>
    <t>Gerencia De Indemnizaciones Automóviles</t>
  </si>
  <si>
    <t>Sistemas de manejo de información MIS</t>
  </si>
  <si>
    <t>JOSE BERNARDO ALEMAN</t>
  </si>
  <si>
    <t>GASTOS DE SINIESTROS</t>
  </si>
  <si>
    <t>OTROS GASTOS DE SINIESTROS</t>
  </si>
  <si>
    <t>AUDATEX</t>
  </si>
  <si>
    <t>Gerencia De Indemnizaciones Soat, Vida Y AP</t>
  </si>
  <si>
    <t>Valoración del estado de salud individual</t>
  </si>
  <si>
    <t>MARIA CATALINA GOMEZ GORDILLO</t>
  </si>
  <si>
    <t>Se estima valor por un año de servicio</t>
  </si>
  <si>
    <t>Asistencia de oficina o administrativa temporal</t>
  </si>
  <si>
    <t>Prestar servicios de apoyo en indemnizaciones de los ramos Soat y AP.</t>
  </si>
  <si>
    <t>Servicios de auditoría</t>
  </si>
  <si>
    <t>Servicios de  auditoria concurrente, médica, técnica, documental y jurídica de los reclamos presentados a nivel nacional, de los ramos de SOAT y AP</t>
  </si>
  <si>
    <t>Se estima valor por tres años de servicio de auditoría de cuentas de los ramos de SOAT y AP</t>
  </si>
  <si>
    <t>Vicepresidencia_Comercial</t>
  </si>
  <si>
    <t xml:space="preserve">Oficina de Mercadeo Y Publicidad </t>
  </si>
  <si>
    <t>Publicidad impresa</t>
  </si>
  <si>
    <t>ALEJANDRA ESCOBAR NIÑO</t>
  </si>
  <si>
    <t>Elementos promocionales y propaganda</t>
  </si>
  <si>
    <t>Publicidad y propaganda</t>
  </si>
  <si>
    <t>Folleteria y publicaciones</t>
  </si>
  <si>
    <t>Logistica del comite de gestión primer semestre</t>
  </si>
  <si>
    <t>Comite de gestión</t>
  </si>
  <si>
    <t>Gtos comite de gestión</t>
  </si>
  <si>
    <t>Logistica del comite de gestión segundo semestre</t>
  </si>
  <si>
    <t>Mercancía promocional</t>
  </si>
  <si>
    <t>Compra de material promocional</t>
  </si>
  <si>
    <t>Al parecer código UNSPSC no corresponde a la descripción del código. (G.C.)</t>
  </si>
  <si>
    <t>Elementos promocionales y publicidad y propaganda</t>
  </si>
  <si>
    <t>Elementos promocionales</t>
  </si>
  <si>
    <t>Material promocional</t>
  </si>
  <si>
    <t>Gerencia De Negocios</t>
  </si>
  <si>
    <t>Software de servidor de transacciones</t>
  </si>
  <si>
    <t>La propuesta presentada por el Proveedor comprende una solución para la cotización, recaudo y emisión de la Nota de Cobertura de otros seguros (Accidentes Personales) incluyendo la venta cruzada a través de la red SOAT por medio del punto de venta virtual, el cual está contratado actualmente por LA PREVISORA. 2. Alcance del Servicio. Con la implementación de la venta cruzada, LA PREVISORA tendrá disponible en adelante la aplicación iSeguros en la modalidad de Software como servicio, donde generando nuevos alcances y estimaciones se pueden configurar productos de cualquier tipo de seguros de Vida y Generales, para uso de cualquiera de los negocios de la Compañía, en este caso a través de la venta virtual, a continuación, se detalla el alcance de la propuesta.</t>
  </si>
  <si>
    <t>TATIANA VALENCIA /  ELIZABETH  SILVA / NUBIA CHAMORRO / SANDRA PEÑA</t>
  </si>
  <si>
    <t xml:space="preserve">Area: Gerencia de Negocios.  Columnas G, H, y J se registran con datos estimados, dado que, se encuentra a la fecha de diligenciamiento de este cuadro, pendiente el concepto de la G de Contratación para definir si es otro Si al contrato actual con Transfiriendo o un contrato nuevo con este mismo proveedor.  El propósito de  la contratación es agregar la opción de venta digital del seguro de Accidentes Personales a cada cliente que compre el SOAT en la plataforma actual que aparece en la página web de la Compañía. </t>
  </si>
  <si>
    <t>Gastos de Emisión de Pólizas</t>
  </si>
  <si>
    <t>SERVICIO TRANSACCIONAL SOAT</t>
  </si>
  <si>
    <t>Subgerencia de Planeación Comercial</t>
  </si>
  <si>
    <t>Publicaciones periódicas</t>
  </si>
  <si>
    <t>Encuesta de Calidad del Servicio de las Compañías de Seguros</t>
  </si>
  <si>
    <t>JHON FABIO LINARES PINEDA</t>
  </si>
  <si>
    <t xml:space="preserve">GAstos Administrativos </t>
  </si>
  <si>
    <t>Publicaciones, suscripciones y bibliotecas</t>
  </si>
  <si>
    <t>Suscripción información de Mercado</t>
  </si>
  <si>
    <t>Subgerencia De Licitaciones</t>
  </si>
  <si>
    <t>Servicios de boletines informativos de interés especial</t>
  </si>
  <si>
    <t>Contratar la prestación del servicio de una publicación especializada en un portal electrónico, que contenga: normatividad, jurisprudencia, doctrina y comentarios relacionados con la Contratación Estatal.</t>
  </si>
  <si>
    <t>CARLOS SUA FORERO</t>
  </si>
  <si>
    <t>Gerencia de Servicio</t>
  </si>
  <si>
    <t>Participación en ferias con pasaje seguro</t>
  </si>
  <si>
    <t>CONTRATACIÓN SIMPLIFICADA</t>
  </si>
  <si>
    <t>YANET ROJAS HERNÁNDEZ</t>
  </si>
  <si>
    <t>La fecha depende de la particiacpion de ferias que remita Banca de las Oportunidades y Fasecolda para el 2025</t>
  </si>
  <si>
    <t>Sistema de Administración Financiera SAC</t>
  </si>
  <si>
    <t>Sistema de Administración Financiera SAC-Compras</t>
  </si>
  <si>
    <t>Ferias</t>
  </si>
  <si>
    <t>Software de desarrollo de plataformas web</t>
  </si>
  <si>
    <t>Admnistración del microsito Saber Seguro Plataforma del Programa Educación Financiera (Importante tener en cuenta que solo aplica IVA a 3 de los 4 servicios contratados).</t>
  </si>
  <si>
    <t>SISTEMA DE ADMINISTRACION
FINANCIERA - SAC</t>
  </si>
  <si>
    <t>SISTEMA DE
ADMINISTRACION
FINANCIERA</t>
  </si>
  <si>
    <t xml:space="preserve">SAC   </t>
  </si>
  <si>
    <t>ANGIE CHINOME</t>
  </si>
  <si>
    <t>Compra de resarcimientos</t>
  </si>
  <si>
    <t>SISTEMA DE ADMINISTRACION
FINANCIERA - SAC COMPRAS</t>
  </si>
  <si>
    <t>Compras</t>
  </si>
  <si>
    <t>Materiales educativos de recursos de aptitudes de vida</t>
  </si>
  <si>
    <t>Actividades de Educación Financiera</t>
  </si>
  <si>
    <t>HONORARIOS
ADMINISTRATIVOS</t>
  </si>
  <si>
    <t>SMART SUPERVISIÓN</t>
  </si>
  <si>
    <t>Servicios de defensoría del pueblo (ombudsman)</t>
  </si>
  <si>
    <t>CONTRATAR SERVICIOS PROFESIONALES DEL DEFENSOR DEL CONSUMIDOR FINANCIERO, DE ACUERDO CON LO ESTABLECIDO EN LA LEY 1328 DE 2009 CAPÍTULO VI
DEFENSORÍA DEL CONSUMIDOR FINANCIERO ARTÍCULO 18.</t>
  </si>
  <si>
    <t xml:space="preserve">El valor estimado del contrato puede variar dependiendo la desición de la Asamblea de Accionistas. </t>
  </si>
  <si>
    <t>Defensor del Consumidor</t>
  </si>
  <si>
    <t>Servicio de gestión de programas promocionales</t>
  </si>
  <si>
    <t>Contrar servicios de fidelización de clientes</t>
  </si>
  <si>
    <t>JUAN DAVID SÁNCHEZ</t>
  </si>
  <si>
    <t xml:space="preserve">El programa de fidelización se esta estructurando en conjunto con la VPC y la Ger de Negocios Privados y Personas. Una vez definido se realizará el proceso completo. </t>
  </si>
  <si>
    <t>Fidelización de Clientes</t>
  </si>
  <si>
    <t>Iniciativas de experiencia de clientes</t>
  </si>
  <si>
    <t>De acuerdo a las iniciativas que se priorizaron con procesos y proyectos se llevaran a cabo las contrataciones de acuerdo a la necesidad</t>
  </si>
  <si>
    <t>Experiencia de Clientes</t>
  </si>
  <si>
    <t>Servicio de procesamiento de datos en línea</t>
  </si>
  <si>
    <t>Contratación de los servicios de consulta en línea y en bach de datos personales, información comercial y gestión de cobranza de personas juridicas.</t>
  </si>
  <si>
    <t>Proceso de contratación Experian, se realiza en 2025 y el contrato inicia 01/01/2026</t>
  </si>
  <si>
    <t>Consultoria base de datos - Chatbot (experian)</t>
  </si>
  <si>
    <t>Gerencia de Desarrollo Comercial</t>
  </si>
  <si>
    <t>PRESTAR LOS SERVICIOS DE CONSULTA EN LÍNEA Y EN BATCH DE DATOS PERSONALES, INFORMACIÓN COMERCIAL Y GESTIÓN DE COBRANZA DE PERSONAS NATURALES Y/O JURÍDICAS, QUE SE ENCUENTREN EN PROCESOS DE VINCULACIÓN Y/O VINCULADAS COMERCIALMENTE CON LA PREVISORA S.</t>
  </si>
  <si>
    <t>NUBIA CHAMORRO / NUBIA ROCHA</t>
  </si>
  <si>
    <t>PRESTAR LOS SERVICIOS DE CONSULTA EN LÍNEA Y EN BATCH DE DATOS PERSONALES, INFORMACIÓN COMERCIAL Y GESTIÓN DE COBRANZA DE PERSONAS
NATURALES Y/O JURÍDICAS, QUE SE ENCUENTREN EN PROCESOS DE VINCULACIÓN Y/O VINCULADAS COMERCIALMENTE CON LA PREVISORA S.</t>
  </si>
  <si>
    <t>Universidades y politécnicos</t>
  </si>
  <si>
    <t>JUAN CARLOS CABALLERO</t>
  </si>
  <si>
    <t>Programa de actualización de idoneidad y cursos propios dirigido a los intermediarios de la compañía</t>
  </si>
  <si>
    <t>CAPACITACION CLIENTES EXTERNOS Y CONCURSOS INTERMEDIARIOS Y PARTICIP DE AGENCIAS</t>
  </si>
  <si>
    <t>CAPACITACION CLIENTES EXTERNOS</t>
  </si>
  <si>
    <t>OTRAS CAPACITACIONES A CLIENTES EXTERNOS E INTERMEDIARIOS</t>
  </si>
  <si>
    <t>Agencias de Viajes</t>
  </si>
  <si>
    <t>Prestación de Servicios para el suministro de tiquetes aéreos nacionales e internacionales, alojamiento, desplazamientos terrestres, asesoría y trámites conexos con este tipo de servicios para los Intermediarios que cumplan las condiciones del Plan de Reconocimiento Mutuamente 2024.</t>
  </si>
  <si>
    <t>MILENA ACOSTA</t>
  </si>
  <si>
    <t>CONCURSOS INTERMEDIARIOS Y PARTICIP DE AGENCIAS</t>
  </si>
  <si>
    <t>CONCURSOS INTERMEDIARIOS</t>
  </si>
  <si>
    <t>Capacitaciones dirigidas a intermediarios para el desarrollo de la estrategia, acompañamiento y productividad, permitiendo fortalecer sus capacidades y hacer uso de las herramientas comerciales. Fortalecimiento de productividad</t>
  </si>
  <si>
    <t>Capacitaciones dirigidas a intermediarios para el desarrollo de la estrategia, acompañamiento y productividad, permitiendo fortalecer sus capacidades y hacer uso de las herramientas comerciales. 
Mentoring con los aliados top más de acompañamiento para el desarrollo comercial enfocado en el crecimiento en ventas.</t>
  </si>
  <si>
    <t>Capacitaciones dirigidas a intermediarios para el desarrollo de la estrategia, acompañamiento y productividad, permitiendo fortalecer sus capacidades y hacer uso de las herramientas comerciales.
Motivación, logro de objetivos y cierre efectivo en ventas.</t>
  </si>
  <si>
    <t>Software de consultas y gestión de datos</t>
  </si>
  <si>
    <t xml:space="preserve">Desarrollar y poner en funcionamiento el Sistema Unificado de Consulta de Intermediarios de Seguros – SUCIS Gremial, que permitirá consolidar y dar a conocer a la Superintendencia Financiera y al público en general, la información relacionada con la idoneidad, experiencia y capacidad de los intermediarios
</t>
  </si>
  <si>
    <t>AMINTA PUYO / NUBIA CHAMORRO</t>
  </si>
  <si>
    <t>El contrato inicia en dic/25 con pagos trimestrales a partir de marzo de 2026.</t>
  </si>
  <si>
    <t xml:space="preserve">OTRAS CAPACITACIONES A CLIENTES EXTERNOS E INTERMEDIARIOS
</t>
  </si>
  <si>
    <t>Vicepresidencia_Tecnica</t>
  </si>
  <si>
    <t>Oficina De Transportes</t>
  </si>
  <si>
    <t>Servicios de vigilancia de la carga</t>
  </si>
  <si>
    <t>Servicio de inspección portuario de mercancías en importación y exportación a nivel nacional, direccionado a generadores de carga, agentes de carga, transportadores de carga, operadores logísticos y operadores de transporte multimodal (OTM).</t>
  </si>
  <si>
    <t>JAVIER GARZÓN PARROQUIANO</t>
  </si>
  <si>
    <t>VIGILANCIA MERCANCIA PUERTOS</t>
  </si>
  <si>
    <t>Especialistas en interconexión de tecnologías de la información temporales</t>
  </si>
  <si>
    <t>Suministrar el derecho de uso de la plataforma tecnológica COLOMBIA SOFTWARE que permita la captura de todos y cada uno de los despachos que realicen los clientes asegurados en Previsora en los diferentes productos del ramo de transportes, a fin de emitir certificados específicos, certificados de excesos y emisión de pólizas de seguro, así como también permitir el cálculo de las primas causadas en un lapso de tiempo determinado por la aseguradora y en todos los productos que componen el portafolio del ramo de transportes.</t>
  </si>
  <si>
    <t>GASTOS DE EMISION DE POLIZAS</t>
  </si>
  <si>
    <t>PLATAFORMA TECNOLÓGICA PRODUCTOS DE TRANSPORTES</t>
  </si>
  <si>
    <t xml:space="preserve">Oficina De Prevención De Riesgos </t>
  </si>
  <si>
    <t>Servicio de asesoramiento para la  gestión de riesgo</t>
  </si>
  <si>
    <t xml:space="preserve">EL PROVEEDOR se compromete con LA PREVISORA S.A  a prestar el servicio de análisis dieléctrico, fisicoquímico, cromatográfico de gases, furanos y PCB´s a los transformadores eléc-tricos y monitoreo en línea para determinar parámetros de calidad de energía de asegurados asigna-dos por LA PREVISORA S.A. </t>
  </si>
  <si>
    <t>YURY XIMENA CORONEL AREVALO</t>
  </si>
  <si>
    <t>PREVENCIÓN DE SINIESTROS</t>
  </si>
  <si>
    <t>Prestar los servicios de inspección de los bienes asegurables y/o asegurados y/o de administración de riesgos y control de pérdidas de riesgos en curso y/o por suscribir asignados por LA PREVISORA S.A. en las sucursales que LA PREVISORA S.A. disponga.</t>
  </si>
  <si>
    <t>Contrato integrado por la OPR y 5 Sucursales Valor SIN IVA
ESTATAL $63,500,000
CALI $50,000,000
TUNJA $30,000,000
VILLAVICENCIO $40,000,000
CUCUTA $24,000,000</t>
  </si>
  <si>
    <t>Contrato integrado por la OPR y 2 Sucursales Valor SIN IVA
OPR $30,000,000
MEDELLÍN $40.595.000
IBAGUÉ $25,000,000
ESTATAL $33,500,000</t>
  </si>
  <si>
    <t xml:space="preserve">Contrato integrado por la OPR y 2 Sucursales Valor SIN IVA
OPR $75,000,000 
CSM $26.386.032
CEC $50,000,000
</t>
  </si>
  <si>
    <t xml:space="preserve">Contrato integrado por la OPR y 4 Sucursales Valor SIN IVA
OPR $75,000,000 
CSM $26.386.032
CEC $25,000,000
CALI $50,000,000
VIRTUAL BARRANQUILLA $25,000,000
</t>
  </si>
  <si>
    <t>Contrato integrado por la OPR y 5 Sucursales Valor SIN IVA
OPR $25,000,000
BUCARAMANGA $40,000,000
PEREIRA $30,000,000
CARTAGENA $30,000,000
MEDELLÍN $40.595.000
ESTATAL $30.000.000</t>
  </si>
  <si>
    <t>Contrato integrado por la OPR y 6 Sucursales Valor SIN IVA
OPR $45,000,000
ARMENIA $32.830.700
PEREIRA $30,000,000
CARTAGENA $30,000,000
MEDELLÍN $40.595.000
MANIZALES $21.738.958
CSM $26.386.032</t>
  </si>
  <si>
    <t>EL PROVEEDOR se compromete con LA PREVISORA S.A. a prestar el servicio de Administración de Riesgos de Responsabilidad Civil Profesional de Clínicas y Hospitales para las instituciones Hospitalarias asignados por la Oficina de Responsabilidad Civil y la Oficina de Prevención de Riesgos, cumpliendo con lo indicado en el manual de políticas, normas y procedimientos de suscripción del ramo de Responsabilidad Civil y el manual para análisis de riesgos.</t>
  </si>
  <si>
    <t>EL PROVEEDOR se compromete con LA PREVISORA S.A. a Prestar los servicios de administración de riesgos, control de pérdidas y procedimientos especializados para los diferentes riesgos amparados en negocios nue-vos o vigentes del ramo de automóviles</t>
  </si>
  <si>
    <t>Gerencia Técnica De Seguros Generales E Ingenierias</t>
  </si>
  <si>
    <t>Servicios de archivo de datos</t>
  </si>
  <si>
    <t>Realizar la georreferenciación de los riesgos que indique LA PREVISORA S.A. garantizando el cumplimiento a lo establecido en el Decreto 4865 de 2011 emitido por el Ministerio de Hacienda y Crédito Público, reglamentado por la circular externa No. 011 de 2013 de la Superintendencia Financiera de Colombia, los formatos 506 y 539 y lo establecido en el PIGT de LA PREVISORA S.A. basado en la circular externa 006 de 2018 de la Súper Intendencia Financiera de Colombia.</t>
  </si>
  <si>
    <t>MISAEL SIERRA SALGADO</t>
  </si>
  <si>
    <t>El contrato actual se encuentra vigente  hasta el 31 de diciembre de 2025</t>
  </si>
  <si>
    <t>GEORREFERENCIACION</t>
  </si>
  <si>
    <t>Gerencia Técnica De Automóviles</t>
  </si>
  <si>
    <t xml:space="preserve">Consulta de información de siniestralidad por medio de un aplicativo de Inverfas - Fasecolda. </t>
  </si>
  <si>
    <t>WILSON ORLANDO PARRA NÚÑEZ</t>
  </si>
  <si>
    <t>Publicaciones, suscripciones y biblioteca</t>
  </si>
  <si>
    <t>Inverfas</t>
  </si>
  <si>
    <t>Alquiler de vehículos</t>
  </si>
  <si>
    <t xml:space="preserve">Vehículo de reemplazo, para los asegurados de vehiculos livianos que presenten siniestros. </t>
  </si>
  <si>
    <t>Gastos de emisión de pólizas</t>
  </si>
  <si>
    <t>Vehículo de reemplazo</t>
  </si>
  <si>
    <t>Servicios de inspección de vehículos</t>
  </si>
  <si>
    <t xml:space="preserve">Servicio de inspección, marcación y revisión técnico mecánica a vehículos por asegurar. </t>
  </si>
  <si>
    <t>Se inicia proceso estudio de mercado septiembre 2025</t>
  </si>
  <si>
    <t>Inspección vehícular</t>
  </si>
  <si>
    <t>Gerencia De Actuaría</t>
  </si>
  <si>
    <t>Aplicaciones para el mantenimiento de software.</t>
  </si>
  <si>
    <t>JUAN DAVID LOZANO</t>
  </si>
  <si>
    <t>ARRENDAMIENTO TECNOLÓGICO</t>
  </si>
  <si>
    <t>SOFTWARE RMS</t>
  </si>
  <si>
    <t>Software de sistemas expertos</t>
  </si>
  <si>
    <t>IMPLEMENTACON SOFWARE FIS</t>
  </si>
  <si>
    <t>CAMILO FIGUEROA</t>
  </si>
  <si>
    <t>NIIF - SERVICIOS ACTUARÍA</t>
  </si>
  <si>
    <t>Fondos de pensiones administrados por el empleador</t>
  </si>
  <si>
    <t>CALCULO PASIVO PENSIONAL</t>
  </si>
  <si>
    <t>LEONARDO PARRA ALARCON</t>
  </si>
  <si>
    <t>SERVICIOS ACTUARIALES ESPECIALIZADOS</t>
  </si>
  <si>
    <t>MANTENIMIENTO SOFTWARE EMBLEM</t>
  </si>
  <si>
    <t>NIIF - AS</t>
  </si>
  <si>
    <t>IMPLEMENTACON SOFWARE FIS - REPORTERÍA</t>
  </si>
  <si>
    <t>La activación de este contrato queda atado al pronunciamiento de la SFC de acuerdo a la normatividad NIIF 17</t>
  </si>
  <si>
    <t>NIIF</t>
  </si>
  <si>
    <t xml:space="preserve">Oficina De Ramos Técnicos </t>
  </si>
  <si>
    <t>Servicios de cultivos agricolas</t>
  </si>
  <si>
    <t>ANDRES FELIPE GUERRA</t>
  </si>
  <si>
    <t>SEGURO AGROPECUARIO - AT</t>
  </si>
  <si>
    <t>Gerencia Técnica De Soat</t>
  </si>
  <si>
    <t>Consulta al web services de RUNT (set de datos del propitario)</t>
  </si>
  <si>
    <t>MAGDA MILENA PIZZO BUITRAGO</t>
  </si>
  <si>
    <t>Se requiere contratar un set de datos nuevo, (datos de propietario) el cual se suministra mediante Web Services, con el fin de mejorar la calidad de la información de los tomadores en las polizas del ramo SOAT</t>
  </si>
  <si>
    <t>GASTOS_DE_EMISION_DE_POLIZAS</t>
  </si>
  <si>
    <t>GASTOS_DE_EMISION_DE_POLIZAS_</t>
  </si>
  <si>
    <t>SERVICIO_TRANSACCIONAL_SOAT</t>
  </si>
  <si>
    <t>Vicepresidencia_Financiera</t>
  </si>
  <si>
    <t>Gerencia De Planeacion Financiera</t>
  </si>
  <si>
    <t>Asistencia financiera</t>
  </si>
  <si>
    <t>CARLOS ANDRÉS CARRILLO</t>
  </si>
  <si>
    <t>Honorarios Administrativos</t>
  </si>
  <si>
    <t>Calificación de la fortaleza financiera</t>
  </si>
  <si>
    <t>Mantenimiento y soporte de software</t>
  </si>
  <si>
    <t>Contrato soporte y matenimiento Datacipres</t>
  </si>
  <si>
    <t>Contrato vigente hasta mayo 2025</t>
  </si>
  <si>
    <t>Mantenimiento y reparaciones tecnológicas</t>
  </si>
  <si>
    <t>Manteninimiento de Software</t>
  </si>
  <si>
    <t>Sistema de Gestión Presupuestal</t>
  </si>
  <si>
    <t xml:space="preserve">Gerencia De Inversiones </t>
  </si>
  <si>
    <t>Acuerdos de inversiones</t>
  </si>
  <si>
    <t>MARIA CAROLINA RODRIGUEZ/MARIA TERESA ROMERO</t>
  </si>
  <si>
    <t>Resultado Financiero</t>
  </si>
  <si>
    <t>Asesorias Juridicas</t>
  </si>
  <si>
    <t>Asesores de inversiones</t>
  </si>
  <si>
    <t>PRI</t>
  </si>
  <si>
    <t>Servicios de Contratación Bursatil</t>
  </si>
  <si>
    <t>Servicio de software informativo financiero sobre noticias y datos macroecónomicos locales e internacionales que integra bases de datos, noticias, gráficos, calculadoras, email. Información Multimedia y herramientas.</t>
  </si>
  <si>
    <t>Bloomberg</t>
  </si>
  <si>
    <t>Asesoria de Inversiones</t>
  </si>
  <si>
    <t>Prestar una consultoría que derive en la construcción del Portafolio Modelo (Benchmark) y Portafolios Tácticos, a luz de los estándares internacionales recomendados por CFA Institute, IOSCO y SEC,</t>
  </si>
  <si>
    <t>Otros gastos Resultado Financiero</t>
  </si>
  <si>
    <t>Subgerencia de Impuestos</t>
  </si>
  <si>
    <t>Servicios de asesoría  fiscal</t>
  </si>
  <si>
    <t>Servicios profesionales de asesoría en materia tributaria, aplicable a los impuestos nacionales y
municipales para LA PREVISORA S.A.</t>
  </si>
  <si>
    <t xml:space="preserve">JORGE ENRIQUE ALDANA </t>
  </si>
  <si>
    <t>ASESORIAS  TRIBUTARIAS Y/O REVISIÓN DE RENTA </t>
  </si>
  <si>
    <t>Gerencia Contable y Tributaria</t>
  </si>
  <si>
    <t xml:space="preserve">Desarrollo de políticas u objetivos empresariales </t>
  </si>
  <si>
    <t>LUZ STELLA ROJAS</t>
  </si>
  <si>
    <t>NIIF - Consultoria</t>
  </si>
  <si>
    <t>Juntas de revisión de estándares profesionales</t>
  </si>
  <si>
    <t>Afiliar a la Previsora S.A. Compañía de Seguros  a la agremiacion durante el periodo 2024 a mayo de 2025 y participarción a las jornadas colombianas de derecho tributario</t>
  </si>
  <si>
    <t>INSTITUTO COLOMBIANO DE DERECHO TRIBUTARIO ICDT</t>
  </si>
  <si>
    <t>Servicios de asesoramiento sobre tecnologías de la información</t>
  </si>
  <si>
    <t>Consultoría para la evaluación, selección y adecuación del ERP financiero</t>
  </si>
  <si>
    <t xml:space="preserve">CONSULTORÍA ERP </t>
  </si>
  <si>
    <t>Prestación de servicios profesionales para apoyar la elaboración de medios magneticos 2024</t>
  </si>
  <si>
    <t>PRESTACIÓN DE SERVICIOS - GER. CONTABLE Y TRIBUTARIA</t>
  </si>
  <si>
    <t>Software de contabilidad</t>
  </si>
  <si>
    <t>servicio de soporte, mantenimiento, consultoría y actualización de la aplicación de Conciliación DATA MATCH CONCISO WEB (nuevo versionamiento modelo SAAS)</t>
  </si>
  <si>
    <t>Arrendamiento Tecnológico</t>
  </si>
  <si>
    <t>Arrendamiento Software</t>
  </si>
  <si>
    <t>Mantenimiento y Reparaciones Tecnológicas</t>
  </si>
  <si>
    <t>Mantenimiento y Reparaciones Software</t>
  </si>
  <si>
    <t>Presidencia_</t>
  </si>
  <si>
    <t>Servicios de alquiler o arrendamiento de licencias de software de computador</t>
  </si>
  <si>
    <t>Sevicios SaS Software para la gestiónde riesgos</t>
  </si>
  <si>
    <t>INES NIETO QUINTERO</t>
  </si>
  <si>
    <t>El contrato actual tiene vigencia hasta el 31-12-2025, el presupuesto del 2025 ya esta ejecutado. La contratación se realiza por dos años, se requiere vigencia fuutra para el 2027.</t>
  </si>
  <si>
    <t>Arrendamiento tecnológico</t>
  </si>
  <si>
    <t>Software riesgo operativo</t>
  </si>
  <si>
    <t xml:space="preserve">Servicios de investigación privada </t>
  </si>
  <si>
    <t>Servicios de investigación y análisis de los casos reportados a traés de la línea ética</t>
  </si>
  <si>
    <t>Plan antifraude</t>
  </si>
  <si>
    <t>Servicios de consultoria para evaluar y optimizar el SARO</t>
  </si>
  <si>
    <t>Se preve que el contrato tenga una vigencia máxima de 6 meses</t>
  </si>
  <si>
    <t>Diseño y ejecución de simulaciones y pruebas de continuidad del negocio que fortalezcan la capacidad de respuesta ante incidentes de seguridad y crisis</t>
  </si>
  <si>
    <t>SANDRA CEDIEL</t>
  </si>
  <si>
    <t>El contrato es nuevo. Se espera iniciar estudio de mercado en marzo y el contrato tendrá una duración aproximada de 4 meses</t>
  </si>
  <si>
    <t>PLAN DE CONTINUIDAD DE NEGOCIO</t>
  </si>
  <si>
    <t>Apoyo en la gestión de seguridad de la información y la ciberseguridad</t>
  </si>
  <si>
    <t>SEGURIDAD INFORMATICA Y ADMINISTRACION DE INFRAESTRUCTURA TECNOLOGICA</t>
  </si>
  <si>
    <t>SEGURIDAD INFORMATICA</t>
  </si>
  <si>
    <t>SEGURIDAD DE LA INFORMACION - G. RIESGO</t>
  </si>
  <si>
    <t>Suscripción base de datos para listas de riesgos</t>
  </si>
  <si>
    <t>CRISTINA REYNOSA</t>
  </si>
  <si>
    <t>El contrato se realiza para vigencia del 1 de enero al 31 de diciembre de cada año. La contratación se realiza entre octubre y diciembre, para inciar su ejecución el 1 de enero.</t>
  </si>
  <si>
    <t>PUBLICACIONES,
SUSCRIPCIONES Y
BIBLIOTECA</t>
  </si>
  <si>
    <t>LISTAS DE RIESGO- SARLAFT</t>
  </si>
  <si>
    <t>Software funcional específico de la empresa</t>
  </si>
  <si>
    <t>El contrato se realiza para vigencia del 1 de enero  de 2025 al 31 de diciembre de 2026. La contratación se realiza entre octubre y diciembre, para inciar su ejecución el 1 de enero del siguiente año. Con una vigencia de 24 meses</t>
  </si>
  <si>
    <t>PLATAFORMA SARLAFT DIGITAL</t>
  </si>
  <si>
    <t>Suscripción base de datos para listas de PEP´S</t>
  </si>
  <si>
    <t>LISTAS DE PEPS - SARLAFT</t>
  </si>
  <si>
    <t>SEBASTIAN CAMILO RIVERA RINCON / DAVID RICARDO MARIN VILLA</t>
  </si>
  <si>
    <t>MIDAS</t>
  </si>
  <si>
    <t>SAS</t>
  </si>
  <si>
    <t>SILVIA JULIANA ANDRADE GUALDRON / DAVID RICARDO MARIN VILLA</t>
  </si>
  <si>
    <t>BLOOMBERG</t>
  </si>
  <si>
    <t>CINDY RINCÓN</t>
  </si>
  <si>
    <t xml:space="preserve">Servicios profesionales de asesor de Presidencia </t>
  </si>
  <si>
    <t>Prestar los servicios especializados de un actuario para apoyar a la Gerencia de Riesgos, en la gestión del riesgo de seguros, solvencia 2 y generación de demás cálculos actuariales</t>
  </si>
  <si>
    <t>Oficina de Control Interno</t>
  </si>
  <si>
    <t>EL PROVEEDOR se obliga con LA PREVISORA S.A. a prestar el servicio de auditoría interna, valoración del riesgo, auditoría de calidad, ambiental, innovación y seguimiento del Sistema de Control Interno</t>
  </si>
  <si>
    <t>JEFE DE OFICINA CONTROL INTERNO</t>
  </si>
  <si>
    <t xml:space="preserve">El contrato actual vence el 30 de septiembre 2025. Se estima próxima contratación por 3 años. Se proyecto incremento de IPC del 5% para cada uno de los años. Nota: Es susceptible de cambio de acuerdo la decisión del nuevo jefe de la oficina y de la Alta Dirección, así como IPC definitivo de los años proyectados.  </t>
  </si>
  <si>
    <t>Cierre de brechas identificadas</t>
  </si>
  <si>
    <t>En el PAA2024 estaba esta contratación y se inició en diciembre, en este momento se están cargando las evidencias en onbase para revisión del área de contratación.</t>
  </si>
  <si>
    <t>Certificación estandar de calidad</t>
  </si>
  <si>
    <t>contratación para el proceso de certificar la oficina de control interno</t>
  </si>
  <si>
    <t>Vicepresidencia_Juridica</t>
  </si>
  <si>
    <t xml:space="preserve">Gerencia Jurídica </t>
  </si>
  <si>
    <t>Derecho de patentes, marcas o derechos de autor</t>
  </si>
  <si>
    <t>MILAGROS SARMIENTO</t>
  </si>
  <si>
    <t>PRESTACIÓN DE SERVICIOS - GER. JURÍDICA</t>
  </si>
  <si>
    <t>GASTOS DE MERCADEO</t>
  </si>
  <si>
    <t>Servicios de derecho comercial</t>
  </si>
  <si>
    <t>OFICIAL DE PROTECCIÓN DE DATOS</t>
  </si>
  <si>
    <t>Gerencia de Litigios</t>
  </si>
  <si>
    <t>Servicios de investigación legal</t>
  </si>
  <si>
    <t>RODRIGO FRANCO</t>
  </si>
  <si>
    <t>INVESTIGACION DE BIENES, ESTUDIOS DACTILOSCOPICO Y GRAFOLOGICOS</t>
  </si>
  <si>
    <t>Apoyo profesional para el seguimiento y control de cumplimiento de fallos y sentencias en los procesos de responsabilidad fiscal, Administrativos y coactivos</t>
  </si>
  <si>
    <t>PRESTACIÓN DE SERVICIOS - GER. LITIGIOS</t>
  </si>
  <si>
    <t>Apoyo profesional con especialización para el seguimiento y control de cumplimiento de fallos y sentencias en los procesos de responsabilidad fiscal, Administrativos y coactivos</t>
  </si>
  <si>
    <t>Apoyo técnico para el seguimiento y control de cumplimiento de fallos y sentencias en los procesos de judiciales</t>
  </si>
  <si>
    <t>Apoyo asistencial para el proceso de pagos de la Gerencia de Litigios</t>
  </si>
  <si>
    <t>Servicios de asistencia legal</t>
  </si>
  <si>
    <t>Representación y defensa judicial en los litigios de la compañía</t>
  </si>
  <si>
    <t>Gerencia de Contratacion</t>
  </si>
  <si>
    <t>Honorarios Administrativos A DEMANDA</t>
  </si>
  <si>
    <t>CAROLINA GIRALDO DUQUE</t>
  </si>
  <si>
    <t>Vicepresidencia_Desarrollo_Corporativo</t>
  </si>
  <si>
    <t>Subgerencia De Planeación Y Proyectos De Ti</t>
  </si>
  <si>
    <t>Servicios informaticos</t>
  </si>
  <si>
    <t xml:space="preserve">Herramienta de Procesos Judiciales </t>
  </si>
  <si>
    <t>NELSON CAMACHO / RODRIGO FRANCO / ADRIANA ORJUELA</t>
  </si>
  <si>
    <t>La vigencia de este contrato seria a partir del 01/01/2026 (No hay vigencia 2025), y se incluyen valores estimados, ya que se espera buscar una nueva herramienta y aún no se tienen cotizaciones, los valores son con base al contrato actual.</t>
  </si>
  <si>
    <t>ARRENDAMIENTO TECNOLÓGICO /
MANTENIMIENTO Y REPARACIONES TECNOLOGICAS</t>
  </si>
  <si>
    <t>ARRENDAMIENTO SOFTWARE /
MANTENIMIENTO Y REPARACIONES DE SOFTWARE</t>
  </si>
  <si>
    <t>HERRAMIENTA PROCESOS JUDICIALES /
HERRAMIENTA PROCESOS JUDICIALES - SOFTWARE</t>
  </si>
  <si>
    <t>Subgerencia De Mantenimiento De Sistemas De Información</t>
  </si>
  <si>
    <t>Servicios de implementación de apliaciones</t>
  </si>
  <si>
    <t xml:space="preserve">Servicio validador de polizas </t>
  </si>
  <si>
    <t>DIANA MARULANDA</t>
  </si>
  <si>
    <t>La vigencia de este contrato seria a partir del 01/01/2026 (No hay vigencia 2025), y se incluyen valores estimados,este es un contrato que se paga según la demanda del servicio y se tiene previsto que con el contrato actual (248-2024) se cubra la necesidad del 2025.</t>
  </si>
  <si>
    <t>MANTENIMIENTO Y 
REPARACIONES 
TECNOLOGICAS</t>
  </si>
  <si>
    <t>SERVICIO VALIDADOR POLIZAS</t>
  </si>
  <si>
    <t>Subgerencia De Infraestructura Y Servicios de Ti</t>
  </si>
  <si>
    <t xml:space="preserve">Servicios de sistemas y administración de componentes de sistemas </t>
  </si>
  <si>
    <t>Admon lógica y física de los equipos LAN-WLAN</t>
  </si>
  <si>
    <t>MANUEL CÁRDENAS</t>
  </si>
  <si>
    <t>MANTENIMIENTO Y REPARACIONES HARDWARE</t>
  </si>
  <si>
    <t>MANTENIMIENTO DE LA RED LAN</t>
  </si>
  <si>
    <t xml:space="preserve">Ingenieria de software o hardware </t>
  </si>
  <si>
    <t xml:space="preserve">Mantenimiento de la Intranet </t>
  </si>
  <si>
    <t>JUAN CARLOS PEDRAZA</t>
  </si>
  <si>
    <t>MANTENIMIENTO DE LA INTRANET  Y PORTAL WEB DE LA COMPAÑÍA</t>
  </si>
  <si>
    <t>Arquitectura Empresarial</t>
  </si>
  <si>
    <t>Arquitectura de sistemas</t>
  </si>
  <si>
    <t>Herramienta de Arquitectura Empresarial</t>
  </si>
  <si>
    <t>JUAN MANUEL GARCIA / CARLOS ARIAS</t>
  </si>
  <si>
    <t>Se espera contar a partir del 2025 con una nueva herramienta de AE</t>
  </si>
  <si>
    <t>ARRENDAMIENTO 
TECNOLÓGICO</t>
  </si>
  <si>
    <t>HERRAMIENTA DE AE</t>
  </si>
  <si>
    <t>Fabrica de pruebas</t>
  </si>
  <si>
    <t xml:space="preserve">DIANA MARULANDA/ DELFÍN RODRIGUEZ </t>
  </si>
  <si>
    <t>Proyeccion Año 2025 3.8% 2026 3.9% 2027 4% 2028 4.15.
Valores pueden cambiar si se proyecta un nuevo estudio de mercado dado q contrato actual no cubriria nuevos proyectos ni el incremento acumulado de IPC del actual</t>
  </si>
  <si>
    <t>FÁBRICA DE PRUEBAS</t>
  </si>
  <si>
    <t xml:space="preserve">Servicios de licencias de Software de computador </t>
  </si>
  <si>
    <t>Licencias Office  365</t>
  </si>
  <si>
    <t>SERGIO SUAREZ</t>
  </si>
  <si>
    <t>Este proceso incluye licenciamiento que está excento de IVA y servicios profesionales que incluyen IVA de un 19%</t>
  </si>
  <si>
    <t>ARRENDAMIENTO SOFTWARE  / HONORARIOS ADMINISTRATIVOS</t>
  </si>
  <si>
    <t xml:space="preserve">Arrendamiento de Equipos y Mesa de Servicios </t>
  </si>
  <si>
    <t xml:space="preserve">SERGIO SUAREZ /ANGEL ANDRES NEIRA/ SUBGERENTE DE INFRAESTRUCTURA </t>
  </si>
  <si>
    <t xml:space="preserve">En este proceso de contratación se consolidan 2 servicios que son: Mesa de servicios que el contrato actual vence el 30-Sep-2025 y el de arrendamiento de equipos de cómputo que vence el 30-Nov-2025.
Estos valores están sujetos al resultado del estudio de mercado. </t>
  </si>
  <si>
    <t>ARRENDAMIENTO 
TECNOLÓGICO /MESA DE AYUDA</t>
  </si>
  <si>
    <t xml:space="preserve">ARRENDAMIENTO 
TECNOLÓGICO/MESA DE AYUDA </t>
  </si>
  <si>
    <t>ARRENDAMIENTO - EQUIPOS DE CÓMPUTO/MESA DE AYUDA DE SERVICIOS</t>
  </si>
  <si>
    <t>Certificados y firmas digitales</t>
  </si>
  <si>
    <t xml:space="preserve">LORENA PEDROZA </t>
  </si>
  <si>
    <t>JUDICIALES, NOTARIALES Y DE REGISTRO</t>
  </si>
  <si>
    <t>CERTIFICADOS DE FIRMAS DIGITALES</t>
  </si>
  <si>
    <t>Nuevos Requerimientos del Sistema de Gestión Documental OnBase</t>
  </si>
  <si>
    <t xml:space="preserve">NELSON CAMACHO </t>
  </si>
  <si>
    <t>La vigencia de este contrato seria a partir del 01/01/2026 (No hay vigencia 2025), y se incluyen valores estimados, ya que aún no se tienen cotizaciones, los valores son en base al contrato actual.</t>
  </si>
  <si>
    <t>DIGITALIZACIÓN (ONBASE) /
GIGA COLOMBIA SAS</t>
  </si>
  <si>
    <t xml:space="preserve">Licenciamiento actual y de nuevas versiones de Onbase </t>
  </si>
  <si>
    <t>OSCAR FABIAN NUÑEZ</t>
  </si>
  <si>
    <t>MANTENIMIENTO Y REPARACIONES DE SOFTWARE</t>
  </si>
  <si>
    <t>GIGA COLOMBIA SAS</t>
  </si>
  <si>
    <t>Soporte y Mantenimiento Sise</t>
  </si>
  <si>
    <t xml:space="preserve">SAUL BALLESTEROS/ DELFÍN RODRIGUEZ </t>
  </si>
  <si>
    <t>La vigencia de este contrato seria a partir del 01/02/2026 (No hay vigencia 2025), y se incluyen valores estimados, ya que aún no se tienen cotizaciones, los valores son en base al contrato actual. Faltaría por incluir el valor correspondiente a $841.511.326 (Iva Incluido) para un mes del 2029</t>
  </si>
  <si>
    <t>SISE</t>
  </si>
  <si>
    <t>Solución Uusarios Privilegiados- PAM</t>
  </si>
  <si>
    <t xml:space="preserve">La vigencia de este contrato seria a partir del 30/04/2026 (No hay vigencia 2025), y se incluyen valores estimados, ya que aún no se tienen cotizaciones, los valores son con base al contrato actual.
</t>
  </si>
  <si>
    <t>SEGURIDAD INFORMATICA Y ADMINISTRACION DE INFRAESTRCTURA TECNOLOGICA</t>
  </si>
  <si>
    <t xml:space="preserve">Canales de Comunicación </t>
  </si>
  <si>
    <t xml:space="preserve">MANUEL CARDENAS / SUBGERENTE DE INFRAESTRUCTURA </t>
  </si>
  <si>
    <t xml:space="preserve">El contrato actual (030-2020) vence el 30-Abril-2026 y es necesario iniciar el proceso de contratación en la vigencia 2025, por el término de 36 meses. En los valores no está incluido (por no existir la columna) el valor proyectado para el 2029 4 meses por $498.673.846 con IVA. Estos valores están sujetos al resultado del estudio de mercado. </t>
  </si>
  <si>
    <t xml:space="preserve">Sistemas de recuperación de información </t>
  </si>
  <si>
    <t xml:space="preserve">Solución DLP </t>
  </si>
  <si>
    <t>La vigencia de este contrato seria a partir del 15/05/2026 (No hay vigencia 2025), y se incluyen valores estimados, ya que aún no se tienen cotizaciones, los valores son con base al contrato actual.
Este contrato se prevé a 36 meses iniciando en 2026 y terminando en 2029 con un valor de presupuesto para esta vigencia de $258.864.444</t>
  </si>
  <si>
    <t>SOLUCION DLP</t>
  </si>
  <si>
    <t>Herramienta de Mesa de ayuda</t>
  </si>
  <si>
    <t>ANGEL NEIRA</t>
  </si>
  <si>
    <t>El presupuesto del 2025 es para licenciamiento como servicio que está exento de IVA</t>
  </si>
  <si>
    <t>ARRENDAMIENTO / HONORARIOS ADMINISTRATIVOS
TECNOLÓGICO</t>
  </si>
  <si>
    <t>Plataforma DEVOPS</t>
  </si>
  <si>
    <t>SOLICITADAS</t>
  </si>
  <si>
    <t>DELFIN RODRIGUEZ</t>
  </si>
  <si>
    <t>Este proceso fue aprobado en Comité de Contratación del 2024 y se continua con la misma solicitud Contractual en el 2025.
Nota: Tener en cuenta que este proceso cuenta con varios rubros incluído el rubro de Arrendamiento Tecnológico /arrendamiento de software (no le aplica IVA por ser servicios en Nube)</t>
  </si>
  <si>
    <t>HORARIOS ADMINISTRATIVOS Y ARRENDAMIENTO TECNOLOGICO</t>
  </si>
  <si>
    <t>HORARIOS ADMINISTRATIVOS Y ARRENDAMIENTO SOFTWARE</t>
  </si>
  <si>
    <t>Seguriad de los computadores,redes o internet</t>
  </si>
  <si>
    <t>APP de Vulnerabilidades</t>
  </si>
  <si>
    <t>Este proceso fue aprobado en Comité de Contratación del 2024 y se continua con la misma solicitud Contractual en el 2025.</t>
  </si>
  <si>
    <t>SEGURIDAD DE LA INFORMACIÓN G-TECNOLOGIA</t>
  </si>
  <si>
    <t>Interoperabilidad Fase II</t>
  </si>
  <si>
    <t>ARRENDAMIENTO TECNOLOGICO / HONORARIOS ADMINISTRATIVOS/MANTENIMIENTO Y REPARACIONES TECNOLOGICAS</t>
  </si>
  <si>
    <t>ARRENDAMIENTO SOFTWARE/HONORARIOS ADMINISTRATIVOS/MANTENIMIENTO Y REPARACIONES DE SOFTWARE</t>
  </si>
  <si>
    <t>INTEROPERABILIDAD</t>
  </si>
  <si>
    <t>SWITCHES</t>
  </si>
  <si>
    <t>Por tratarse de un activo fijo, el valor del bien lleva incluido el valor del IVA como valor total</t>
  </si>
  <si>
    <t>Biométricos - Entes de Control</t>
  </si>
  <si>
    <t xml:space="preserve">Estos valores están sujetos al resultado del estudio de mercado. </t>
  </si>
  <si>
    <t>MANTENIMIENTO Y REPARACIONES TECNOLÓGICAS</t>
  </si>
  <si>
    <t>Software Adobe Creative Cloud y  Adobe Acrobat Pro.  AS</t>
  </si>
  <si>
    <t xml:space="preserve">ARRENDAMIENTO TECNOLOGICO </t>
  </si>
  <si>
    <t>ARRENDAMIENTO DE SOFTWARE</t>
  </si>
  <si>
    <t>PRODUCTOS ADOBE</t>
  </si>
  <si>
    <t>Solución Auditoria Médica</t>
  </si>
  <si>
    <t>DIEGO RAMIREZ/SAUL BALLESTEROS/DELFIN RODRIGUEZ</t>
  </si>
  <si>
    <t xml:space="preserve">Estos valores están sujetos al resultado del estudio de mercado, debe tenerse en cuenta que esta sería una nueva solución Tecnológica para la entidad, de la cual no hay un valor histórico como referente. </t>
  </si>
  <si>
    <t>HERRAMIENTA AUDITORÍA MÉDICA</t>
  </si>
  <si>
    <t xml:space="preserve">Subgerencia De Mejoramiento De Procesos </t>
  </si>
  <si>
    <t>Auditoria Icontec | 
Seguimiento en ISO 9001:2015 y 14001:2015
Auditoria Icontec | 
Sello Buenas Prácticas de Innovación</t>
  </si>
  <si>
    <t>AUDITORÍAS ICONTEC - PROCESOS</t>
  </si>
  <si>
    <t xml:space="preserve">Gerencia De Innovación Y Procesos </t>
  </si>
  <si>
    <t>Servicios de programación de aplicaciones</t>
  </si>
  <si>
    <t>Herramienta Agility
Derecho a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</si>
  <si>
    <t>JOSE ANTONIO VARGAS</t>
  </si>
  <si>
    <t>PPTO:
Bolsa de Horas $26.987.310
Licencias: $10.674.197
El valor de licenciamiento está excento de IVA</t>
  </si>
  <si>
    <t>1. MANTENIMIENTO Y REPARACIONES TECNOLÓGICAS
2. ARRENDAMIENTO TECNOLÓGICO</t>
  </si>
  <si>
    <t>1. MANTENIMIENTO Y REPARACIONES TECNOLÓGICAS -SOFTWARE
2. ARRENDAMIENTO TECNOLÓGICO</t>
  </si>
  <si>
    <t>1. AUTOMATIZACIÓN - AGILITY
2. RPA - AGILITY</t>
  </si>
  <si>
    <t>Isolución
Soporte y Mantenimiento anual de la herramienta de Gestión Documental Isolución</t>
  </si>
  <si>
    <t xml:space="preserve">MANTENIMIENTO Y REPARACIONES TECNOLÓGICAS
</t>
  </si>
  <si>
    <t xml:space="preserve">MANTENIMIENTO Y REPARACIONES TECNOLÓGICAS -SOFTWARE
</t>
  </si>
  <si>
    <t>ISOLUCION</t>
  </si>
  <si>
    <t>Subgerencia de Transformación Digital</t>
  </si>
  <si>
    <t>Servicios de promoción cultural</t>
  </si>
  <si>
    <t>LILIA MANZANO /WENDY JIMENEZ</t>
  </si>
  <si>
    <t>CULTURA DIGITAL</t>
  </si>
  <si>
    <t>Gerencia De Planeación</t>
  </si>
  <si>
    <t>PROYECTO INGESTA Y CENTRALIZACIÓN DE DATOS</t>
  </si>
  <si>
    <t>YULY ALEJANDRA RUIZ / MARIA LUCIA LLERAS</t>
  </si>
  <si>
    <t>GOBIERNO DE DATOS</t>
  </si>
  <si>
    <t xml:space="preserve">EVOLUTIVOS MODELO DE FRAUDE </t>
  </si>
  <si>
    <t>UNIDAD ANALITICA</t>
  </si>
  <si>
    <t>DIVULGACION DE LA ESTRATEGIA CORPORATIVA</t>
  </si>
  <si>
    <t>HONORARIOS GERENCIA DE PLANEACION</t>
  </si>
  <si>
    <t>Servicio de investigación y desarrollo de aplicaciones o tecnología</t>
  </si>
  <si>
    <t>EVOLUTIVOS Y MEJORAS CANALES DIGITALES</t>
  </si>
  <si>
    <t>CHATBOT</t>
  </si>
  <si>
    <t>PORTAL DE ALIADOS</t>
  </si>
  <si>
    <t>ESTRATEGIA CORPORATIVA</t>
  </si>
  <si>
    <t>ESTRATEGIA DIGITAL</t>
  </si>
  <si>
    <t>MODELO DE ALIANZAS</t>
  </si>
  <si>
    <t xml:space="preserve">SUCURSAL VIRTUAL FASE II </t>
  </si>
  <si>
    <t>SUCURSAL VIRTUAL</t>
  </si>
  <si>
    <t>IMPLEMENTACION DE ESTRATEGIA DE OMNICANALIDAD</t>
  </si>
  <si>
    <t>LILIAN MANZANO /  MARIA LUCIA LLERAS</t>
  </si>
  <si>
    <t>OMICANALIDAD</t>
  </si>
  <si>
    <t>Asociaciones empresariales sectoriales</t>
  </si>
  <si>
    <t>No se requiere proceso contratual, se trata de la renovación de la membresia a Colombia Fintech</t>
  </si>
  <si>
    <t>MEMBRESÍA A COLOMBIA FINTECH</t>
  </si>
  <si>
    <t>INTEGRACION Y ACCESOS EN LA HERRAMIENTO QUICKSCORE</t>
  </si>
  <si>
    <t>QUICKSCORE</t>
  </si>
  <si>
    <t>Formatos contables o libros de contabilidad</t>
  </si>
  <si>
    <t>AJUSTE A LOS REPORTES CONTABLES BAJO LA NORMA NIIF17</t>
  </si>
  <si>
    <t xml:space="preserve">La fecha de la contratación es incierta porque depende de la definición de la estructura de los reportes. 
Se incluye este proceso en el PAA de la Vicepresidencia de Desarrollo porque el prespuesto se aprobo en el centro de costos de la Gerencia de P,laneación, sin emargo se realizará la reclasificación presupuestal al área encargada de realizar el proceso contractual y se solicitará modificación del PAA </t>
  </si>
  <si>
    <t>Servicio de licencias del software del computador</t>
  </si>
  <si>
    <t xml:space="preserve">ADQUISIIÓN E IMPLEMENTACION DE HERRAMIENTA DE GESTION CONTRACTUAL </t>
  </si>
  <si>
    <t xml:space="preserve">Se incluye este proceso en el PAA de la Vicepresidencia de Desarrollo porque el prespuesto se aprobo en el centro de costos de la Gerencia de P,laneación, sin emargo se realizará la reclasificación presupuestal al área encargada de realizar el proceso contractual y se solicitará modificación del PAA </t>
  </si>
  <si>
    <t>PLATAFORMA DE CONTRATACIÓN</t>
  </si>
  <si>
    <t>Software de sistema de archivo</t>
  </si>
  <si>
    <t>IMPLEMENTACIÓN DEL SISTEMA DE GESTIÓN DE ARCHIVO DIGITAL</t>
  </si>
  <si>
    <t>WALTER RICARDO MERCHAN</t>
  </si>
  <si>
    <t>Consutoria para la evaluación , selección y adecuación de ERP financiera</t>
  </si>
  <si>
    <t xml:space="preserve">Este proceso de selección ya se adelantó y fue seleccionado el proveedor que acompañara la consultoría a ser ejecutada entre enero y octubre 2025.  La contratación es por 1.000 millones, parte del presupuesto esta en la VP Financiera </t>
  </si>
  <si>
    <t>Consutoria para la evaluación , selección y adecuación de ERP financier</t>
  </si>
  <si>
    <t>Desarrollo e implementación de un programa para realizar los cálculos de Solvencia II de la compañia.</t>
  </si>
  <si>
    <t>SEBASTIAN CAMILO RIVERA / SILVIA JULIANA ANDRADE GUALDRON / DAVID RICARDO MARIN VILLA</t>
  </si>
  <si>
    <t>Solvencia ll</t>
  </si>
  <si>
    <t>Desarrollo e implementación de un programa para calculo del valor en riesgo y rentabilidad del portafolio de inversiones.</t>
  </si>
  <si>
    <t>IMPLEMENTACION ERP FINANCIERO</t>
  </si>
  <si>
    <t>INV ADQUISICION ACTIVOS SOFTWARE</t>
  </si>
  <si>
    <t xml:space="preserve">ERP FINANCIERO </t>
  </si>
  <si>
    <t>Sucursal</t>
  </si>
  <si>
    <t>Sucursal Arauca</t>
  </si>
  <si>
    <t>Reuniones y eventos</t>
  </si>
  <si>
    <t>Contratación de espacio para el lanzamiento del plan de reconocimientos de intermediarios</t>
  </si>
  <si>
    <t>PEDRO ARMANDO PEÑA TOLOZA</t>
  </si>
  <si>
    <t>Contratación de espacio para relacionamiento con intermediarios, presentación de cifras impulso cierre de año.</t>
  </si>
  <si>
    <t>Celebracion día de la familia</t>
  </si>
  <si>
    <t>PROGRAMA DE BIENESTRA SOCIAL Y RECREACION</t>
  </si>
  <si>
    <t>PROGRAMA DE BIENESTAR SOCIAL Y RECREACION</t>
  </si>
  <si>
    <t>Equipo y suministros para elaboración de café</t>
  </si>
  <si>
    <t>GRECA INDUSTRIAL</t>
  </si>
  <si>
    <t>ADQ. DE ACTIVOS FIJOS NECESIDADES DE SUCURSAL</t>
  </si>
  <si>
    <t>Servicio de mantenimiento y reparación de equipos eléctricos</t>
  </si>
  <si>
    <t>Inclusión PLANTA ELECTRICA</t>
  </si>
  <si>
    <t xml:space="preserve">INV. ADQUISICION ACTIVOS FIJOS </t>
  </si>
  <si>
    <t>Servicio de mantenimiento de edificios</t>
  </si>
  <si>
    <t xml:space="preserve">Inclusión MANTENIMIENTO GENERAL SEDE ARAUCA, RESANES PINTURAS Y MANTENIMIENTOS VARIOS </t>
  </si>
  <si>
    <t>ADECUACIÓN E INSTALACIÓN DE OFICINA</t>
  </si>
  <si>
    <t>REPARACIONES LOCATIVAS</t>
  </si>
  <si>
    <t>Cambio de aviso por cambio de imagen</t>
  </si>
  <si>
    <t>Sucursal Armenia</t>
  </si>
  <si>
    <t>GIOVANNA MARIELLY HERNANDEZ</t>
  </si>
  <si>
    <t xml:space="preserve">Sucursal Armenia </t>
  </si>
  <si>
    <t>Servicios de  mantenimiento o administración  de canales</t>
  </si>
  <si>
    <t xml:space="preserve">Mantenimiento de canaletas del salon de reuniones </t>
  </si>
  <si>
    <t>INSTALACIONES ELECTRICAS</t>
  </si>
  <si>
    <t>Sucursal Bucaramanga</t>
  </si>
  <si>
    <t>Aquisicion de Televisores</t>
  </si>
  <si>
    <t>Adquisición de televisor smar tv superior a  50" para capacitaciones en ventas, dado que el video beat no es compatible con los portatiles de la compañía</t>
  </si>
  <si>
    <t xml:space="preserve">ABRIL </t>
  </si>
  <si>
    <t>DELSY YOLIMA MORA CONTRERAS</t>
  </si>
  <si>
    <t>Adecuacion del Televisor</t>
  </si>
  <si>
    <t>Adecuacion del televisoren sala de ventas para uso de plenarias</t>
  </si>
  <si>
    <t xml:space="preserve">Contratar el servicio de mantenimiento de los Aires Acondicionados de Sucursal Bucaramanga </t>
  </si>
  <si>
    <t>MANTEMIENTO Y
REPARACIONES
ADMINISTRATIVAS</t>
  </si>
  <si>
    <t>MANTENIMIENTO Y
REPARACIONES
MUEBLES, ENSERES Y
OTROS</t>
  </si>
  <si>
    <t>Mantenimiento Jardin entrada de la oficina y decoracion interna e incluir carteleras corporativas para los pisos 1-2-3</t>
  </si>
  <si>
    <t xml:space="preserve">Mantenimiento jardin entrada de la oficina y decoracion interna e incluir carteleras corporativas para los pisos 1-2-3, se requiere embellecer la zona de jardin, entrada a la oficina asi como la decoracion de la misma </t>
  </si>
  <si>
    <t xml:space="preserve">JUNIO </t>
  </si>
  <si>
    <t xml:space="preserve">Contratar servicio de pintura piso 2 y 3 de la sucursal </t>
  </si>
  <si>
    <t xml:space="preserve">Contratar servicio de pintura piso 2 y 3 de la sucursal , es necesario hacer la pintura para mejorar el aspecto de la oficina </t>
  </si>
  <si>
    <t xml:space="preserve">Cambio puerta de acceso al baño de las mujeres </t>
  </si>
  <si>
    <t>Cambio puerta de acceso al baño de las mujeres , la puerta se encuentra en estado regular y la forma en la que esta instalada incomoda la salida y entrada de personal</t>
  </si>
  <si>
    <t xml:space="preserve">JULIO </t>
  </si>
  <si>
    <t xml:space="preserve">Servicio de Parqueadero de vehiculos para los funcionarios </t>
  </si>
  <si>
    <t xml:space="preserve">Parqueadero para funcionarios convencionados </t>
  </si>
  <si>
    <t xml:space="preserve">FEBRERO </t>
  </si>
  <si>
    <t>AUXILIO APARCADERO</t>
  </si>
  <si>
    <t xml:space="preserve">Adecuación de Oficina  y  Adquisicion de Mobiliario Area Comercial 2 y 3 piso </t>
  </si>
  <si>
    <t>Adecuación de oficina  y  adquisicion de mobiliario area comercial 2 y 3 piso , mejorar internamente para dar mas comodidad y mejor aprovechamiento de los espacios, asi como disponer de lugares de trabajo para temporales  y practicantes</t>
  </si>
  <si>
    <t xml:space="preserve">Mantenimiento Integral de Aviso </t>
  </si>
  <si>
    <t xml:space="preserve">Mantenimiento y cambio aviso por la nueva imagen corporativa </t>
  </si>
  <si>
    <t>Instalación de 5 puntos de Red y linea telefonica</t>
  </si>
  <si>
    <t>Instalación de 5 puntos de red y linea telefonica, para permitir que los temporales y funcionarios puedan hacer sus labores en red</t>
  </si>
  <si>
    <t xml:space="preserve">Mantenimiento cuarto de cableado y polo a tierra </t>
  </si>
  <si>
    <t xml:space="preserve">Mantenimiento cuarto de cableado y polo a tierra , se requiere el mantenimiento para garantizar la fucionalidad eficiente de los equipos </t>
  </si>
  <si>
    <t>Compra de Nevera Nofrost - Inverter</t>
  </si>
  <si>
    <t xml:space="preserve">Nevera_se requiere su remplazo por su vida util </t>
  </si>
  <si>
    <t xml:space="preserve">Adquisicion persianas  para los pisos 1 -2  y 3 </t>
  </si>
  <si>
    <t xml:space="preserve">Cambio de persianas de los pisos 1-2-3 que están en pésimo estado </t>
  </si>
  <si>
    <t>Adecuación Persianas</t>
  </si>
  <si>
    <t xml:space="preserve">Adquisicion e Instalacion y puesta en marcha de 5 Aires Acondicionados en la sucural - Area Estatal, Gerencia, Comercial, Indemnizaciones y Rack </t>
  </si>
  <si>
    <t xml:space="preserve">Se requiere cambio de Aires en estado regular </t>
  </si>
  <si>
    <t xml:space="preserve">Adecuacion planos de ruta de evacuacion </t>
  </si>
  <si>
    <t>Realizar la actualizacion de los planos de evacuación</t>
  </si>
  <si>
    <t>Adquisicion por cambio de 2 Exitintores Rojo de 10 Libras C02</t>
  </si>
  <si>
    <t>Se requiere realizar el cambio de los ya existentes</t>
  </si>
  <si>
    <t>Adquisicion de lámparas de luz Led  de Techo</t>
  </si>
  <si>
    <t xml:space="preserve">Se solicita para remplazar las luminarias del segundo piso que la luz es intermitente </t>
  </si>
  <si>
    <t>Servicio de inspección, mantenimiento o reparación de extinguidores de fuego</t>
  </si>
  <si>
    <t>Contratar el servicio de mantenimiento y recarga de extintores de la sucursal</t>
  </si>
  <si>
    <t>Servicio de alquiler o leasing de fotocopiadoras</t>
  </si>
  <si>
    <t xml:space="preserve">Contratar el Servicio de Alquiler de la Fotocopiadora </t>
  </si>
  <si>
    <t xml:space="preserve">FOTOCOPIAS </t>
  </si>
  <si>
    <t>Sucursal Buenaventura</t>
  </si>
  <si>
    <t>tableros de avisos</t>
  </si>
  <si>
    <t>CAMBIO DE AVISO EXTERIOR NUEVA IMAGEN CORPORATIVA</t>
  </si>
  <si>
    <t>YAMILEC HURTADO</t>
  </si>
  <si>
    <t>Impresión de papelería o formularios comerciales</t>
  </si>
  <si>
    <t xml:space="preserve">GASTOS EMISIÓN DE PÓLIZAS - TODOS LOS RAMOS </t>
  </si>
  <si>
    <t>Mantenimiento 7 equipos de aire acondicionado de la sucursal</t>
  </si>
  <si>
    <t>MANTENIMIENTO DE 7 AIRES ACONDICIONADOS OFICINA BUENAVENTURA</t>
  </si>
  <si>
    <t>Sucursal Cali</t>
  </si>
  <si>
    <t>Arrendamiento de instalaciones comerciales o industriales</t>
  </si>
  <si>
    <t>Alquiler piso 27</t>
  </si>
  <si>
    <t>Arrendamiento donde funciona el CAD</t>
  </si>
  <si>
    <t>DEPRECIACIONES</t>
  </si>
  <si>
    <t>Administración Alquiler piso 27</t>
  </si>
  <si>
    <t>Se separa la administración porque se contabiliza en diferente rubro, pero hace parte del mismo contrato de Arrendmiento CAD</t>
  </si>
  <si>
    <t>GASTOS DE ARCHIVO Y
MICROFILMACION</t>
  </si>
  <si>
    <t>Parqueadero</t>
  </si>
  <si>
    <t>Aire acondicionado portátil para uso doméstico</t>
  </si>
  <si>
    <t>Compra de Aire Acondicionado</t>
  </si>
  <si>
    <t>Servicios de revestimiento</t>
  </si>
  <si>
    <t>Adecuación de muebles empotrados donde se encuentra instalado el sistema de aire acondicionado y marcos de puertas</t>
  </si>
  <si>
    <t>Mantenimiento de mobiliario para oficina</t>
  </si>
  <si>
    <t>Adecuación de marcos de puertas, baños y cocina</t>
  </si>
  <si>
    <t>Televisores</t>
  </si>
  <si>
    <t>Compra de TV  Sala de Reuniones</t>
  </si>
  <si>
    <t>Servicios de mantenimiento del alumbrado</t>
  </si>
  <si>
    <t>INSTALACIONES ELÉCTRICAS</t>
  </si>
  <si>
    <t>Servicio de remodelación de cocinas y baños</t>
  </si>
  <si>
    <t>Arreglo de baños (Hombres - Mujeres - Gerencia)</t>
  </si>
  <si>
    <t>Sucursal Cartagena</t>
  </si>
  <si>
    <t>HERNANDO DE LA HOZ</t>
  </si>
  <si>
    <t>PROGRAMAS DE BIENESTAR
SOCIAL Y RECREACION</t>
  </si>
  <si>
    <t>PROGRAMAS DE
BIENESTAR SOCIAL Y
RECREACION</t>
  </si>
  <si>
    <t>Aires Acondicionados</t>
  </si>
  <si>
    <t>JOISETH CANO RANGEL</t>
  </si>
  <si>
    <t>MANTENIMIENTO Y
REPARACIONES
ADMINISTRATIVAS</t>
  </si>
  <si>
    <t>MANTENIMIENTO DE AIRES ACONDICIONADOS</t>
  </si>
  <si>
    <t>MANTENIMIENTO DE PLANTA ELECTRICA</t>
  </si>
  <si>
    <t>Compra condensadora de aire acondicionado</t>
  </si>
  <si>
    <t>Compra de aire acondicionado recepcion</t>
  </si>
  <si>
    <t>Servicio de parqueaderos de vehiculos</t>
  </si>
  <si>
    <t>Contratar servicio de parqueadero para vehiculos de funcionarios</t>
  </si>
  <si>
    <t>Servicios de mantenimiento y reparación de instalaciones</t>
  </si>
  <si>
    <t>Pintura oficina suc. cartagena</t>
  </si>
  <si>
    <t>Sucursal Centro Empresarial Corporativo</t>
  </si>
  <si>
    <t>Neveras para uso doméstico</t>
  </si>
  <si>
    <t>Compra de nevera para uso de la sucursal, en razón a la terminación de la vida útil de la que se tiene en la actualidad</t>
  </si>
  <si>
    <t>JORGE L. CASTRO H.</t>
  </si>
  <si>
    <t>Hornos microondas para uso doméstico</t>
  </si>
  <si>
    <t>Compra de horno microondas para la sucursal, teniendo en cuenta el numero de personal en labor presencial al interior de las instalaciones.</t>
  </si>
  <si>
    <t>Instalaciones para videoconferencias</t>
  </si>
  <si>
    <t>Adecuación sala de capacitación sucursal, para la utilización de esta en reuniones, capacitaciones y demás actividades laborales. esta adecuación tendrá como objetivo la consecución de un sistema de videoconferencia y sonido.</t>
  </si>
  <si>
    <t>Sucursal Cucuta</t>
  </si>
  <si>
    <t>MARIA CAMILA SANTOS</t>
  </si>
  <si>
    <t>SOCIAL Y RECREACION</t>
  </si>
  <si>
    <t>Servicios o reparaciones o mantenimiento de calles o parqueaderos</t>
  </si>
  <si>
    <t>Servicio de parqueadero- 9 funcionarios</t>
  </si>
  <si>
    <t>progamas de bienestar</t>
  </si>
  <si>
    <t>programas de bienestar</t>
  </si>
  <si>
    <t>Servicio de pintura comercial</t>
  </si>
  <si>
    <t>Adecuaciones- pintura general</t>
  </si>
  <si>
    <t>adecuaciones</t>
  </si>
  <si>
    <t>TELEVISORES</t>
  </si>
  <si>
    <t>Televisor</t>
  </si>
  <si>
    <t>COMPRA DE ACTIVOS</t>
  </si>
  <si>
    <t xml:space="preserve">Alto parlantes para telecomunicaciones </t>
  </si>
  <si>
    <t xml:space="preserve">Reproductor - parlantes </t>
  </si>
  <si>
    <t>Servicio de cableado para video, datos y voz</t>
  </si>
  <si>
    <t>Videoproyector</t>
  </si>
  <si>
    <t>Sucursal Estatal</t>
  </si>
  <si>
    <t>Remplazo de la nevera existente por falla en la refrigeración (escarcha) y ruido.</t>
  </si>
  <si>
    <t>MARLY JOHANA PINEDA MEDINA</t>
  </si>
  <si>
    <t>Sucursal Florencia</t>
  </si>
  <si>
    <t>Equipo de limpieza</t>
  </si>
  <si>
    <t>compra hidrolavadora sucursalflorencia</t>
  </si>
  <si>
    <t>INV. ADQUISICION ACTIVOS FIJOS</t>
  </si>
  <si>
    <t>INV.ADQUISICION ACTIVOS- EQUIPOS, MUEBLES, ENSERES DE OFICINA</t>
  </si>
  <si>
    <t>ADQ. DE ACTIVOS FIJOS NECESITOS DE SUCURSAL</t>
  </si>
  <si>
    <t>compra  horno microondas sucursal florencia</t>
  </si>
  <si>
    <t>Mantenimiento preventivo aires acondicionados 2025</t>
  </si>
  <si>
    <t>INSPECCIONES DE RIESGOS PARA SUSCRIPCION</t>
  </si>
  <si>
    <t>Sucursal Ibague</t>
  </si>
  <si>
    <t>GERMÁN MARTÍNEZ SÁNCHEZ</t>
  </si>
  <si>
    <t>Contratar el mantenimiento y recarga de los extintores de la sucursal</t>
  </si>
  <si>
    <t>contratar el mantenimiento de los aires acondicionados de la sucursal</t>
  </si>
  <si>
    <t xml:space="preserve">Adquisición extintor </t>
  </si>
  <si>
    <t>ADQUISICIÓN EXTINTOR</t>
  </si>
  <si>
    <t>Vajilla fina para servicio de comidas</t>
  </si>
  <si>
    <t>adquisición vajilla atención funcionarios,, aliados y clientes</t>
  </si>
  <si>
    <t>SERVICIO Y ELEMENTOS CAFETERIA</t>
  </si>
  <si>
    <t>Adquisición maquina de café</t>
  </si>
  <si>
    <t>Servicio de parqueadero de vehículos</t>
  </si>
  <si>
    <t>contratar el servicio de parqueadero para los funcionarios de la sucursal</t>
  </si>
  <si>
    <t>Servicios de renovación y reparación de edificios comerciales y de oficinas</t>
  </si>
  <si>
    <t>Remodelación y adecuación oficinas propias dela sucursal</t>
  </si>
  <si>
    <t>REMODELACIÓN</t>
  </si>
  <si>
    <t>Proyectores multimedia</t>
  </si>
  <si>
    <t>Adquisición proyector para reuniones aliados y clientes</t>
  </si>
  <si>
    <t>INV.ADQUISICIÓN ACTIVOS FIJOS</t>
  </si>
  <si>
    <t>INV.ADQUISICÓN ACTIVOS EQUIPOS, MUEBLES, ENSERES DE OFICINA</t>
  </si>
  <si>
    <t>Paquetes de muebles para ejecutivos modulares</t>
  </si>
  <si>
    <t>Sillas y escritorios</t>
  </si>
  <si>
    <t xml:space="preserve">MAYO </t>
  </si>
  <si>
    <t>Muebles de oficina</t>
  </si>
  <si>
    <t>Suministro e instalación de un sistema de oficina abierta</t>
  </si>
  <si>
    <t>Sucursal Manizales</t>
  </si>
  <si>
    <t>YULIANA LARA</t>
  </si>
  <si>
    <t>Adquisición de Televisor 50"</t>
  </si>
  <si>
    <t>ADQUISICIÓN ACTIVOS FIJOS</t>
  </si>
  <si>
    <t>Luminarias tipo perfil</t>
  </si>
  <si>
    <t xml:space="preserve">Compra e instalación de luminarias LED de la oficina </t>
  </si>
  <si>
    <t>Adquisición de video beam</t>
  </si>
  <si>
    <t>La duracion del contrato y el requerimiento de vigencias futuras depende de la confirmacion del presupuesto, el # de funcionarios que usen el auxilio y el valor de los parqueaderos</t>
  </si>
  <si>
    <t>Valor incluido en el Presupuesto 2025 de la sucursal</t>
  </si>
  <si>
    <t>Sucursal Medellin</t>
  </si>
  <si>
    <t xml:space="preserve">ANA CRISTINA ARBOLEDA TORRES </t>
  </si>
  <si>
    <t>Mantenimiento general de equipos de oficina</t>
  </si>
  <si>
    <t>Servicio de mantenimiento o reparación de equipos y sistemas de protección contra incendios</t>
  </si>
  <si>
    <t xml:space="preserve">Servicio de vidrios </t>
  </si>
  <si>
    <t xml:space="preserve">Adecuacion puesto funcionario front desk con cerramiento en vidrio </t>
  </si>
  <si>
    <t>Combinación de neveras y congeladores para uso doméstico</t>
  </si>
  <si>
    <t xml:space="preserve">Solicitud de nevera para reemplazo de la actual por deterioro en la cocineta de la sucursal </t>
  </si>
  <si>
    <t xml:space="preserve">Solicitud de microondas indsutrial  para comedor de la sucursal </t>
  </si>
  <si>
    <t xml:space="preserve">Estanteria con llave para almacenar elementos de aseo y cafeteria </t>
  </si>
  <si>
    <t>Servicio de instalación de gabinetes de cocina</t>
  </si>
  <si>
    <t xml:space="preserve">Gabinetes para cocineta de la sucursal  pues los actuales se encuentran deteriorados </t>
  </si>
  <si>
    <t>Calentadores sanitarios o accesorios</t>
  </si>
  <si>
    <t xml:space="preserve">Cambio sanitarios baños por deterioro </t>
  </si>
  <si>
    <t>Sucursal Mocoa</t>
  </si>
  <si>
    <t>MARYOLI RODRIGUEZ</t>
  </si>
  <si>
    <t>Servicio de instalación y mantenimiento de avisos.</t>
  </si>
  <si>
    <t>Inclusión CAMBIO DE AVISO</t>
  </si>
  <si>
    <t>CAMBIO DE AVISO</t>
  </si>
  <si>
    <t>ADECUACION E INSTALACION DE OFICINAS</t>
  </si>
  <si>
    <t>Sucursal Monteria</t>
  </si>
  <si>
    <t>Servicios de banquetes y catering</t>
  </si>
  <si>
    <t>DIANA CABALLERO</t>
  </si>
  <si>
    <t>CAPACITACION CLIENTES
EXTERNOS Y CONCURSOS
INTERMEDIARIOS Y PARTICIP
DE AGENCIAS</t>
  </si>
  <si>
    <t>CAPACITACION
CLIENTES EXTERNOS</t>
  </si>
  <si>
    <t>EXTERNOS Y CONCURSOS</t>
  </si>
  <si>
    <t>INTERMEDIARIOS Y PARTICIP</t>
  </si>
  <si>
    <t>GASTOS DE EMISION DE
POLIZAS</t>
  </si>
  <si>
    <t>Cable de redes</t>
  </si>
  <si>
    <t>Organizacion de la red de datos de la oficina</t>
  </si>
  <si>
    <t>Servicios de pintura</t>
  </si>
  <si>
    <t>Pintura de cielo raso y frente de la oficina</t>
  </si>
  <si>
    <t>Compra de aires acondicionados</t>
  </si>
  <si>
    <t>Cambio de avisos</t>
  </si>
  <si>
    <t>Cambio de avisos por cambio de imagen</t>
  </si>
  <si>
    <t>Sucursal Neiva</t>
  </si>
  <si>
    <t>GINA PAOLA OSORIO RODRIGUEZ</t>
  </si>
  <si>
    <t xml:space="preserve">Contratación del servicio de mantenimiento de aires acondicionados </t>
  </si>
  <si>
    <t xml:space="preserve">Mantenimiento de sillas de oficina </t>
  </si>
  <si>
    <t>Contratación servicio de mantenimiento de sillas</t>
  </si>
  <si>
    <t>Sucursal Pasto</t>
  </si>
  <si>
    <t>OSCAR IVAN ESTRADA  PORTILLA</t>
  </si>
  <si>
    <t>COMPRA NEVERA</t>
  </si>
  <si>
    <t>ADQUISICION ACTIVOS FIJOS</t>
  </si>
  <si>
    <t>ADQUISICION MUBLES Y ENSERES</t>
  </si>
  <si>
    <t xml:space="preserve"> </t>
  </si>
  <si>
    <t>Servicios de montaje e instalación de ventanas y puertas</t>
  </si>
  <si>
    <t>ADECUACION Y CAMBIO ALUMINIO VENTANA</t>
  </si>
  <si>
    <t>ADECUACION E INSTALACION OFICINAS</t>
  </si>
  <si>
    <t>ADECUACION OFICINAS</t>
  </si>
  <si>
    <t>COMPRA SILLA COCINA</t>
  </si>
  <si>
    <t>ADECUACION E INSTALACION  OFICINAS</t>
  </si>
  <si>
    <t>Sucursal Pereira</t>
  </si>
  <si>
    <t>Reuniones y Eventos</t>
  </si>
  <si>
    <t>Celebración Dia de la Familiar</t>
  </si>
  <si>
    <t>Aire Acondicionado</t>
  </si>
  <si>
    <t>Compra aire acondicionado</t>
  </si>
  <si>
    <t>Servicio de Parqueadero</t>
  </si>
  <si>
    <t>Parqueadero para los vehiculo de 7 funcionarios</t>
  </si>
  <si>
    <t>Sucursal Popayan</t>
  </si>
  <si>
    <t>CIERRE COMERCIAL FUNCIONARIOS</t>
  </si>
  <si>
    <t>PROGRAMAS DE BIENESTAR SOCIAL</t>
  </si>
  <si>
    <t>EVENTO DIA DE LA FAMILIA</t>
  </si>
  <si>
    <t>Adecuacion de puestos de trabajo para el area comercial</t>
  </si>
  <si>
    <t>REMODELACION</t>
  </si>
  <si>
    <t>MANTENIMIENTOS</t>
  </si>
  <si>
    <t>Servicio de mantenimiento o reparación de sistemas de iluminación</t>
  </si>
  <si>
    <t>Compra de tv 65"  para sala de juntas</t>
  </si>
  <si>
    <t>COMPRA</t>
  </si>
  <si>
    <t>Teteras o cafeteras para servicio de comidas</t>
  </si>
  <si>
    <t>Compra de greca industrial</t>
  </si>
  <si>
    <t>Mobiliario de cafetería y comedor</t>
  </si>
  <si>
    <t>Compra mesa comedor</t>
  </si>
  <si>
    <t>Servicios de mantenimiento y reparaciones de construcciones e instalaciones</t>
  </si>
  <si>
    <t>Instalacion de punto de red</t>
  </si>
  <si>
    <t>ADECUACION</t>
  </si>
  <si>
    <t>Sucursal Quibdo</t>
  </si>
  <si>
    <t>YOHANNA MOSQUERA</t>
  </si>
  <si>
    <t>PROGRAMA DE BIENESTAR SOCIAL Y RECERACION</t>
  </si>
  <si>
    <t>SERVICIO DE PINTURA</t>
  </si>
  <si>
    <t>PINTURA DE OFICINA</t>
  </si>
  <si>
    <t>MANTENIMIENTO Y REPARACION DE INFRAESTRUCTURA</t>
  </si>
  <si>
    <t>MANTENIMIENTO Y REPAACIONES LOCATIVAS</t>
  </si>
  <si>
    <t>MANTENIMIENTO Y REPARACIONES LOCATIVAS</t>
  </si>
  <si>
    <t>Sucursal Riohacha</t>
  </si>
  <si>
    <t>ETHEL CERCHIARO</t>
  </si>
  <si>
    <t>BIENESTAR SOCIAL Y RECREACION</t>
  </si>
  <si>
    <t>BIENESTAR SOCIAL DE BIENESTAR Y RECREACION</t>
  </si>
  <si>
    <t>televisor para la Gerencia</t>
  </si>
  <si>
    <t xml:space="preserve">compra de televisor de para la Gerencia </t>
  </si>
  <si>
    <t>sillas para visitantes</t>
  </si>
  <si>
    <t>compra de sillas para visitantes y clientes</t>
  </si>
  <si>
    <t>Sucursal Sincelejo</t>
  </si>
  <si>
    <t xml:space="preserve">EDERSON ROMERO </t>
  </si>
  <si>
    <t>PROGRAMAS DE BINESTAR SOCIAL Y RECREACION</t>
  </si>
  <si>
    <t xml:space="preserve"> CAMBIO DE AVISO</t>
  </si>
  <si>
    <t xml:space="preserve"> PINTURA DE OFICINA</t>
  </si>
  <si>
    <t xml:space="preserve"> COMPRA DE NEVERA</t>
  </si>
  <si>
    <t xml:space="preserve"> COMPRA DE TV DE 65"</t>
  </si>
  <si>
    <t xml:space="preserve"> PARQUEADERO</t>
  </si>
  <si>
    <t>AUXILIO PARQUEADERO</t>
  </si>
  <si>
    <t>Sucursal Tunja</t>
  </si>
  <si>
    <t>SANDRA MILENA PATIÑO ORJUELA</t>
  </si>
  <si>
    <t>Mantenimiento Aire acondicionado</t>
  </si>
  <si>
    <t>MANTENIMIENTO AIRE ACONDICIONADO</t>
  </si>
  <si>
    <t>Servicios de correo</t>
  </si>
  <si>
    <t>Servicio de correo</t>
  </si>
  <si>
    <t>SERVICIO DE CORREO</t>
  </si>
  <si>
    <t>OTROS GASTOS SERVICIO DE CORREO</t>
  </si>
  <si>
    <t>Mantenimiento o soporte de redes de área local (lan)</t>
  </si>
  <si>
    <t>Mantenimiento puntos de red</t>
  </si>
  <si>
    <t>MANTENIMIENTO PUNTOS DE RED</t>
  </si>
  <si>
    <t>Alquiler y arrendamiento de propiedades o edificaciones</t>
  </si>
  <si>
    <t xml:space="preserve">Arriendo oficina </t>
  </si>
  <si>
    <t>El valor de vigencias futuras se requerirá de acuerdo al contrato que se pacte en tiempo y valor</t>
  </si>
  <si>
    <t>DEPRECIACION</t>
  </si>
  <si>
    <t>Parqueadero funcionarios</t>
  </si>
  <si>
    <t>Servicio de instalación y mantenimiento de
avisos</t>
  </si>
  <si>
    <t>Sillas para visitantes</t>
  </si>
  <si>
    <t>Escritorios</t>
  </si>
  <si>
    <t>Escritorios puestos de trabajo funcionarios</t>
  </si>
  <si>
    <t>Servicio de videoconferencias</t>
  </si>
  <si>
    <t>Sistema de video conferencia</t>
  </si>
  <si>
    <t>Mesas de conferencia</t>
  </si>
  <si>
    <t>Mesa de  conferencias</t>
  </si>
  <si>
    <t>Sala de juntas</t>
  </si>
  <si>
    <t>Remodelación y adecuación sucursal</t>
  </si>
  <si>
    <t>Sucursal Villavicencio</t>
  </si>
  <si>
    <t>MARIA IVED VERGARA GARZON</t>
  </si>
  <si>
    <t>PENDIENTE CONFIRMACION GERENCIA TALENTO HUMANO</t>
  </si>
  <si>
    <t>Mantenimiento puntos de red y aviso sucursal</t>
  </si>
  <si>
    <t>Sillas para ejecutivos</t>
  </si>
  <si>
    <t>4 Sillas operativas para 4 tecnicos</t>
  </si>
  <si>
    <t>Compra de 2 aires acondicionados para la oficina de caja y sala de espera</t>
  </si>
  <si>
    <t>Recarga extintores y compra de 1 extintor</t>
  </si>
  <si>
    <t>Extractores de aire</t>
  </si>
  <si>
    <t>EXTRACTOR DE OLOR PARA 3 BAÑOS</t>
  </si>
  <si>
    <t>Servicio de parqueadero de vehículos funcionarios</t>
  </si>
  <si>
    <t>CAMBIO DE AVISOS</t>
  </si>
  <si>
    <t>Sucursal Yopal</t>
  </si>
  <si>
    <t>Contratar la adquisición, instalación y puesta en marcha de 2 aires acondicionados tipo piso techo en la sucursal Yopal</t>
  </si>
  <si>
    <t>Contratar el servicio de mantenimiento general y pintura de la sucursal Yopal.</t>
  </si>
  <si>
    <t>Contratar la adquisición de 1 televisor de 50 " para la sala de juntas de la suc  Yopal</t>
  </si>
  <si>
    <t>Cambio de avisos sucursal Yopal</t>
  </si>
  <si>
    <t>Total</t>
  </si>
  <si>
    <t>"Cumplimiento del Plan Anual de Seguridad y Salud en el Trabajo. 
Nota: Estas actividades las debe definir la Gerencia de Talento Humano en el despliegue de este plan e informar a Ger. Innovación y Procesos
(Ir Hoja 08. PSST)"</t>
  </si>
  <si>
    <t>FORMACIONES INTERNAS Y  EXTERNA PARA ACTUALIZACIÓN DE CONOCIMIENTOS RELACIONADOS CON LOS PROCESOS DE LA COMPAÑÍA</t>
  </si>
  <si>
    <t>SISTEMA DE ATENCION AL CONSUMIDOR FINANCIERO - SAC -</t>
  </si>
  <si>
    <t>GESTION DEL RIESGO: SARO- SARLAFT- SEGURIDAD DE LA INFORMACION - PLAN DE CONTINUIDAD DEL NEGOCIO</t>
  </si>
  <si>
    <t>RIESGO DE CONDUCTA</t>
  </si>
  <si>
    <t>POLITICA DE GOBIERNO DIGITAL</t>
  </si>
  <si>
    <t>NO DISCRIMINACION</t>
  </si>
  <si>
    <t>ANTICORRUPCION Y ATENCION DE AL CIUDADANO</t>
  </si>
  <si>
    <t>SISTEMA DE GESTION DE SEGURIDAD Y SALUD EN EL TRABAJO</t>
  </si>
  <si>
    <t>RESPONSABILIDAD SOCIAL EMPRESARIAL</t>
  </si>
  <si>
    <t>CULTURA RESILIENTE</t>
  </si>
  <si>
    <t>CODIGO DE INTEGRIDAD</t>
  </si>
  <si>
    <t>AMBIENTE LABORAL</t>
  </si>
  <si>
    <t>COMPETENCIAS COMPORTAMENTALES</t>
  </si>
  <si>
    <t>Junio de 2025</t>
  </si>
  <si>
    <t>Resultados metas "Plan Estratégico"</t>
  </si>
  <si>
    <t>Premiar en los comités de gestión a las 5 Gerentes de Sucursales que mejores resultados obtengan en indicadores de presupuesto de ventas y el índice combinado de la sucursal.</t>
  </si>
  <si>
    <t>Marzo y septiembre de 2025</t>
  </si>
  <si>
    <t>Se premiará a los 5 Gerentes de Sucursales con mejores indicadores de presupuesto de ventas y el índice combinado de la sucursal</t>
  </si>
  <si>
    <t>Consta de una serie de actividades que buscan fortalecer la apropiación del programa de cultura resiliente</t>
  </si>
  <si>
    <t>De marzo a noviembre de 2025</t>
  </si>
  <si>
    <t>De marzo a diciembre de 2025</t>
  </si>
  <si>
    <t>SISTEMAS DE GESTIÓN</t>
  </si>
  <si>
    <t>Retos saludablemente</t>
  </si>
  <si>
    <t>Consiste en una serie de retos que promuevan un estilo de vida saludable tanto en el entorno laboral como en el personal, integrando a toda la compañía en una serie de retos que permitan vivenciar practicas seguras y saludables</t>
  </si>
  <si>
    <t>GERENCIA DE TALENTO HUMANO - SUBGERENCIA DE ADMINISTRACIÓN DE PERSONAL</t>
  </si>
  <si>
    <t>Agosto de 2025</t>
  </si>
  <si>
    <t>Septiembre de 2025</t>
  </si>
  <si>
    <t>Se premiarán a 10 personas de Casa Matriz y 10 personas de Sucursales con el mayor nivel de participación en las activdades a desarrollarse en el mes de la salud.</t>
  </si>
  <si>
    <t>Enero a Diciembre de 2024</t>
  </si>
  <si>
    <t>Se premiará a las áreas y personas que participen en las actividades desarrolladas durante la semana de la creatividad y la innovación</t>
  </si>
  <si>
    <t>Imagen Corporativa</t>
  </si>
  <si>
    <t>Consiste en una serie de actividades o
concursos que apalancan el cumplimiento de los obje_x001F_ivos estratégicos de la compañía y el
fortalecimiento de la imagen corpora_x001F_iva.</t>
  </si>
  <si>
    <t>GERENCIA DE PLANEACIÓN - OFICINA DE MERCADEO Y PUBLICIDAD</t>
  </si>
  <si>
    <t>Noviembre de 2025</t>
  </si>
  <si>
    <t>Participación y cumplimiento en las actividades cuyo objetivo es el conocimiento y apropiación de la estrategia, así como el fortalecimiento de la imagen corporativa</t>
  </si>
  <si>
    <t>Concurso de Delegaciones</t>
  </si>
  <si>
    <t>Consiste en tres rondas de preguntas de nivel básico, intermedio y avanzado en el que podrán participar Gerentes, Subgerentes, Gestores Comerciales, Suscriptores y Expedidores de todas las sucursales, las cuales se agruparán en Grupo 1 correspondiente a las sucursales tipo A y el Grupo 2 correspondiente a las sucursales tipo C, D y E.</t>
  </si>
  <si>
    <t>VICEPRESIDENCIA TÉCNICA Y COMERCIAL</t>
  </si>
  <si>
    <t>De julio a noviembre de 2025</t>
  </si>
  <si>
    <t>Noviembre de 2026</t>
  </si>
  <si>
    <t>Se realizarán 3 Rondas de Preguntas:
    Ronda No. 1  Nivel Básico
    Ronda No. 2  Nivel Medio
    Ronda No. 3  Nivel Avanzado
Cada ronda tendrá 10 preguntas y es clasificatoria para la siguiente. El cuestionario por ronda estará habilitado por 30 días considerando periodos de vacaciones o cualquier novedad que se pueda presentar.
Cada participante una vez inicie el cuestionario sólo tendrá una única oportunidad.
Todos los que estén habilitados pueden participar y aumentar las probabilidades de ganar.
Tiempo máximo para responder el cuestionario de cada ronda será de 10 minutos.</t>
  </si>
  <si>
    <t>De febrero a diciembre de 2025</t>
  </si>
  <si>
    <t>Diciembre de 2025</t>
  </si>
  <si>
    <t>CAPACITACION, INDUCCIÓN Y COMUNICACIONES</t>
  </si>
  <si>
    <t>Ver plan de capacitación y comunicaciones, evidencias de inducciones</t>
  </si>
  <si>
    <t>31/02/2025</t>
  </si>
  <si>
    <t>Ejecución según cronograma</t>
  </si>
  <si>
    <t>Actualizar estadística, caracterización y seguimiento de EL y AT</t>
  </si>
  <si>
    <t xml:space="preserve">Revisar y socializar al COPASST el plan de auditoria definitivo </t>
  </si>
  <si>
    <t>1. GESTIÓN INTEGRAL RIESGOS DE CORRUPCIÓN</t>
  </si>
  <si>
    <t xml:space="preserve">Actualizar la documentación relacionada con el Programa de Transparencia y ética Pública (Antes PAAC) </t>
  </si>
  <si>
    <t xml:space="preserve">1. Actualización Gobierno de la política (CIR - 469)
2. Alineación de disposiciones normativas con el antiguo Código de ética y conducta (DI-GGC-007)
3. Actualización MN 210 MANUAL DEL PLAN ANTICORRUPCIÓN Y ATENCIÓN AL CIUDADANO
4. Alcance a las actividades y componentes del PTEP Previsora 2025. </t>
  </si>
  <si>
    <t>2. REDES INSTITUCIONALES Y CANALES DE DENUNCIA</t>
  </si>
  <si>
    <t>3. LEGALIDAD E INTEGRIDAD</t>
  </si>
  <si>
    <t>Capacitación anual SARLAFT</t>
  </si>
  <si>
    <t>Excel donde se evidencie número de empleados de la compañía vs el número de empleados capacitados en temas relacionados con LAFT.</t>
  </si>
  <si>
    <t>Uso de herramienta digital SARLAFT DIGITAL</t>
  </si>
  <si>
    <t>Excel comparativo entre meses donde se evidencia el número de formularios de conocimiento del cliente diligenciados por medio de SARLAFT DIGITAL</t>
  </si>
  <si>
    <t xml:space="preserve">GERENCIA DE TALENTO HUMANO
COMITÉ DE INTEGRIDAD
JEFE DE CONTROL DISCIPLINARIO
</t>
  </si>
  <si>
    <t>Analizar la información recibida a través de Informes internos (Informes del comité de convivencia,comité de étical, Informes de la oficina de control interno disciplinario), para evaluar el cumplimiento de la política de integridad.</t>
  </si>
  <si>
    <t xml:space="preserve">Informe </t>
  </si>
  <si>
    <t>RECURSOS HUMANOS
RECURSOS TECNOLÓGICOS</t>
  </si>
  <si>
    <t>enero de 2025</t>
  </si>
  <si>
    <t xml:space="preserve">GERENCIA DE TALENTO HUMANO
SUBGERENCIA DE MEJORAMIENTO DE PROCESOS
</t>
  </si>
  <si>
    <t>Continuar de forma periódica por parte de la entidad con la aplicación de al Decreto 1800 de 2019 modificado por el Decreto 1499 de 2022.(Entidades Publicas de la Rama Ejecutiva del Orden Nacional)</t>
  </si>
  <si>
    <t>Informe del avance del proyecto de rediseño</t>
  </si>
  <si>
    <t>Presupuesto definido para el proyecto</t>
  </si>
  <si>
    <t>GERENCIA DE TALENTO HUMANO
COMITÉ  DE CONVIVENCIA LABORAL</t>
  </si>
  <si>
    <t>Presentar a la Alta Dirección de la compañia un informe de las estadísticas de las quejas y el seguimiento de los casos de acoso laboral.</t>
  </si>
  <si>
    <t>presentación de informe al comité de presidencia</t>
  </si>
  <si>
    <t>GERENCIA DE TALENTO HUMANO
GERENCIA DE SERVICIO</t>
  </si>
  <si>
    <t>Desarrollar acciones de promoción del Código de Integridad y Cultura de Servicio como parte de  las acciones de fortalecimiento del talento humano para el relacionamiento con las ciudadanías.</t>
  </si>
  <si>
    <t>Ejecución de las activades planeadad de la socialización de valores</t>
  </si>
  <si>
    <t>Hacer seguimiento y control al cumplimiento de la Ley 2013 de 2019 en el Aplicativo por la Integridad Pública.</t>
  </si>
  <si>
    <t>Cumplimiento de actividades relacionada con la Ley 2013</t>
  </si>
  <si>
    <t>4. INICIATIVAS ADICIONALES Y CONFLICTO DEINTERÉS</t>
  </si>
  <si>
    <t>Sensibilizaciones realizadas
Indicador: Número de  sensibilizaciones realizadas / 4</t>
  </si>
  <si>
    <t>5. PARTICIPACIÓN CIUDADANA Y RENDICIÓN DE CUENTAS</t>
  </si>
  <si>
    <t>Encuestas de servicio aplicadas y nivel de satisfacción de intermediarios</t>
  </si>
  <si>
    <t>Capacitación sobre temas relacionados con atención al cliente dirigida a los funcionarios de la compañía, acorde a los lineamientos del SAC y la Universidad Previsora. Meta: 2</t>
  </si>
  <si>
    <t>Listados de asistencia</t>
  </si>
  <si>
    <t>Informe de Incentivos (Comité SAC) aplicados relacionados con motivación a la excelencia en la atención al cliente
Primer semestre agosto 2025
Segundo semenstre febrero 2026</t>
  </si>
  <si>
    <t>Publicar el primer informe periódico de rendición de cuentas corte a diciembre 2024 en la página web.</t>
  </si>
  <si>
    <t xml:space="preserve">La Oficina de Mercadeo realiza la consolidación, el diseño y la publicación del Informe de Gestión </t>
  </si>
  <si>
    <t>Evento virtual o presencial a nivel interno de los resultados más importantes de de la compañía en el primer semestre</t>
  </si>
  <si>
    <t>La Oficina de Mercadeo realiza la consolidación, preparación, construcción y línea gráfica y la actividad</t>
  </si>
  <si>
    <t>Evento virtual o presencial a nivel interno de los resultados más importantes de de la compañía en el segundo semestre</t>
  </si>
  <si>
    <t xml:space="preserve">Diseñar y publicar cronograma que defina los espacios de diálogo presenciales y virtuales de rendición de cuentas </t>
  </si>
  <si>
    <t>A través de forms, mercadeo solicitará el diligenciamiento de la encuesta de efectividad de la comunicación y satisfacción de canales de comunicación</t>
  </si>
  <si>
    <t>Diseñar formato interno de reporte de las actividades de rendición de cuentas que se realizarán en toda la entidad que como mínimo contenga:</t>
  </si>
  <si>
    <t>6. TRANSPARENCIA Y ACCESO A LA INFORMACIÓN</t>
  </si>
  <si>
    <t>7. ESTADO ABIERTO</t>
  </si>
  <si>
    <t>Evolutivos portal de intermediarios fase II: Desarrollar sobre el Portal de Intermediarios, las funcionalidades documentadas y prototipadas en la Fase I del Proyecto.</t>
  </si>
  <si>
    <t>Solicitud de certificados​
Solicitud de cotizadores (herramientas)
Actualización documental​
Vinculación de intermediarios</t>
  </si>
  <si>
    <t>Recursos Tecnologicos
Recursos Humanos</t>
  </si>
  <si>
    <t>Recursos propios</t>
  </si>
  <si>
    <t>Evolutivos sucursal virtual fase II</t>
  </si>
  <si>
    <t xml:space="preserve">Desarrollo del front de multicotizador de autos para el proceso de cotización en línea
Pago digital
Emisión póliza
</t>
  </si>
  <si>
    <t>Apps corporativas (iOS y android)</t>
  </si>
  <si>
    <t>Aplicaciones móviles disponibles en las tiendas</t>
  </si>
  <si>
    <t>Publicación de activos de información actualizado en la pagina de Datos abiertos (Datos.gov.co)</t>
  </si>
  <si>
    <t>Soporte de la publicación del listado de activos de información en la pagina Datos.gov.co</t>
  </si>
  <si>
    <t xml:space="preserve">Recursos Propios </t>
  </si>
  <si>
    <t>Publicación de la planeación y ejecución del presupuesto acumulado de La Previsora en la pagina de Datos Abiertos (Datos.gov.co)</t>
  </si>
  <si>
    <t>Soporte de la publicación del presupuesto acumulado de La Previsora</t>
  </si>
  <si>
    <t>POR DEFINIR</t>
  </si>
  <si>
    <t>Desarrollo de la Hoja de Ruta de Estrategia de T.I. para el año 2025</t>
  </si>
  <si>
    <t>Desarrollo de la Hoja de Ruta de Gobierno de T.I. para el año 2025</t>
  </si>
  <si>
    <t>USO Y APROPIACION DE T.I.</t>
  </si>
  <si>
    <t>Desarrollo de la Hoja de Ruta de Uso y Apropiación de T.I. para el año 2025</t>
  </si>
  <si>
    <t xml:space="preserve">1) Actualización del PETI 2022-2026
2) Socialización del PETI actualizado para el 2025
3) Analisis de Brechas y Mejoras del PETI al 2024
</t>
  </si>
  <si>
    <t>1) Validacion y control Principios y  Politicas T.I.
2) Actualización Procesos de T.I. 2025
3) Socialización Gestión T.I. resultados 2024
4) Fortalecimiento de conocimiento en supervisión de contratos y gestión de proyectos.</t>
  </si>
  <si>
    <t>1) Artefactos relacionados al seguimiento del cumplimiento de las políticas de T.I.
2) Artefactos de procesos actualizados en la herramienta de gestión.
3) Presentaciones y/o piezas de comunicación relacionadas a la socialiación de la Gestión de T.I.
4) Registro de reentrenamiento o capacitaciones realizadas</t>
  </si>
  <si>
    <t>1) Potenciar el conocimiento de uso en SISE
2) Potenciar el conocimiento en herramienta de T.I.
3) Fortalecer la Herramienta de Gestión del Conocimiento de TI</t>
  </si>
  <si>
    <t>1) Registro de reentrenamientos o capacitaciones asociadas a SISE
3) Registro de reentrenamientos o capacitaciones asociadas al uso de herramientas de T.I.
4) Artefactos relacionados al fortalecimiento Herramienta de Gestión del Conocimiento de TI</t>
  </si>
  <si>
    <t>SISTEMAS DE INFORMACION</t>
  </si>
  <si>
    <t>Desarrollo de la Hoja de Ruta de Sistemas de Información de T.I. para el año 2025</t>
  </si>
  <si>
    <t>1)  Implementación Herramienta DEVOPS
2) Actualización version motor base de datos y servidores de On Base
3) Modernización Pcs Windows 11</t>
  </si>
  <si>
    <t>1) Artefactos relacionados con la implementación de las herramientas DEVOPS
2) Informe de resultados de la actualización de la versión del motor de BD y los servidores
3) artefactos relacionados con la modernizacion de los Pcs Windows 11</t>
  </si>
  <si>
    <t>1) Fortalecimiento DRP
2) Estudio de Mercado Boveda de Datos
3) Despliegue de nueva NAS
4) Análisis Evaluación Nube Pública</t>
  </si>
  <si>
    <t>1) Artefactos relacionados al fortalecimiento del DRP.
2) Resultados del estudio de mercado de la Boveda de Datos.
3) Artefactos relacionados  al despliegue de la nueva NAS
4) Resultados del análisis de la evaluación de Nube Pública.</t>
  </si>
  <si>
    <t>ARQUITECTURA EMPRESARIAL</t>
  </si>
  <si>
    <t>Desarrollo de la Hoja de Ruta de Arquitectura Empresarial</t>
  </si>
  <si>
    <t>1) Fortalecimiento Gobierno de Arquitectura Empresarial
2) Socialización Gestión Arquitectura Empresarial
3) Implementación plan de manteniemiento AE 2025
4) Implementación Interoperabilidad 2025
5) Estudio de Mercado Herramienta de Arquitectura Empresarial</t>
  </si>
  <si>
    <t>1) Artefactos relacionados al fortalecimiento del Gobierno de Arquitectura Empresarial.
2) Presentaciones y/o piezas de comunicación de la Gestión de Arquitectuar Empresarial.
3) Artefactos relacionados a la implementación del plan de mantenimiento AE
4) Artefactos relacionados a la implementación de interoperabilidad
5) Resultados del estudio de mercado para adquirir una herramienta de Arquitectura Empresarial.</t>
  </si>
  <si>
    <t>Desarrollo de la Hoja de Ruta de Aseguramiento Informativo y Ciberseguridad para el año 2025 correspondiente a los temas tecnológicos</t>
  </si>
  <si>
    <t>CREACIÓN DE DOCUMENTO</t>
  </si>
  <si>
    <t>Programa</t>
  </si>
  <si>
    <t>I TRIMESTRE</t>
  </si>
  <si>
    <t>Planeado</t>
  </si>
  <si>
    <t>Acumulado
ISOLUCIÓN</t>
  </si>
  <si>
    <t>Indicador Unitario</t>
  </si>
  <si>
    <t>Indicador Global</t>
  </si>
  <si>
    <t>Meta</t>
  </si>
  <si>
    <t>Cumplimiento sobre la meta</t>
  </si>
  <si>
    <t>Acumulado Global</t>
  </si>
  <si>
    <t xml:space="preserve">PIAA2025_PLAN_INSTITUCIONAL </t>
  </si>
  <si>
    <t>PIAA2025_PLAN_INSTITUCIONAL_DE_ARCHIVO</t>
  </si>
  <si>
    <t>PIAA2025_PLAN_ANUAL_DE_ADQUISICIONES</t>
  </si>
  <si>
    <t>PIAA2025_PROGRAMA_TRANSPARENCIA_ÉTICA_PÚBLICA</t>
  </si>
  <si>
    <t>PIAA2025_PLAN_ESTRATEGICO_DE_TECNOLOGÍAS:DE_LA_INFORMACIÓN</t>
  </si>
  <si>
    <t>PIAA2025_PLAN_DE_SEGURIDAD_PRIVACIDAD_ DE_ LA_INFORMACIÓN</t>
  </si>
  <si>
    <t>PIAA2025_PLAN_DE_SEGURIDAD_SALUD_EN_EL_TRABAJO</t>
  </si>
  <si>
    <t>PIAA2025_PLAN_INSTITUCIONAL_DE_CAPACITACIÓN</t>
  </si>
  <si>
    <t xml:space="preserve">	PIAA2025_PLAN_INSTITUCIONAL_DE_INCENTIVOS</t>
  </si>
  <si>
    <r>
      <t xml:space="preserve">Analisis del Indicador I TRIM: </t>
    </r>
    <r>
      <rPr>
        <sz val="11"/>
        <color rgb="FF000000"/>
        <rFont val="Calibri"/>
      </rPr>
      <t xml:space="preserve">Para el I Trimestre se ejecutaron siete (07) de once (11) planes institucionales asociados al MIPG de la compañía, los cuales tuvieron en promedio un cumplimiento del 99%, de acuerdo a programación establecida de ejecución (Ver actividades programadas en Plan Institucional de Acción Anual v1 en https://previsora.gov.co/plan-de-accion-anual. 
Lo anterior, teniendo en cuenta que quedó pendiente el cargue de actividades asociadas al componente LAFT del Programa de Transparencia y Ética Pública para el I Trimestre, quedando dicho plan con una ejecución del 94% e impactando en la sumatoria de cumplimiento global.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</si>
</sst>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0.0%"/>
    <numFmt numFmtId="165" formatCode="#,###\ &quot;COP&quot;"/>
  </numFmts>
  <fonts count="113"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Calibri"/>
      <family val="2"/>
    </font>
    <font>
      <sz val="10"/>
      <color rgb="FF000000"/>
      <name val="Calibri"/>
      <family val="2"/>
    </font>
    <font>
      <sz val="10"/>
      <name val="Calibri"/>
      <family val="2"/>
    </font>
    <font>
      <b/>
      <sz val="12"/>
      <color rgb="FF000000"/>
      <name val="Calibri"/>
      <family val="2"/>
    </font>
    <font>
      <b/>
      <sz val="12"/>
      <name val="Calibri"/>
      <family val="2"/>
    </font>
    <font>
      <b/>
      <sz val="16"/>
      <color rgb="FF7F7F7F"/>
      <name val="Calibri"/>
      <family val="2"/>
    </font>
    <font>
      <b/>
      <sz val="14"/>
      <color rgb="FF7F7F7F"/>
      <name val="Calibri"/>
      <family val="2"/>
    </font>
    <font>
      <sz val="8"/>
      <name val="Calibri"/>
      <family val="2"/>
    </font>
    <font>
      <sz val="18"/>
      <color rgb="FF000000"/>
      <name val="Calibri"/>
      <family val="2"/>
    </font>
    <font>
      <sz val="12"/>
      <color rgb="FF000000"/>
      <name val="Calibri"/>
      <family val="2"/>
    </font>
    <font>
      <sz val="11"/>
      <color rgb="FF000000"/>
      <name val="Calibri"/>
      <family val="2"/>
    </font>
    <font>
      <sz val="11"/>
      <color rgb="FF000000"/>
      <name val="Calibri"/>
      <family val="2"/>
    </font>
    <font>
      <b/>
      <sz val="11"/>
      <color rgb="FF000000"/>
      <name val="Calibri"/>
      <family val="2"/>
    </font>
    <font>
      <b/>
      <sz val="10"/>
      <color theme="1" tint="0.34998626667073579"/>
      <name val="Calibri"/>
      <family val="2"/>
    </font>
    <font>
      <b/>
      <sz val="14"/>
      <color rgb="FF000000"/>
      <name val="Calibri"/>
      <family val="2"/>
    </font>
    <font>
      <sz val="11"/>
      <color theme="1" tint="0.34998626667073579"/>
      <name val="Calibri"/>
      <family val="2"/>
      <scheme val="minor"/>
    </font>
    <font>
      <sz val="20"/>
      <color theme="1"/>
      <name val="Calibri"/>
      <family val="2"/>
      <scheme val="minor"/>
    </font>
    <font>
      <sz val="11"/>
      <color theme="1" tint="0.34998626667073579"/>
      <name val="Calibri"/>
      <family val="2"/>
    </font>
    <font>
      <sz val="14"/>
      <name val="Calibri"/>
      <family val="2"/>
    </font>
    <font>
      <sz val="12"/>
      <color theme="1" tint="0.34998626667073579"/>
      <name val="Calibri"/>
      <family val="2"/>
    </font>
    <font>
      <sz val="14"/>
      <color theme="1"/>
      <name val="Calibri"/>
      <family val="2"/>
    </font>
    <font>
      <sz val="14"/>
      <color theme="1"/>
      <name val="Calibri"/>
      <family val="2"/>
      <scheme val="minor"/>
    </font>
    <font>
      <sz val="16"/>
      <color theme="1"/>
      <name val="Calibri"/>
      <family val="2"/>
    </font>
    <font>
      <b/>
      <sz val="16"/>
      <color theme="1" tint="0.34998626667073579"/>
      <name val="Calibri"/>
      <family val="2"/>
    </font>
    <font>
      <b/>
      <sz val="16"/>
      <color indexed="81"/>
      <name val="Calibri"/>
      <family val="2"/>
      <scheme val="minor"/>
    </font>
    <font>
      <sz val="16"/>
      <color indexed="81"/>
      <name val="Calibri"/>
      <family val="2"/>
      <scheme val="minor"/>
    </font>
    <font>
      <b/>
      <sz val="18"/>
      <color rgb="FFFFFFFF"/>
      <name val="Century Gothic"/>
      <family val="2"/>
    </font>
    <font>
      <b/>
      <sz val="11"/>
      <color rgb="FFFFFFFF"/>
      <name val="Century Gothic"/>
      <family val="2"/>
    </font>
    <font>
      <sz val="11"/>
      <color rgb="FF000000"/>
      <name val="Calibri"/>
      <family val="2"/>
      <scheme val="minor"/>
    </font>
    <font>
      <b/>
      <sz val="11"/>
      <color rgb="FFFFFFFF"/>
      <name val="Calibri"/>
      <family val="2"/>
      <scheme val="minor"/>
    </font>
    <font>
      <sz val="11"/>
      <name val="Calibri"/>
      <family val="2"/>
      <scheme val="minor"/>
    </font>
    <font>
      <b/>
      <sz val="36"/>
      <color rgb="FFFFFFFF"/>
      <name val="Calibri"/>
      <family val="2"/>
      <scheme val="minor"/>
    </font>
    <font>
      <b/>
      <sz val="16"/>
      <color theme="0"/>
      <name val="Calibri"/>
      <family val="2"/>
    </font>
    <font>
      <b/>
      <sz val="18"/>
      <color rgb="FF7F7F7F"/>
      <name val="Calibri"/>
      <family val="2"/>
    </font>
    <font>
      <b/>
      <sz val="14"/>
      <color rgb="FFFFFFFF"/>
      <name val="Century Gothic"/>
      <family val="2"/>
    </font>
    <font>
      <b/>
      <sz val="26"/>
      <color theme="0"/>
      <name val="Calibri"/>
      <family val="2"/>
      <scheme val="minor"/>
    </font>
    <font>
      <sz val="16"/>
      <name val="Calibri"/>
      <family val="2"/>
    </font>
    <font>
      <b/>
      <sz val="11"/>
      <color rgb="FF000000"/>
      <name val="Century Gothic"/>
      <family val="2"/>
    </font>
    <font>
      <sz val="10"/>
      <color rgb="FF000000"/>
      <name val="Arial"/>
      <family val="2"/>
    </font>
    <font>
      <b/>
      <sz val="11"/>
      <color rgb="FF000000"/>
      <name val="Calibri"/>
      <family val="2"/>
      <scheme val="minor"/>
    </font>
    <font>
      <sz val="18"/>
      <name val="Calibri"/>
      <family val="2"/>
      <scheme val="minor"/>
    </font>
    <font>
      <b/>
      <sz val="18"/>
      <color rgb="FF000000"/>
      <name val="Calibri"/>
      <family val="2"/>
      <scheme val="minor"/>
    </font>
    <font>
      <b/>
      <sz val="10"/>
      <color theme="1"/>
      <name val="Verdana"/>
      <family val="2"/>
    </font>
    <font>
      <sz val="10"/>
      <color theme="1"/>
      <name val="Verdana"/>
      <family val="2"/>
    </font>
    <font>
      <sz val="10"/>
      <color theme="1"/>
      <name val="Arial"/>
      <family val="2"/>
    </font>
    <font>
      <b/>
      <sz val="16"/>
      <color theme="1"/>
      <name val="Calibri"/>
      <family val="2"/>
      <scheme val="minor"/>
    </font>
    <font>
      <sz val="11"/>
      <color theme="1"/>
      <name val="Arial"/>
      <family val="2"/>
    </font>
    <font>
      <sz val="20"/>
      <color theme="1"/>
      <name val="Calibri Light"/>
      <family val="2"/>
      <scheme val="major"/>
    </font>
    <font>
      <b/>
      <sz val="20"/>
      <color theme="1"/>
      <name val="Calibri Light"/>
      <family val="2"/>
      <scheme val="major"/>
    </font>
    <font>
      <b/>
      <sz val="16"/>
      <color rgb="FFFFFFFF"/>
      <name val="Calibri Light"/>
      <family val="2"/>
    </font>
    <font>
      <sz val="16"/>
      <name val="Calibri Light"/>
      <family val="2"/>
    </font>
    <font>
      <sz val="12"/>
      <color rgb="FF000000"/>
      <name val="Calibri"/>
      <family val="2"/>
      <scheme val="minor"/>
    </font>
    <font>
      <sz val="12"/>
      <name val="Calibri"/>
      <family val="2"/>
      <scheme val="minor"/>
    </font>
    <font>
      <sz val="18"/>
      <color rgb="FF000000"/>
      <name val="Calibri"/>
      <family val="2"/>
      <scheme val="minor"/>
    </font>
    <font>
      <sz val="18"/>
      <color theme="1"/>
      <name val="Calibri"/>
      <family val="2"/>
      <scheme val="minor"/>
    </font>
    <font>
      <sz val="20"/>
      <color rgb="FF000000"/>
      <name val="Calibri"/>
      <family val="2"/>
      <scheme val="minor"/>
    </font>
    <font>
      <sz val="24"/>
      <color rgb="FF000000"/>
      <name val="Calibri"/>
      <family val="2"/>
      <scheme val="minor"/>
    </font>
    <font>
      <sz val="28"/>
      <color rgb="FF000000"/>
      <name val="Calibri"/>
      <family val="2"/>
      <scheme val="minor"/>
    </font>
    <font>
      <b/>
      <sz val="12"/>
      <color rgb="FFFFFFFF"/>
      <name val="Calibri"/>
      <family val="2"/>
      <scheme val="minor"/>
    </font>
    <font>
      <b/>
      <sz val="16"/>
      <color rgb="FFFFFFFF"/>
      <name val="Calibri"/>
      <family val="2"/>
      <scheme val="minor"/>
    </font>
    <font>
      <sz val="28"/>
      <color theme="4" tint="-0.499984740745262"/>
      <name val="Calibri"/>
      <family val="2"/>
      <scheme val="minor"/>
    </font>
    <font>
      <b/>
      <sz val="28"/>
      <color theme="4" tint="-0.499984740745262"/>
      <name val="Calibri"/>
      <family val="2"/>
      <scheme val="minor"/>
    </font>
    <font>
      <b/>
      <sz val="24"/>
      <color rgb="FF000000"/>
      <name val="Calibri"/>
      <family val="2"/>
      <scheme val="minor"/>
    </font>
    <font>
      <b/>
      <sz val="20"/>
      <color rgb="FF000000"/>
      <name val="Calibri"/>
      <family val="2"/>
      <scheme val="minor"/>
    </font>
    <font>
      <b/>
      <sz val="36"/>
      <color rgb="FF000000"/>
      <name val="Calibri"/>
      <family val="2"/>
      <scheme val="minor"/>
    </font>
    <font>
      <b/>
      <sz val="28"/>
      <color rgb="FFFFFFFF"/>
      <name val="Calibri"/>
      <family val="2"/>
      <scheme val="minor"/>
    </font>
    <font>
      <sz val="10"/>
      <name val="Arial"/>
      <family val="2"/>
    </font>
    <font>
      <b/>
      <sz val="10"/>
      <color rgb="FFFFFFFF"/>
      <name val="Arial"/>
      <family val="2"/>
    </font>
    <font>
      <sz val="12"/>
      <name val="Calibri"/>
      <family val="2"/>
    </font>
    <font>
      <sz val="8"/>
      <color theme="1" tint="0.34998626667073579"/>
      <name val="Calibri"/>
      <family val="2"/>
    </font>
    <font>
      <sz val="11"/>
      <name val="Calibri"/>
      <family val="2"/>
    </font>
    <font>
      <sz val="11"/>
      <color theme="1"/>
      <name val="Calibri"/>
      <family val="2"/>
    </font>
    <font>
      <sz val="11"/>
      <color theme="0"/>
      <name val="Calibri"/>
      <family val="2"/>
    </font>
    <font>
      <sz val="12"/>
      <color theme="1" tint="4.9989318521683403E-2"/>
      <name val="Calibri"/>
      <family val="2"/>
    </font>
    <font>
      <sz val="11"/>
      <color theme="1" tint="4.9989318521683403E-2"/>
      <name val="Calibri"/>
      <family val="2"/>
    </font>
    <font>
      <b/>
      <sz val="14"/>
      <color theme="0"/>
      <name val="Century Gothic"/>
      <family val="2"/>
    </font>
    <font>
      <b/>
      <sz val="11"/>
      <color theme="0"/>
      <name val="Century Gothic"/>
      <family val="2"/>
    </font>
    <font>
      <b/>
      <sz val="10"/>
      <color theme="0"/>
      <name val="Calibri"/>
      <family val="2"/>
    </font>
    <font>
      <b/>
      <sz val="11"/>
      <color theme="0"/>
      <name val="Calibri"/>
      <family val="2"/>
    </font>
    <font>
      <b/>
      <sz val="12"/>
      <color theme="0"/>
      <name val="Calibri"/>
      <family val="2"/>
    </font>
    <font>
      <sz val="10.8"/>
      <name val="Calibri"/>
      <family val="2"/>
    </font>
    <font>
      <sz val="14"/>
      <color rgb="FF000000"/>
      <name val="Calibri"/>
      <family val="2"/>
      <scheme val="minor"/>
    </font>
    <font>
      <sz val="14"/>
      <color rgb="FF000000"/>
      <name val="Calibri"/>
      <family val="2"/>
    </font>
    <font>
      <b/>
      <sz val="14"/>
      <color rgb="FF000000"/>
      <name val="Calibri"/>
      <family val="2"/>
      <scheme val="minor"/>
    </font>
    <font>
      <b/>
      <sz val="14"/>
      <color rgb="FFFFFFFF"/>
      <name val="Calibri"/>
      <family val="2"/>
      <scheme val="minor"/>
    </font>
    <font>
      <sz val="14"/>
      <name val="Calibri"/>
      <family val="2"/>
      <scheme val="minor"/>
    </font>
    <font>
      <sz val="11"/>
      <color rgb="FF000000"/>
      <name val="Calibri"/>
    </font>
    <font>
      <sz val="9"/>
      <color indexed="81"/>
      <name val="Tahoma"/>
      <family val="2"/>
    </font>
    <font>
      <b/>
      <sz val="11"/>
      <name val="Calibri"/>
      <family val="2"/>
    </font>
    <font>
      <sz val="11"/>
      <color theme="0"/>
      <name val="Calibri"/>
      <family val="2"/>
      <scheme val="minor"/>
    </font>
    <font>
      <b/>
      <sz val="11"/>
      <name val="Calibri"/>
      <family val="2"/>
      <scheme val="minor"/>
    </font>
    <font>
      <b/>
      <sz val="9"/>
      <color rgb="FF000000"/>
      <name val="Tahoma"/>
      <family val="2"/>
    </font>
    <font>
      <sz val="9"/>
      <color rgb="FF000000"/>
      <name val="Tahoma"/>
      <family val="2"/>
    </font>
    <font>
      <sz val="9"/>
      <color rgb="FF000000"/>
      <name val="Verdana"/>
      <family val="2"/>
    </font>
    <font>
      <sz val="11"/>
      <color rgb="FF000000"/>
      <name val="Aptos Narrow"/>
      <family val="2"/>
    </font>
    <font>
      <sz val="11"/>
      <name val="Aptos Narrow"/>
      <family val="2"/>
    </font>
    <font>
      <b/>
      <sz val="11"/>
      <color rgb="FF000000"/>
      <name val="Aptos Narrow"/>
      <family val="2"/>
    </font>
    <font>
      <b/>
      <sz val="10"/>
      <name val="Calibri"/>
      <family val="2"/>
    </font>
    <font>
      <sz val="9"/>
      <name val="Arial"/>
      <family val="2"/>
    </font>
    <font>
      <b/>
      <sz val="14"/>
      <name val="Calibri"/>
      <family val="2"/>
      <scheme val="minor"/>
    </font>
    <font>
      <sz val="11"/>
      <color theme="4" tint="-0.249977111117893"/>
      <name val="Calibri"/>
      <family val="2"/>
    </font>
    <font>
      <u/>
      <sz val="11"/>
      <color theme="10"/>
      <name val="Calibri"/>
    </font>
    <font>
      <b/>
      <sz val="10"/>
      <color rgb="FFFFFFFF"/>
      <name val="Abadi Extra Light"/>
      <family val="2"/>
    </font>
    <font>
      <u/>
      <sz val="11"/>
      <color rgb="FF467886"/>
      <name val="Aptos Narrow"/>
      <family val="2"/>
    </font>
    <font>
      <sz val="10"/>
      <color rgb="FF0C769E"/>
      <name val="Abadi Extra Light"/>
      <family val="2"/>
    </font>
    <font>
      <b/>
      <sz val="10"/>
      <color rgb="FF0C769E"/>
      <name val="Abadi Extra Light"/>
      <family val="2"/>
    </font>
  </fonts>
  <fills count="58">
    <fill>
      <patternFill patternType="none"/>
    </fill>
    <fill>
      <patternFill patternType="gray125"/>
    </fill>
    <fill>
      <patternFill patternType="solid">
        <fgColor rgb="FFF2F2F2"/>
        <bgColor rgb="FFF2F2F2"/>
      </patternFill>
    </fill>
    <fill>
      <patternFill patternType="solid">
        <fgColor rgb="FFEAEFF7"/>
        <bgColor rgb="FFEAEFF7"/>
      </patternFill>
    </fill>
    <fill>
      <patternFill patternType="solid">
        <fgColor rgb="FFDEEAF6"/>
        <bgColor rgb="FFDEEAF6"/>
      </patternFill>
    </fill>
    <fill>
      <patternFill patternType="solid">
        <fgColor rgb="FFFFFF00"/>
        <bgColor rgb="FFBFBFBF"/>
      </patternFill>
    </fill>
    <fill>
      <patternFill patternType="solid">
        <fgColor theme="0" tint="-0.249977111117893"/>
        <bgColor rgb="FFBFBFBF"/>
      </patternFill>
    </fill>
    <fill>
      <patternFill patternType="solid">
        <fgColor theme="0" tint="-4.9989318521683403E-2"/>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rgb="FFFFFF99"/>
      </patternFill>
    </fill>
    <fill>
      <patternFill patternType="solid">
        <fgColor theme="0" tint="-4.9989318521683403E-2"/>
        <bgColor rgb="FF7F7F7F"/>
      </patternFill>
    </fill>
    <fill>
      <patternFill patternType="solid">
        <fgColor theme="0" tint="-0.34998626667073579"/>
        <bgColor indexed="64"/>
      </patternFill>
    </fill>
    <fill>
      <patternFill patternType="solid">
        <fgColor theme="6"/>
        <bgColor indexed="64"/>
      </patternFill>
    </fill>
    <fill>
      <patternFill patternType="solid">
        <fgColor rgb="FF70AD47"/>
        <bgColor rgb="FF000000"/>
      </patternFill>
    </fill>
    <fill>
      <patternFill patternType="solid">
        <fgColor rgb="FFFFFFFF"/>
        <bgColor rgb="FF000000"/>
      </patternFill>
    </fill>
    <fill>
      <patternFill patternType="solid">
        <fgColor rgb="FFFFC000"/>
        <bgColor rgb="FF000000"/>
      </patternFill>
    </fill>
    <fill>
      <patternFill patternType="solid">
        <fgColor theme="9" tint="-0.499984740745262"/>
        <bgColor indexed="64"/>
      </patternFill>
    </fill>
    <fill>
      <patternFill patternType="solid">
        <fgColor theme="9" tint="0.59999389629810485"/>
        <bgColor rgb="FFFFFF99"/>
      </patternFill>
    </fill>
    <fill>
      <patternFill patternType="solid">
        <fgColor theme="9" tint="0.39997558519241921"/>
        <bgColor rgb="FFFFFF99"/>
      </patternFill>
    </fill>
    <fill>
      <patternFill patternType="solid">
        <fgColor theme="9" tint="-0.249977111117893"/>
        <bgColor rgb="FFFFFF99"/>
      </patternFill>
    </fill>
    <fill>
      <patternFill patternType="solid">
        <fgColor theme="9" tint="-0.499984740745262"/>
        <bgColor rgb="FFFFFF99"/>
      </patternFill>
    </fill>
    <fill>
      <patternFill patternType="solid">
        <fgColor theme="9"/>
        <bgColor rgb="FF000000"/>
      </patternFill>
    </fill>
    <fill>
      <patternFill patternType="solid">
        <fgColor theme="0"/>
        <bgColor rgb="FF000000"/>
      </patternFill>
    </fill>
    <fill>
      <gradientFill degree="270">
        <stop position="0">
          <color theme="9"/>
        </stop>
        <stop position="1">
          <color theme="9" tint="-0.49803155613879818"/>
        </stop>
      </gradientFill>
    </fill>
    <fill>
      <patternFill patternType="solid">
        <fgColor theme="0"/>
        <bgColor indexed="64"/>
      </patternFill>
    </fill>
    <fill>
      <patternFill patternType="solid">
        <fgColor theme="9" tint="0.59999389629810485"/>
        <bgColor rgb="FF000000"/>
      </patternFill>
    </fill>
    <fill>
      <patternFill patternType="solid">
        <fgColor rgb="FF757171"/>
        <bgColor rgb="FF000000"/>
      </patternFill>
    </fill>
    <fill>
      <patternFill patternType="solid">
        <fgColor theme="0"/>
        <bgColor rgb="FFBFBFBF"/>
      </patternFill>
    </fill>
    <fill>
      <patternFill patternType="solid">
        <fgColor rgb="FFD9D9D9"/>
        <bgColor rgb="FF000000"/>
      </patternFill>
    </fill>
    <fill>
      <patternFill patternType="solid">
        <fgColor rgb="FFD0CECE"/>
        <bgColor rgb="FF000000"/>
      </patternFill>
    </fill>
    <fill>
      <patternFill patternType="solid">
        <fgColor rgb="FFFFF2CC"/>
        <bgColor rgb="FF000000"/>
      </patternFill>
    </fill>
    <fill>
      <patternFill patternType="solid">
        <fgColor rgb="FFDBE5F1"/>
        <bgColor indexed="64"/>
      </patternFill>
    </fill>
    <fill>
      <patternFill patternType="solid">
        <fgColor theme="0"/>
        <bgColor auto="1"/>
      </patternFill>
    </fill>
    <fill>
      <patternFill patternType="solid">
        <fgColor theme="3" tint="0.59999389629810485"/>
        <bgColor rgb="FF000000"/>
      </patternFill>
    </fill>
    <fill>
      <patternFill patternType="solid">
        <fgColor theme="3" tint="0.59999389629810485"/>
        <bgColor indexed="64"/>
      </patternFill>
    </fill>
    <fill>
      <patternFill patternType="solid">
        <fgColor rgb="FF92D050"/>
        <bgColor indexed="64"/>
      </patternFill>
    </fill>
    <fill>
      <patternFill patternType="solid">
        <fgColor rgb="FFFFFF00"/>
        <bgColor indexed="64"/>
      </patternFill>
    </fill>
    <fill>
      <gradientFill degree="90">
        <stop position="0">
          <color rgb="FF532963"/>
        </stop>
        <stop position="1">
          <color rgb="FF9B4CBA"/>
        </stop>
      </gradientFill>
    </fill>
    <fill>
      <patternFill patternType="solid">
        <fgColor rgb="FFE63992"/>
        <bgColor indexed="64"/>
      </patternFill>
    </fill>
    <fill>
      <patternFill patternType="solid">
        <fgColor rgb="FF95E069"/>
        <bgColor rgb="FFBFBFBF"/>
      </patternFill>
    </fill>
    <fill>
      <patternFill patternType="solid">
        <fgColor rgb="FF9B4CBA"/>
        <bgColor indexed="64"/>
      </patternFill>
    </fill>
    <fill>
      <patternFill patternType="solid">
        <fgColor rgb="FFE63992"/>
        <bgColor rgb="FF000000"/>
      </patternFill>
    </fill>
    <fill>
      <patternFill patternType="solid">
        <fgColor rgb="FF95E069"/>
        <bgColor rgb="FFFFFF99"/>
      </patternFill>
    </fill>
    <fill>
      <patternFill patternType="solid">
        <fgColor rgb="FF5BE3F5"/>
        <bgColor rgb="FF000000"/>
      </patternFill>
    </fill>
    <fill>
      <patternFill patternType="solid">
        <fgColor rgb="FF0070C0"/>
        <bgColor rgb="FF000000"/>
      </patternFill>
    </fill>
    <fill>
      <patternFill patternType="solid">
        <fgColor rgb="FFFF0000"/>
        <bgColor rgb="FF000000"/>
      </patternFill>
    </fill>
    <fill>
      <gradientFill degree="270">
        <stop position="0">
          <color rgb="FF9B4CBA"/>
        </stop>
        <stop position="1">
          <color rgb="FF532963"/>
        </stop>
      </gradientFill>
    </fill>
    <fill>
      <patternFill patternType="solid">
        <fgColor theme="4"/>
      </patternFill>
    </fill>
    <fill>
      <patternFill patternType="solid">
        <fgColor rgb="FF9B4CBA"/>
        <bgColor rgb="FFBFBFBF"/>
      </patternFill>
    </fill>
    <fill>
      <patternFill patternType="solid">
        <fgColor rgb="FF9B4CBA"/>
        <bgColor rgb="FF000000"/>
      </patternFill>
    </fill>
    <fill>
      <patternFill patternType="solid">
        <fgColor theme="7" tint="0.39997558519241921"/>
        <bgColor rgb="FF000000"/>
      </patternFill>
    </fill>
    <fill>
      <patternFill patternType="solid">
        <fgColor theme="7" tint="0.39997558519241921"/>
        <bgColor indexed="64"/>
      </patternFill>
    </fill>
    <fill>
      <patternFill patternType="solid">
        <fgColor rgb="FFFFFF00"/>
        <bgColor rgb="FF000000"/>
      </patternFill>
    </fill>
    <fill>
      <patternFill patternType="solid">
        <fgColor rgb="FFC00000"/>
        <bgColor rgb="FF000000"/>
      </patternFill>
    </fill>
    <fill>
      <patternFill patternType="solid">
        <fgColor rgb="FF00B0F0"/>
        <bgColor rgb="FF000000"/>
      </patternFill>
    </fill>
    <fill>
      <patternFill patternType="solid">
        <fgColor rgb="FFA02B93"/>
        <bgColor rgb="FF000000"/>
      </patternFill>
    </fill>
    <fill>
      <patternFill patternType="solid">
        <fgColor rgb="FF94DCF8"/>
        <bgColor rgb="FF000000"/>
      </patternFill>
    </fill>
  </fills>
  <borders count="82">
    <border>
      <left/>
      <right/>
      <top/>
      <bottom/>
      <diagonal/>
    </border>
    <border>
      <left style="medium">
        <color rgb="FF5B9BD5"/>
      </left>
      <right style="medium">
        <color rgb="FF5B9BD5"/>
      </right>
      <top style="medium">
        <color rgb="FF5B9BD5"/>
      </top>
      <bottom style="medium">
        <color rgb="FF5B9BD5"/>
      </bottom>
      <diagonal/>
    </border>
    <border>
      <left/>
      <right/>
      <top style="thin">
        <color rgb="FF5B9BD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rgb="FF000000"/>
      </left>
      <right style="medium">
        <color indexed="64"/>
      </right>
      <top style="thin">
        <color indexed="64"/>
      </top>
      <bottom/>
      <diagonal/>
    </border>
    <border>
      <left style="medium">
        <color indexed="64"/>
      </left>
      <right style="thin">
        <color indexed="64"/>
      </right>
      <top/>
      <bottom style="medium">
        <color indexed="64"/>
      </bottom>
      <diagonal/>
    </border>
    <border>
      <left style="thin">
        <color rgb="FF000000"/>
      </left>
      <right style="medium">
        <color indexed="64"/>
      </right>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theme="4" tint="0.3999755851924192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18">
    <xf numFmtId="0" fontId="0" fillId="0" borderId="0"/>
    <xf numFmtId="9" fontId="18" fillId="0" borderId="0" applyFont="0" applyFill="0" applyBorder="0" applyAlignment="0" applyProtection="0"/>
    <xf numFmtId="0" fontId="17" fillId="0" borderId="0"/>
    <xf numFmtId="0" fontId="17" fillId="0" borderId="0"/>
    <xf numFmtId="0" fontId="6" fillId="0" borderId="0"/>
    <xf numFmtId="0" fontId="49" fillId="32" borderId="0" applyNumberFormat="0" applyBorder="0" applyProtection="0">
      <alignment horizontal="center" vertical="center"/>
    </xf>
    <xf numFmtId="49" fontId="50" fillId="0" borderId="0" applyFill="0" applyBorder="0" applyProtection="0">
      <alignment horizontal="left" vertical="center"/>
    </xf>
    <xf numFmtId="165" fontId="51" fillId="0" borderId="0" applyFont="0" applyFill="0" applyBorder="0" applyAlignment="0" applyProtection="0"/>
    <xf numFmtId="0" fontId="5" fillId="0" borderId="0"/>
    <xf numFmtId="9" fontId="17" fillId="0" borderId="0" applyFont="0" applyFill="0" applyBorder="0" applyAlignment="0" applyProtection="0"/>
    <xf numFmtId="0" fontId="4" fillId="0" borderId="0"/>
    <xf numFmtId="0" fontId="17" fillId="0" borderId="0"/>
    <xf numFmtId="44" fontId="93" fillId="0" borderId="0" applyFont="0" applyFill="0" applyBorder="0" applyAlignment="0" applyProtection="0"/>
    <xf numFmtId="42" fontId="93" fillId="0" borderId="0" applyFont="0" applyFill="0" applyBorder="0" applyAlignment="0" applyProtection="0"/>
    <xf numFmtId="42" fontId="2" fillId="0" borderId="0" applyFont="0" applyFill="0" applyBorder="0" applyAlignment="0" applyProtection="0"/>
    <xf numFmtId="0" fontId="96" fillId="48" borderId="0" applyNumberFormat="0" applyBorder="0" applyAlignment="0" applyProtection="0"/>
    <xf numFmtId="41" fontId="1" fillId="0" borderId="0" applyFont="0" applyFill="0" applyBorder="0" applyAlignment="0" applyProtection="0"/>
    <xf numFmtId="0" fontId="108" fillId="0" borderId="0" applyNumberFormat="0" applyFill="0" applyBorder="0" applyAlignment="0" applyProtection="0"/>
  </cellStyleXfs>
  <cellXfs count="1092">
    <xf numFmtId="0" fontId="0" fillId="0" borderId="0" xfId="0"/>
    <xf numFmtId="0" fontId="0" fillId="0" borderId="0" xfId="0" applyAlignment="1">
      <alignment vertical="center"/>
    </xf>
    <xf numFmtId="0" fontId="8" fillId="3" borderId="1" xfId="0" applyFont="1" applyFill="1" applyBorder="1" applyAlignment="1">
      <alignment horizontal="left" vertical="center" wrapText="1" readingOrder="1"/>
    </xf>
    <xf numFmtId="0" fontId="9" fillId="4" borderId="2" xfId="0" applyFont="1" applyFill="1" applyBorder="1" applyAlignment="1">
      <alignment vertical="center" wrapText="1"/>
    </xf>
    <xf numFmtId="0" fontId="9" fillId="0" borderId="0" xfId="0" applyFont="1" applyAlignment="1">
      <alignment vertical="center" wrapText="1"/>
    </xf>
    <xf numFmtId="0" fontId="9" fillId="4" borderId="0" xfId="0" applyFont="1" applyFill="1" applyAlignment="1">
      <alignment vertical="center" wrapText="1"/>
    </xf>
    <xf numFmtId="0" fontId="9" fillId="4" borderId="0" xfId="0" applyFont="1" applyFill="1" applyAlignment="1">
      <alignment horizontal="left" vertical="center" wrapText="1"/>
    </xf>
    <xf numFmtId="0" fontId="9" fillId="0" borderId="0" xfId="0" applyFont="1" applyAlignment="1">
      <alignment horizontal="left"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9" fontId="13" fillId="8" borderId="0" xfId="0" applyNumberFormat="1" applyFont="1" applyFill="1" applyAlignment="1">
      <alignment horizontal="center" vertical="center" wrapText="1"/>
    </xf>
    <xf numFmtId="9" fontId="13" fillId="9" borderId="0" xfId="0" applyNumberFormat="1" applyFont="1" applyFill="1" applyAlignment="1">
      <alignment horizontal="center" vertical="center" wrapText="1"/>
    </xf>
    <xf numFmtId="0" fontId="15" fillId="0" borderId="0" xfId="0" applyFont="1" applyAlignment="1">
      <alignment vertical="center"/>
    </xf>
    <xf numFmtId="0" fontId="17" fillId="0" borderId="0" xfId="0" applyFont="1" applyAlignment="1">
      <alignment vertical="center"/>
    </xf>
    <xf numFmtId="0" fontId="17" fillId="0" borderId="37" xfId="0" applyFont="1" applyBorder="1" applyAlignment="1">
      <alignment vertical="center"/>
    </xf>
    <xf numFmtId="0" fontId="17" fillId="0" borderId="37" xfId="0" applyFont="1" applyBorder="1" applyAlignment="1">
      <alignment horizontal="justify" vertical="center"/>
    </xf>
    <xf numFmtId="9" fontId="17" fillId="0" borderId="37" xfId="0" applyNumberFormat="1" applyFont="1" applyBorder="1" applyAlignment="1">
      <alignment vertical="center"/>
    </xf>
    <xf numFmtId="9" fontId="17" fillId="0" borderId="37" xfId="0" applyNumberFormat="1" applyFont="1" applyBorder="1" applyAlignment="1">
      <alignment horizontal="center" vertical="center"/>
    </xf>
    <xf numFmtId="0" fontId="17" fillId="0" borderId="41" xfId="0" applyFont="1" applyBorder="1" applyAlignment="1">
      <alignment horizontal="justify" vertical="center"/>
    </xf>
    <xf numFmtId="0" fontId="17" fillId="0" borderId="40" xfId="0" applyFont="1" applyBorder="1" applyAlignment="1">
      <alignment vertical="center"/>
    </xf>
    <xf numFmtId="0" fontId="17" fillId="0" borderId="40" xfId="0" applyFont="1" applyBorder="1" applyAlignment="1">
      <alignment horizontal="justify" vertical="center"/>
    </xf>
    <xf numFmtId="9" fontId="21" fillId="0" borderId="0" xfId="0" applyNumberFormat="1" applyFont="1" applyAlignment="1">
      <alignment horizontal="center" vertical="center"/>
    </xf>
    <xf numFmtId="0" fontId="17" fillId="0" borderId="39" xfId="0" applyFont="1" applyBorder="1" applyAlignment="1">
      <alignment horizontal="justify" vertical="center"/>
    </xf>
    <xf numFmtId="9" fontId="17" fillId="0" borderId="43" xfId="0" applyNumberFormat="1" applyFont="1" applyBorder="1" applyAlignment="1">
      <alignment horizontal="center" vertical="center"/>
    </xf>
    <xf numFmtId="0" fontId="19" fillId="0" borderId="0" xfId="2" applyFont="1" applyAlignment="1">
      <alignment vertical="center"/>
    </xf>
    <xf numFmtId="164" fontId="16" fillId="0" borderId="0" xfId="1" applyNumberFormat="1" applyFont="1" applyBorder="1" applyAlignment="1">
      <alignment horizontal="center" vertical="center"/>
    </xf>
    <xf numFmtId="164" fontId="22" fillId="0" borderId="37" xfId="0" applyNumberFormat="1" applyFont="1" applyBorder="1" applyAlignment="1">
      <alignment horizontal="center" vertical="center" wrapText="1"/>
    </xf>
    <xf numFmtId="164" fontId="17" fillId="0" borderId="37" xfId="1" applyNumberFormat="1" applyFont="1" applyFill="1" applyBorder="1" applyAlignment="1">
      <alignment horizontal="center" vertical="center"/>
    </xf>
    <xf numFmtId="164" fontId="22" fillId="0" borderId="40" xfId="0" applyNumberFormat="1" applyFont="1" applyBorder="1" applyAlignment="1">
      <alignment horizontal="center" vertical="center" wrapText="1"/>
    </xf>
    <xf numFmtId="164" fontId="17" fillId="0" borderId="40" xfId="1" applyNumberFormat="1" applyFont="1" applyFill="1" applyBorder="1" applyAlignment="1">
      <alignment horizontal="center" vertical="center"/>
    </xf>
    <xf numFmtId="164" fontId="16" fillId="0" borderId="37" xfId="1" applyNumberFormat="1" applyFont="1" applyBorder="1" applyAlignment="1">
      <alignment horizontal="center" vertical="center"/>
    </xf>
    <xf numFmtId="164" fontId="23" fillId="5" borderId="22" xfId="0" applyNumberFormat="1" applyFont="1" applyFill="1" applyBorder="1" applyAlignment="1">
      <alignment horizontal="center" vertical="center" wrapText="1"/>
    </xf>
    <xf numFmtId="9" fontId="0" fillId="0" borderId="0" xfId="0" applyNumberFormat="1" applyAlignment="1">
      <alignment vertical="center"/>
    </xf>
    <xf numFmtId="164" fontId="17" fillId="0" borderId="39" xfId="1" applyNumberFormat="1" applyFont="1" applyBorder="1" applyAlignment="1">
      <alignment horizontal="center" vertical="center"/>
    </xf>
    <xf numFmtId="164" fontId="17" fillId="0" borderId="37" xfId="1" applyNumberFormat="1" applyFont="1" applyBorder="1" applyAlignment="1">
      <alignment horizontal="center" vertical="center"/>
    </xf>
    <xf numFmtId="164" fontId="17" fillId="0" borderId="40" xfId="1" applyNumberFormat="1" applyFont="1" applyBorder="1" applyAlignment="1">
      <alignment horizontal="center" vertical="center"/>
    </xf>
    <xf numFmtId="164" fontId="17" fillId="0" borderId="15" xfId="1" applyNumberFormat="1" applyFont="1" applyBorder="1" applyAlignment="1">
      <alignment horizontal="center" vertical="center"/>
    </xf>
    <xf numFmtId="164" fontId="17" fillId="0" borderId="29" xfId="1" applyNumberFormat="1" applyFont="1" applyBorder="1" applyAlignment="1">
      <alignment horizontal="center" vertical="center"/>
    </xf>
    <xf numFmtId="164" fontId="17" fillId="0" borderId="45" xfId="1" applyNumberFormat="1" applyFont="1" applyBorder="1" applyAlignment="1">
      <alignment horizontal="center" vertical="center"/>
    </xf>
    <xf numFmtId="164" fontId="17" fillId="0" borderId="29" xfId="1" applyNumberFormat="1" applyFont="1" applyFill="1" applyBorder="1" applyAlignment="1">
      <alignment horizontal="center" vertical="center"/>
    </xf>
    <xf numFmtId="164" fontId="17" fillId="0" borderId="45" xfId="1" applyNumberFormat="1" applyFont="1" applyFill="1" applyBorder="1" applyAlignment="1">
      <alignment horizontal="center" vertical="center"/>
    </xf>
    <xf numFmtId="164" fontId="17" fillId="0" borderId="41" xfId="1" applyNumberFormat="1" applyFont="1" applyFill="1" applyBorder="1" applyAlignment="1">
      <alignment horizontal="center" vertical="center"/>
    </xf>
    <xf numFmtId="9" fontId="11" fillId="7" borderId="3" xfId="0" applyNumberFormat="1" applyFont="1" applyFill="1" applyBorder="1" applyAlignment="1">
      <alignment horizontal="center" vertical="center" wrapText="1"/>
    </xf>
    <xf numFmtId="9" fontId="26" fillId="0" borderId="3" xfId="0" applyNumberFormat="1" applyFont="1" applyBorder="1" applyAlignment="1">
      <alignment horizontal="center" vertical="center"/>
    </xf>
    <xf numFmtId="9" fontId="26" fillId="0" borderId="3" xfId="0" applyNumberFormat="1" applyFont="1" applyBorder="1" applyAlignment="1">
      <alignment horizontal="center" vertical="center" wrapText="1"/>
    </xf>
    <xf numFmtId="9" fontId="11" fillId="0" borderId="3" xfId="0" applyNumberFormat="1" applyFont="1" applyBorder="1" applyAlignment="1">
      <alignment horizontal="center" vertical="center" wrapText="1"/>
    </xf>
    <xf numFmtId="164" fontId="27" fillId="0" borderId="37" xfId="1" applyNumberFormat="1" applyFont="1" applyBorder="1" applyAlignment="1">
      <alignment horizontal="center" vertical="center"/>
    </xf>
    <xf numFmtId="164" fontId="28" fillId="5" borderId="37" xfId="0" applyNumberFormat="1" applyFont="1" applyFill="1" applyBorder="1" applyAlignment="1">
      <alignment horizontal="center" vertical="center" wrapText="1"/>
    </xf>
    <xf numFmtId="164" fontId="27" fillId="0" borderId="29" xfId="1" applyNumberFormat="1" applyFont="1" applyBorder="1" applyAlignment="1">
      <alignment horizontal="center" vertical="center"/>
    </xf>
    <xf numFmtId="164" fontId="28" fillId="5" borderId="29" xfId="0" applyNumberFormat="1" applyFont="1" applyFill="1" applyBorder="1" applyAlignment="1">
      <alignment horizontal="center" vertical="center" wrapText="1"/>
    </xf>
    <xf numFmtId="0" fontId="27" fillId="0" borderId="37" xfId="0" applyFont="1" applyBorder="1" applyAlignment="1">
      <alignment horizontal="center" vertical="center"/>
    </xf>
    <xf numFmtId="0" fontId="27" fillId="0" borderId="29" xfId="0" applyFont="1" applyBorder="1" applyAlignment="1">
      <alignment horizontal="center" vertical="center"/>
    </xf>
    <xf numFmtId="164" fontId="30" fillId="11" borderId="3" xfId="0" applyNumberFormat="1" applyFont="1" applyFill="1" applyBorder="1" applyAlignment="1">
      <alignment horizontal="center" vertical="center" wrapText="1"/>
    </xf>
    <xf numFmtId="164" fontId="29" fillId="0" borderId="3" xfId="0" applyNumberFormat="1" applyFont="1" applyBorder="1" applyAlignment="1">
      <alignment horizontal="center" vertical="center" wrapText="1"/>
    </xf>
    <xf numFmtId="164" fontId="17" fillId="0" borderId="39" xfId="0" applyNumberFormat="1" applyFont="1" applyBorder="1" applyAlignment="1">
      <alignment horizontal="center" vertical="center"/>
    </xf>
    <xf numFmtId="0" fontId="35" fillId="15" borderId="4" xfId="0" applyFont="1" applyFill="1" applyBorder="1" applyAlignment="1">
      <alignment horizontal="center" vertical="center" wrapText="1"/>
    </xf>
    <xf numFmtId="0" fontId="13" fillId="0" borderId="0" xfId="0" applyFont="1" applyAlignment="1">
      <alignment vertical="center" wrapText="1"/>
    </xf>
    <xf numFmtId="0" fontId="38" fillId="14" borderId="37" xfId="0" applyFont="1" applyFill="1" applyBorder="1" applyAlignment="1">
      <alignment horizontal="left" vertical="center"/>
    </xf>
    <xf numFmtId="0" fontId="38" fillId="14" borderId="0" xfId="0" applyFont="1" applyFill="1" applyAlignment="1">
      <alignment horizontal="left" vertical="center"/>
    </xf>
    <xf numFmtId="0" fontId="0" fillId="0" borderId="3" xfId="0" applyBorder="1" applyAlignment="1">
      <alignment vertical="center"/>
    </xf>
    <xf numFmtId="0" fontId="26" fillId="2" borderId="3" xfId="0" applyFont="1" applyFill="1" applyBorder="1" applyAlignment="1">
      <alignment horizontal="center" vertical="center" wrapText="1"/>
    </xf>
    <xf numFmtId="164" fontId="17" fillId="0" borderId="0" xfId="1" applyNumberFormat="1" applyFont="1" applyBorder="1" applyAlignment="1">
      <alignment horizontal="center" vertical="center"/>
    </xf>
    <xf numFmtId="164" fontId="17" fillId="0" borderId="0" xfId="1" applyNumberFormat="1" applyFont="1" applyFill="1" applyBorder="1" applyAlignment="1">
      <alignment horizontal="center" vertical="center"/>
    </xf>
    <xf numFmtId="164" fontId="27" fillId="0" borderId="0" xfId="1" applyNumberFormat="1" applyFont="1" applyBorder="1" applyAlignment="1">
      <alignment horizontal="center" vertical="center"/>
    </xf>
    <xf numFmtId="164" fontId="28" fillId="5" borderId="0" xfId="0" applyNumberFormat="1" applyFont="1" applyFill="1" applyAlignment="1">
      <alignment horizontal="center" vertical="center" wrapText="1"/>
    </xf>
    <xf numFmtId="0" fontId="27" fillId="0" borderId="0" xfId="0" applyFont="1" applyAlignment="1">
      <alignment horizontal="center" vertical="center"/>
    </xf>
    <xf numFmtId="164" fontId="39" fillId="5" borderId="24" xfId="0" applyNumberFormat="1" applyFont="1" applyFill="1" applyBorder="1" applyAlignment="1">
      <alignment vertical="center" wrapText="1"/>
    </xf>
    <xf numFmtId="0" fontId="36" fillId="27" borderId="3" xfId="0" applyFont="1" applyFill="1" applyBorder="1" applyAlignment="1">
      <alignment horizontal="center" vertical="center" wrapText="1"/>
    </xf>
    <xf numFmtId="0" fontId="6" fillId="0" borderId="0" xfId="4"/>
    <xf numFmtId="0" fontId="20" fillId="0" borderId="40" xfId="0" applyFont="1" applyBorder="1" applyAlignment="1">
      <alignment vertical="center" wrapText="1"/>
    </xf>
    <xf numFmtId="0" fontId="35" fillId="0" borderId="27" xfId="4" applyFont="1" applyBorder="1"/>
    <xf numFmtId="0" fontId="35" fillId="0" borderId="38" xfId="4" applyFont="1" applyBorder="1"/>
    <xf numFmtId="0" fontId="35" fillId="0" borderId="49" xfId="4" applyFont="1" applyBorder="1"/>
    <xf numFmtId="0" fontId="35" fillId="0" borderId="0" xfId="4" applyFont="1"/>
    <xf numFmtId="0" fontId="46" fillId="0" borderId="0" xfId="4" applyFont="1" applyAlignment="1">
      <alignment vertical="center" wrapText="1"/>
    </xf>
    <xf numFmtId="0" fontId="35" fillId="0" borderId="29" xfId="4" applyFont="1" applyBorder="1"/>
    <xf numFmtId="0" fontId="35" fillId="0" borderId="37" xfId="4" applyFont="1" applyBorder="1"/>
    <xf numFmtId="0" fontId="35" fillId="0" borderId="0" xfId="4" applyFont="1" applyAlignment="1">
      <alignment vertical="center" wrapText="1"/>
    </xf>
    <xf numFmtId="0" fontId="47" fillId="15" borderId="38" xfId="4" applyFont="1" applyFill="1" applyBorder="1" applyAlignment="1">
      <alignment vertical="center" wrapText="1"/>
    </xf>
    <xf numFmtId="0" fontId="47" fillId="15" borderId="0" xfId="4" applyFont="1" applyFill="1" applyAlignment="1">
      <alignment vertical="center" wrapText="1"/>
    </xf>
    <xf numFmtId="0" fontId="35" fillId="15" borderId="0" xfId="4" applyFont="1" applyFill="1"/>
    <xf numFmtId="0" fontId="52" fillId="25" borderId="0" xfId="4" applyFont="1" applyFill="1" applyAlignment="1">
      <alignment horizontal="center"/>
    </xf>
    <xf numFmtId="0" fontId="53" fillId="0" borderId="0" xfId="4" applyFont="1"/>
    <xf numFmtId="0" fontId="56" fillId="12" borderId="3" xfId="4" applyFont="1" applyFill="1" applyBorder="1" applyAlignment="1">
      <alignment horizontal="center" vertical="center" wrapText="1"/>
    </xf>
    <xf numFmtId="0" fontId="57" fillId="0" borderId="3" xfId="4" applyFont="1" applyBorder="1" applyAlignment="1">
      <alignment horizontal="center" vertical="center" wrapText="1"/>
    </xf>
    <xf numFmtId="0" fontId="42" fillId="24" borderId="3" xfId="0" applyFont="1" applyFill="1" applyBorder="1" applyAlignment="1">
      <alignment vertical="center"/>
    </xf>
    <xf numFmtId="0" fontId="42" fillId="24" borderId="14" xfId="0" applyFont="1" applyFill="1" applyBorder="1" applyAlignment="1">
      <alignment vertical="center"/>
    </xf>
    <xf numFmtId="9" fontId="0" fillId="0" borderId="3" xfId="0" applyNumberFormat="1" applyBorder="1" applyAlignment="1">
      <alignment vertical="center"/>
    </xf>
    <xf numFmtId="0" fontId="35" fillId="0" borderId="46" xfId="4" applyFont="1" applyBorder="1"/>
    <xf numFmtId="164" fontId="11" fillId="7" borderId="3" xfId="0" applyNumberFormat="1" applyFont="1" applyFill="1" applyBorder="1" applyAlignment="1">
      <alignment horizontal="center" vertical="center" wrapText="1"/>
    </xf>
    <xf numFmtId="9" fontId="26" fillId="25" borderId="3" xfId="0" applyNumberFormat="1" applyFont="1" applyFill="1" applyBorder="1" applyAlignment="1">
      <alignment horizontal="center" vertical="center"/>
    </xf>
    <xf numFmtId="9" fontId="0" fillId="0" borderId="3" xfId="0" applyNumberFormat="1" applyBorder="1" applyAlignment="1">
      <alignment horizontal="center" vertical="center"/>
    </xf>
    <xf numFmtId="9" fontId="6" fillId="0" borderId="0" xfId="4" applyNumberFormat="1"/>
    <xf numFmtId="9" fontId="6" fillId="0" borderId="0" xfId="4" applyNumberFormat="1" applyAlignment="1">
      <alignment horizontal="right"/>
    </xf>
    <xf numFmtId="0" fontId="60" fillId="0" borderId="18" xfId="4" applyFont="1" applyBorder="1" applyAlignment="1">
      <alignment horizontal="center" vertical="center"/>
    </xf>
    <xf numFmtId="0" fontId="60" fillId="29" borderId="18" xfId="4" applyFont="1" applyFill="1" applyBorder="1" applyAlignment="1">
      <alignment horizontal="center" vertical="center"/>
    </xf>
    <xf numFmtId="9" fontId="60" fillId="30" borderId="3" xfId="4" applyNumberFormat="1" applyFont="1" applyFill="1" applyBorder="1" applyAlignment="1">
      <alignment horizontal="center" vertical="center"/>
    </xf>
    <xf numFmtId="9" fontId="60" fillId="30" borderId="15" xfId="4" applyNumberFormat="1" applyFont="1" applyFill="1" applyBorder="1" applyAlignment="1">
      <alignment horizontal="center" vertical="center"/>
    </xf>
    <xf numFmtId="0" fontId="60" fillId="30" borderId="3" xfId="4" applyFont="1" applyFill="1" applyBorder="1" applyAlignment="1">
      <alignment horizontal="center" vertical="center"/>
    </xf>
    <xf numFmtId="0" fontId="60" fillId="30" borderId="15" xfId="4" applyFont="1" applyFill="1" applyBorder="1" applyAlignment="1">
      <alignment horizontal="center" vertical="center"/>
    </xf>
    <xf numFmtId="0" fontId="60" fillId="0" borderId="58" xfId="4" applyFont="1" applyBorder="1" applyAlignment="1">
      <alignment horizontal="center" vertical="center"/>
    </xf>
    <xf numFmtId="0" fontId="60" fillId="0" borderId="3" xfId="4" applyFont="1" applyBorder="1" applyAlignment="1">
      <alignment horizontal="center" vertical="center"/>
    </xf>
    <xf numFmtId="0" fontId="60" fillId="29" borderId="59" xfId="4" applyFont="1" applyFill="1" applyBorder="1" applyAlignment="1">
      <alignment horizontal="center" vertical="center"/>
    </xf>
    <xf numFmtId="9" fontId="60" fillId="29" borderId="6" xfId="4" applyNumberFormat="1" applyFont="1" applyFill="1" applyBorder="1" applyAlignment="1">
      <alignment horizontal="center" vertical="center"/>
    </xf>
    <xf numFmtId="9" fontId="60" fillId="29" borderId="16" xfId="4" applyNumberFormat="1" applyFont="1" applyFill="1" applyBorder="1" applyAlignment="1">
      <alignment horizontal="center" vertical="center"/>
    </xf>
    <xf numFmtId="0" fontId="60" fillId="0" borderId="5" xfId="4" applyFont="1" applyBorder="1" applyAlignment="1">
      <alignment horizontal="center" vertical="center"/>
    </xf>
    <xf numFmtId="9" fontId="60" fillId="0" borderId="71" xfId="4" applyNumberFormat="1" applyFont="1" applyBorder="1" applyAlignment="1">
      <alignment horizontal="center" vertical="center"/>
    </xf>
    <xf numFmtId="9" fontId="60" fillId="15" borderId="5" xfId="4" applyNumberFormat="1" applyFont="1" applyFill="1" applyBorder="1" applyAlignment="1">
      <alignment horizontal="center" vertical="center"/>
    </xf>
    <xf numFmtId="9" fontId="60" fillId="15" borderId="74" xfId="4" applyNumberFormat="1" applyFont="1" applyFill="1" applyBorder="1" applyAlignment="1">
      <alignment horizontal="center" vertical="center"/>
    </xf>
    <xf numFmtId="0" fontId="60" fillId="29" borderId="3" xfId="4" applyFont="1" applyFill="1" applyBorder="1" applyAlignment="1">
      <alignment horizontal="center" vertical="center"/>
    </xf>
    <xf numFmtId="9" fontId="60" fillId="30" borderId="14" xfId="4" applyNumberFormat="1" applyFont="1" applyFill="1" applyBorder="1" applyAlignment="1">
      <alignment horizontal="center" vertical="center"/>
    </xf>
    <xf numFmtId="9" fontId="60" fillId="0" borderId="26" xfId="4" applyNumberFormat="1" applyFont="1" applyBorder="1" applyAlignment="1">
      <alignment horizontal="center" vertical="center"/>
    </xf>
    <xf numFmtId="0" fontId="60" fillId="30" borderId="14" xfId="4" applyFont="1" applyFill="1" applyBorder="1" applyAlignment="1">
      <alignment horizontal="center" vertical="center"/>
    </xf>
    <xf numFmtId="9" fontId="60" fillId="15" borderId="3" xfId="4" applyNumberFormat="1" applyFont="1" applyFill="1" applyBorder="1" applyAlignment="1">
      <alignment horizontal="center" vertical="center"/>
    </xf>
    <xf numFmtId="9" fontId="60" fillId="0" borderId="15" xfId="4" applyNumberFormat="1" applyFont="1" applyBorder="1" applyAlignment="1">
      <alignment horizontal="center" vertical="center"/>
    </xf>
    <xf numFmtId="0" fontId="60" fillId="29" borderId="4" xfId="4" applyFont="1" applyFill="1" applyBorder="1" applyAlignment="1">
      <alignment horizontal="center" vertical="center"/>
    </xf>
    <xf numFmtId="0" fontId="60" fillId="30" borderId="72" xfId="4" applyFont="1" applyFill="1" applyBorder="1" applyAlignment="1">
      <alignment horizontal="center" vertical="center"/>
    </xf>
    <xf numFmtId="0" fontId="60" fillId="30" borderId="6" xfId="4" applyFont="1" applyFill="1" applyBorder="1" applyAlignment="1">
      <alignment horizontal="center" vertical="center"/>
    </xf>
    <xf numFmtId="9" fontId="60" fillId="30" borderId="16" xfId="4" applyNumberFormat="1" applyFont="1" applyFill="1" applyBorder="1" applyAlignment="1">
      <alignment horizontal="center" vertical="center"/>
    </xf>
    <xf numFmtId="9" fontId="60" fillId="0" borderId="44" xfId="4" applyNumberFormat="1" applyFont="1" applyBorder="1" applyAlignment="1">
      <alignment horizontal="center" vertical="center"/>
    </xf>
    <xf numFmtId="0" fontId="60" fillId="0" borderId="14" xfId="4" applyFont="1" applyBorder="1" applyAlignment="1">
      <alignment horizontal="center" vertical="center"/>
    </xf>
    <xf numFmtId="9" fontId="60" fillId="25" borderId="26" xfId="4" applyNumberFormat="1" applyFont="1" applyFill="1" applyBorder="1" applyAlignment="1">
      <alignment horizontal="center" vertical="center"/>
    </xf>
    <xf numFmtId="0" fontId="60" fillId="29" borderId="14" xfId="4" applyFont="1" applyFill="1" applyBorder="1" applyAlignment="1">
      <alignment horizontal="center" vertical="center"/>
    </xf>
    <xf numFmtId="9" fontId="60" fillId="30" borderId="26" xfId="4" applyNumberFormat="1" applyFont="1" applyFill="1" applyBorder="1" applyAlignment="1">
      <alignment horizontal="center" vertical="center"/>
    </xf>
    <xf numFmtId="9" fontId="60" fillId="30" borderId="4" xfId="4" applyNumberFormat="1" applyFont="1" applyFill="1" applyBorder="1" applyAlignment="1">
      <alignment horizontal="center" vertical="center"/>
    </xf>
    <xf numFmtId="9" fontId="60" fillId="30" borderId="27" xfId="4" applyNumberFormat="1" applyFont="1" applyFill="1" applyBorder="1" applyAlignment="1">
      <alignment horizontal="center" vertical="center"/>
    </xf>
    <xf numFmtId="9" fontId="61" fillId="15" borderId="30" xfId="4" applyNumberFormat="1" applyFont="1" applyFill="1" applyBorder="1" applyAlignment="1">
      <alignment horizontal="center" vertical="center"/>
    </xf>
    <xf numFmtId="9" fontId="61" fillId="30" borderId="9" xfId="4" applyNumberFormat="1" applyFont="1" applyFill="1" applyBorder="1" applyAlignment="1">
      <alignment horizontal="center" vertical="center"/>
    </xf>
    <xf numFmtId="9" fontId="61" fillId="15" borderId="9" xfId="4" applyNumberFormat="1" applyFont="1" applyFill="1" applyBorder="1" applyAlignment="1">
      <alignment horizontal="center" vertical="center"/>
    </xf>
    <xf numFmtId="9" fontId="61" fillId="29" borderId="11" xfId="4" applyNumberFormat="1" applyFont="1" applyFill="1" applyBorder="1" applyAlignment="1">
      <alignment horizontal="center" vertical="center"/>
    </xf>
    <xf numFmtId="0" fontId="62" fillId="0" borderId="0" xfId="4" applyFont="1"/>
    <xf numFmtId="0" fontId="62" fillId="0" borderId="0" xfId="4" applyFont="1" applyAlignment="1">
      <alignment horizontal="center" vertical="center"/>
    </xf>
    <xf numFmtId="0" fontId="62" fillId="0" borderId="0" xfId="4" applyFont="1" applyAlignment="1">
      <alignment wrapText="1"/>
    </xf>
    <xf numFmtId="0" fontId="70" fillId="0" borderId="0" xfId="4" applyFont="1" applyAlignment="1">
      <alignment horizontal="center" vertical="center"/>
    </xf>
    <xf numFmtId="0" fontId="23" fillId="0" borderId="0" xfId="4" applyFont="1"/>
    <xf numFmtId="164" fontId="63" fillId="0" borderId="33" xfId="4" applyNumberFormat="1" applyFont="1" applyBorder="1" applyAlignment="1">
      <alignment horizontal="center" vertical="center" wrapText="1"/>
    </xf>
    <xf numFmtId="164" fontId="71" fillId="36" borderId="22" xfId="4" applyNumberFormat="1" applyFont="1" applyFill="1" applyBorder="1" applyAlignment="1">
      <alignment horizontal="center" vertical="center" wrapText="1"/>
    </xf>
    <xf numFmtId="0" fontId="71" fillId="0" borderId="0" xfId="4" applyFont="1" applyAlignment="1">
      <alignment horizontal="center" vertical="center"/>
    </xf>
    <xf numFmtId="0" fontId="72" fillId="14" borderId="23" xfId="4" applyFont="1" applyFill="1" applyBorder="1" applyAlignment="1">
      <alignment horizontal="center" vertical="center" wrapText="1"/>
    </xf>
    <xf numFmtId="0" fontId="72" fillId="14" borderId="25" xfId="4" applyFont="1" applyFill="1" applyBorder="1" applyAlignment="1">
      <alignment horizontal="center" vertical="center" wrapText="1"/>
    </xf>
    <xf numFmtId="0" fontId="72" fillId="14" borderId="32" xfId="4" applyFont="1" applyFill="1" applyBorder="1" applyAlignment="1">
      <alignment horizontal="center" vertical="center" wrapText="1"/>
    </xf>
    <xf numFmtId="0" fontId="72" fillId="14" borderId="33" xfId="4" applyFont="1" applyFill="1" applyBorder="1" applyAlignment="1">
      <alignment horizontal="center" vertical="center" wrapText="1"/>
    </xf>
    <xf numFmtId="9" fontId="39" fillId="28" borderId="0" xfId="0" applyNumberFormat="1" applyFont="1" applyFill="1" applyAlignment="1">
      <alignment vertical="center" wrapText="1"/>
    </xf>
    <xf numFmtId="164" fontId="69" fillId="35" borderId="32" xfId="4" applyNumberFormat="1" applyFont="1" applyFill="1" applyBorder="1" applyAlignment="1">
      <alignment horizontal="center" vertical="center" wrapText="1"/>
    </xf>
    <xf numFmtId="164" fontId="69" fillId="35" borderId="67" xfId="4" applyNumberFormat="1" applyFont="1" applyFill="1" applyBorder="1" applyAlignment="1">
      <alignment horizontal="center" vertical="center" wrapText="1"/>
    </xf>
    <xf numFmtId="9" fontId="75" fillId="0" borderId="3" xfId="0" applyNumberFormat="1" applyFont="1" applyBorder="1" applyAlignment="1">
      <alignment horizontal="center" vertical="center" wrapText="1"/>
    </xf>
    <xf numFmtId="9" fontId="60" fillId="15" borderId="4" xfId="4" applyNumberFormat="1" applyFont="1" applyFill="1" applyBorder="1" applyAlignment="1">
      <alignment horizontal="center" vertical="center"/>
    </xf>
    <xf numFmtId="164" fontId="11" fillId="0" borderId="3" xfId="0" applyNumberFormat="1" applyFont="1" applyBorder="1" applyAlignment="1">
      <alignment horizontal="center" vertical="center" wrapText="1"/>
    </xf>
    <xf numFmtId="164" fontId="26" fillId="25" borderId="3" xfId="0" applyNumberFormat="1" applyFont="1" applyFill="1" applyBorder="1" applyAlignment="1">
      <alignment horizontal="center" vertical="center"/>
    </xf>
    <xf numFmtId="164" fontId="26" fillId="0" borderId="3" xfId="0" applyNumberFormat="1" applyFont="1" applyBorder="1" applyAlignment="1">
      <alignment horizontal="center" vertical="center" wrapText="1"/>
    </xf>
    <xf numFmtId="164" fontId="26" fillId="0" borderId="3" xfId="0" applyNumberFormat="1" applyFont="1" applyBorder="1" applyAlignment="1">
      <alignment horizontal="center" vertical="center"/>
    </xf>
    <xf numFmtId="164" fontId="39" fillId="5" borderId="3" xfId="0" applyNumberFormat="1" applyFont="1" applyFill="1" applyBorder="1" applyAlignment="1">
      <alignment vertical="center" wrapText="1"/>
    </xf>
    <xf numFmtId="9" fontId="60" fillId="15" borderId="18" xfId="1" applyFont="1" applyFill="1" applyBorder="1" applyAlignment="1">
      <alignment horizontal="center" vertical="center"/>
    </xf>
    <xf numFmtId="9" fontId="60" fillId="25" borderId="3" xfId="4" applyNumberFormat="1" applyFont="1" applyFill="1" applyBorder="1" applyAlignment="1">
      <alignment horizontal="center" vertical="center"/>
    </xf>
    <xf numFmtId="9" fontId="60" fillId="15" borderId="18" xfId="4" applyNumberFormat="1" applyFont="1" applyFill="1" applyBorder="1" applyAlignment="1">
      <alignment horizontal="center" vertical="center"/>
    </xf>
    <xf numFmtId="9" fontId="60" fillId="23" borderId="24" xfId="4" applyNumberFormat="1" applyFont="1" applyFill="1" applyBorder="1" applyAlignment="1">
      <alignment horizontal="center" vertical="center"/>
    </xf>
    <xf numFmtId="9" fontId="60" fillId="25" borderId="4" xfId="4" applyNumberFormat="1" applyFont="1" applyFill="1" applyBorder="1" applyAlignment="1">
      <alignment horizontal="center" vertical="center"/>
    </xf>
    <xf numFmtId="9" fontId="47" fillId="25" borderId="4" xfId="4" applyNumberFormat="1" applyFont="1" applyFill="1" applyBorder="1" applyAlignment="1">
      <alignment horizontal="center" vertical="center"/>
    </xf>
    <xf numFmtId="9" fontId="60" fillId="23" borderId="3" xfId="4" applyNumberFormat="1" applyFont="1" applyFill="1" applyBorder="1" applyAlignment="1">
      <alignment horizontal="center" vertical="center"/>
    </xf>
    <xf numFmtId="0" fontId="62" fillId="0" borderId="0" xfId="4" applyFont="1" applyAlignment="1">
      <alignment horizontal="right" vertical="center" wrapText="1" indent="1"/>
    </xf>
    <xf numFmtId="0" fontId="62" fillId="0" borderId="0" xfId="4" applyFont="1" applyAlignment="1">
      <alignment horizontal="right" vertical="center" indent="1"/>
    </xf>
    <xf numFmtId="9" fontId="60" fillId="0" borderId="27" xfId="4" applyNumberFormat="1" applyFont="1" applyBorder="1" applyAlignment="1">
      <alignment horizontal="center" vertical="center"/>
    </xf>
    <xf numFmtId="9" fontId="60" fillId="0" borderId="48" xfId="4" applyNumberFormat="1" applyFont="1" applyBorder="1" applyAlignment="1">
      <alignment horizontal="center" vertical="center"/>
    </xf>
    <xf numFmtId="9" fontId="26" fillId="0" borderId="15" xfId="0" applyNumberFormat="1" applyFont="1" applyBorder="1" applyAlignment="1">
      <alignment horizontal="center" vertical="center" wrapText="1"/>
    </xf>
    <xf numFmtId="9" fontId="11" fillId="7" borderId="15" xfId="0" applyNumberFormat="1" applyFont="1" applyFill="1" applyBorder="1" applyAlignment="1">
      <alignment horizontal="center" vertical="center" wrapText="1"/>
    </xf>
    <xf numFmtId="9" fontId="11" fillId="0" borderId="15" xfId="0" applyNumberFormat="1" applyFont="1" applyBorder="1" applyAlignment="1">
      <alignment horizontal="center" vertical="center" wrapText="1"/>
    </xf>
    <xf numFmtId="9" fontId="60" fillId="0" borderId="29" xfId="4" applyNumberFormat="1" applyFont="1" applyBorder="1" applyAlignment="1">
      <alignment horizontal="center" vertical="center"/>
    </xf>
    <xf numFmtId="9" fontId="26" fillId="25" borderId="3" xfId="0" applyNumberFormat="1" applyFont="1" applyFill="1" applyBorder="1" applyAlignment="1">
      <alignment horizontal="center" vertical="center" wrapText="1"/>
    </xf>
    <xf numFmtId="164" fontId="26" fillId="0" borderId="3" xfId="0" applyNumberFormat="1" applyFont="1" applyBorder="1" applyAlignment="1">
      <alignment horizontal="left" vertical="center" indent="1"/>
    </xf>
    <xf numFmtId="164" fontId="70" fillId="0" borderId="0" xfId="4" applyNumberFormat="1" applyFont="1" applyAlignment="1">
      <alignment horizontal="center" vertical="center"/>
    </xf>
    <xf numFmtId="0" fontId="79" fillId="0" borderId="0" xfId="0" applyFont="1"/>
    <xf numFmtId="0" fontId="0" fillId="0" borderId="0" xfId="0" applyAlignment="1">
      <alignment wrapText="1"/>
    </xf>
    <xf numFmtId="9" fontId="80" fillId="0" borderId="3" xfId="0" applyNumberFormat="1" applyFont="1" applyBorder="1" applyAlignment="1">
      <alignment horizontal="center" vertical="center" wrapText="1"/>
    </xf>
    <xf numFmtId="9" fontId="47" fillId="0" borderId="27" xfId="4" applyNumberFormat="1" applyFont="1" applyBorder="1" applyAlignment="1">
      <alignment horizontal="center" vertical="center"/>
    </xf>
    <xf numFmtId="164" fontId="26" fillId="37" borderId="3" xfId="0" applyNumberFormat="1" applyFont="1" applyFill="1" applyBorder="1" applyAlignment="1">
      <alignment horizontal="left" vertical="center" indent="1"/>
    </xf>
    <xf numFmtId="0" fontId="3" fillId="0" borderId="0" xfId="4" applyFont="1"/>
    <xf numFmtId="0" fontId="79" fillId="0" borderId="0" xfId="0" applyFont="1" applyAlignment="1">
      <alignment horizontal="center"/>
    </xf>
    <xf numFmtId="9" fontId="79" fillId="0" borderId="0" xfId="0" applyNumberFormat="1" applyFont="1"/>
    <xf numFmtId="9" fontId="79" fillId="0" borderId="0" xfId="1" applyFont="1" applyBorder="1"/>
    <xf numFmtId="0" fontId="17" fillId="0" borderId="37" xfId="0" applyFont="1" applyBorder="1" applyAlignment="1">
      <alignment horizontal="right" vertical="center"/>
    </xf>
    <xf numFmtId="0" fontId="35" fillId="15" borderId="3" xfId="0" applyFont="1" applyFill="1" applyBorder="1" applyAlignment="1">
      <alignment horizontal="center" vertical="center" wrapText="1"/>
    </xf>
    <xf numFmtId="0" fontId="40" fillId="0" borderId="0" xfId="0" applyFont="1" applyAlignment="1">
      <alignment horizontal="center" vertical="center" textRotation="45" wrapText="1"/>
    </xf>
    <xf numFmtId="9" fontId="43" fillId="25" borderId="4" xfId="1" applyFont="1" applyFill="1" applyBorder="1" applyAlignment="1">
      <alignment horizontal="left" vertical="center"/>
    </xf>
    <xf numFmtId="9" fontId="43" fillId="25" borderId="19" xfId="1" applyFont="1" applyFill="1" applyBorder="1" applyAlignment="1">
      <alignment horizontal="left" vertical="center"/>
    </xf>
    <xf numFmtId="0" fontId="0" fillId="0" borderId="50" xfId="0" applyBorder="1" applyAlignment="1">
      <alignment horizontal="center" vertical="center"/>
    </xf>
    <xf numFmtId="0" fontId="62" fillId="0" borderId="40" xfId="4"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35" fillId="0" borderId="3" xfId="0" applyFont="1" applyBorder="1" applyAlignment="1">
      <alignment horizontal="center" vertical="center" wrapText="1"/>
    </xf>
    <xf numFmtId="0" fontId="0" fillId="0" borderId="50" xfId="0" applyBorder="1" applyAlignment="1">
      <alignment horizontal="center" vertical="center" wrapText="1"/>
    </xf>
    <xf numFmtId="0" fontId="77" fillId="0" borderId="50" xfId="0" applyFont="1" applyBorder="1" applyAlignment="1">
      <alignment horizontal="center" vertical="center" wrapText="1"/>
    </xf>
    <xf numFmtId="164" fontId="64" fillId="34" borderId="60" xfId="4" applyNumberFormat="1" applyFont="1" applyFill="1" applyBorder="1" applyAlignment="1">
      <alignment horizontal="center" vertical="center"/>
    </xf>
    <xf numFmtId="0" fontId="35" fillId="15" borderId="39" xfId="4" applyFont="1" applyFill="1" applyBorder="1" applyAlignment="1">
      <alignment horizontal="left" vertical="center" wrapText="1"/>
    </xf>
    <xf numFmtId="164" fontId="60" fillId="0" borderId="10" xfId="4" applyNumberFormat="1" applyFont="1" applyBorder="1" applyAlignment="1">
      <alignment horizontal="center" vertical="center"/>
    </xf>
    <xf numFmtId="0" fontId="48" fillId="0" borderId="46" xfId="4" applyFont="1" applyBorder="1" applyAlignment="1">
      <alignment horizontal="center" vertical="center"/>
    </xf>
    <xf numFmtId="164" fontId="63" fillId="0" borderId="20" xfId="4" applyNumberFormat="1" applyFont="1" applyBorder="1" applyAlignment="1">
      <alignment horizontal="center" vertical="center" wrapText="1"/>
    </xf>
    <xf numFmtId="164" fontId="69" fillId="35" borderId="60" xfId="4" applyNumberFormat="1" applyFont="1" applyFill="1" applyBorder="1" applyAlignment="1">
      <alignment horizontal="center" vertical="center" wrapText="1"/>
    </xf>
    <xf numFmtId="0" fontId="35" fillId="15" borderId="52" xfId="4" applyFont="1" applyFill="1" applyBorder="1"/>
    <xf numFmtId="0" fontId="16" fillId="0" borderId="39" xfId="0" applyFont="1" applyBorder="1" applyAlignment="1">
      <alignment horizontal="left" vertical="center" wrapText="1"/>
    </xf>
    <xf numFmtId="0" fontId="0" fillId="0" borderId="4" xfId="0" applyBorder="1" applyAlignment="1">
      <alignment horizontal="center" vertical="center" wrapText="1"/>
    </xf>
    <xf numFmtId="0" fontId="35" fillId="0" borderId="3" xfId="0" applyFont="1" applyBorder="1" applyAlignment="1">
      <alignment horizontal="center" vertical="center"/>
    </xf>
    <xf numFmtId="1" fontId="0" fillId="0" borderId="3" xfId="0" applyNumberFormat="1" applyBorder="1" applyAlignment="1">
      <alignment horizontal="center" vertical="center" wrapText="1"/>
    </xf>
    <xf numFmtId="0" fontId="0" fillId="0" borderId="3" xfId="0" applyBorder="1" applyAlignment="1">
      <alignment vertical="center" wrapText="1"/>
    </xf>
    <xf numFmtId="0" fontId="35" fillId="0" borderId="3" xfId="0" applyFont="1" applyBorder="1" applyAlignment="1">
      <alignment vertical="center" wrapText="1"/>
    </xf>
    <xf numFmtId="49" fontId="0" fillId="0" borderId="3" xfId="0" applyNumberFormat="1" applyBorder="1" applyAlignment="1">
      <alignment vertical="center" wrapText="1"/>
    </xf>
    <xf numFmtId="0" fontId="37" fillId="0" borderId="3" xfId="0" applyFont="1" applyBorder="1" applyAlignment="1">
      <alignment horizontal="center" vertical="center" wrapText="1"/>
    </xf>
    <xf numFmtId="17" fontId="0" fillId="0" borderId="3" xfId="0" applyNumberFormat="1" applyBorder="1" applyAlignment="1">
      <alignment horizontal="center" vertical="center" wrapText="1"/>
    </xf>
    <xf numFmtId="42" fontId="35" fillId="0" borderId="3" xfId="0" applyNumberFormat="1" applyFont="1" applyBorder="1" applyAlignment="1">
      <alignment vertical="center" wrapText="1"/>
    </xf>
    <xf numFmtId="0" fontId="36" fillId="50" borderId="4" xfId="15" applyFont="1" applyFill="1" applyBorder="1" applyAlignment="1">
      <alignment horizontal="center" vertical="center" wrapText="1"/>
    </xf>
    <xf numFmtId="0" fontId="36" fillId="50" borderId="4" xfId="15" applyNumberFormat="1" applyFont="1" applyFill="1" applyBorder="1" applyAlignment="1">
      <alignment horizontal="center" vertical="center" wrapText="1"/>
    </xf>
    <xf numFmtId="49" fontId="36" fillId="50" borderId="4" xfId="15" applyNumberFormat="1" applyFont="1" applyFill="1" applyBorder="1" applyAlignment="1">
      <alignment horizontal="center" vertical="center" wrapText="1"/>
    </xf>
    <xf numFmtId="1" fontId="36" fillId="50" borderId="4" xfId="15" applyNumberFormat="1" applyFont="1" applyFill="1" applyBorder="1" applyAlignment="1">
      <alignment horizontal="center" vertical="center" wrapText="1"/>
    </xf>
    <xf numFmtId="42" fontId="36" fillId="50" borderId="4" xfId="15" applyNumberFormat="1" applyFont="1" applyFill="1" applyBorder="1" applyAlignment="1">
      <alignment horizontal="center" vertical="center" wrapText="1"/>
    </xf>
    <xf numFmtId="164" fontId="36" fillId="50" borderId="4" xfId="15" applyNumberFormat="1" applyFont="1" applyFill="1" applyBorder="1" applyAlignment="1">
      <alignment horizontal="center" vertical="center" wrapText="1"/>
    </xf>
    <xf numFmtId="42" fontId="36" fillId="50" borderId="4" xfId="13" applyFont="1" applyFill="1" applyBorder="1" applyAlignment="1">
      <alignment horizontal="center" vertical="center" wrapText="1"/>
    </xf>
    <xf numFmtId="0" fontId="65" fillId="50" borderId="4" xfId="15" applyFont="1" applyFill="1" applyBorder="1" applyAlignment="1">
      <alignment horizontal="center" vertical="center" wrapText="1"/>
    </xf>
    <xf numFmtId="49" fontId="35" fillId="0" borderId="3" xfId="0" applyNumberFormat="1" applyFont="1" applyBorder="1" applyAlignment="1">
      <alignment vertical="center" wrapText="1"/>
    </xf>
    <xf numFmtId="1" fontId="35" fillId="0" borderId="3" xfId="0" applyNumberFormat="1" applyFont="1" applyBorder="1" applyAlignment="1">
      <alignment horizontal="center" vertical="center" wrapText="1"/>
    </xf>
    <xf numFmtId="42" fontId="35" fillId="0" borderId="3" xfId="14" applyFont="1" applyBorder="1" applyAlignment="1">
      <alignment vertical="center" wrapText="1"/>
    </xf>
    <xf numFmtId="164" fontId="35" fillId="0" borderId="3" xfId="1" applyNumberFormat="1" applyFont="1" applyBorder="1" applyAlignment="1">
      <alignment vertical="center" wrapText="1"/>
    </xf>
    <xf numFmtId="42" fontId="35" fillId="0" borderId="3" xfId="13" applyFont="1" applyBorder="1" applyAlignment="1">
      <alignment vertical="center" wrapText="1"/>
    </xf>
    <xf numFmtId="42" fontId="0" fillId="0" borderId="3" xfId="13" applyFont="1" applyBorder="1" applyAlignment="1">
      <alignment vertical="center"/>
    </xf>
    <xf numFmtId="1" fontId="35" fillId="0" borderId="3" xfId="0" applyNumberFormat="1" applyFont="1" applyBorder="1" applyAlignment="1">
      <alignment horizontal="center" vertical="center"/>
    </xf>
    <xf numFmtId="42" fontId="35" fillId="0" borderId="3" xfId="12" applyNumberFormat="1" applyFont="1" applyBorder="1" applyAlignment="1">
      <alignment vertical="center" wrapText="1"/>
    </xf>
    <xf numFmtId="164" fontId="35" fillId="0" borderId="3" xfId="0" applyNumberFormat="1" applyFont="1" applyBorder="1" applyAlignment="1">
      <alignment vertical="center" wrapText="1"/>
    </xf>
    <xf numFmtId="49" fontId="37" fillId="0" borderId="3" xfId="8" applyNumberFormat="1" applyFont="1" applyBorder="1" applyAlignment="1">
      <alignment vertical="center" wrapText="1"/>
    </xf>
    <xf numFmtId="1" fontId="0" fillId="0" borderId="3" xfId="6" applyNumberFormat="1" applyFont="1" applyBorder="1" applyAlignment="1">
      <alignment horizontal="center" vertical="center"/>
    </xf>
    <xf numFmtId="0" fontId="0" fillId="0" borderId="3" xfId="6" applyNumberFormat="1" applyFont="1" applyBorder="1" applyAlignment="1">
      <alignment horizontal="center" vertical="center"/>
    </xf>
    <xf numFmtId="49" fontId="37" fillId="0" borderId="3" xfId="0" applyNumberFormat="1" applyFont="1" applyBorder="1" applyAlignment="1">
      <alignment vertical="center" wrapText="1"/>
    </xf>
    <xf numFmtId="0" fontId="35" fillId="0" borderId="3" xfId="0" applyFont="1" applyBorder="1" applyAlignment="1">
      <alignment vertical="center"/>
    </xf>
    <xf numFmtId="42" fontId="37" fillId="0" borderId="3" xfId="13" applyFont="1" applyBorder="1" applyAlignment="1">
      <alignment vertical="center" wrapText="1"/>
    </xf>
    <xf numFmtId="164" fontId="37" fillId="0" borderId="3" xfId="1" applyNumberFormat="1" applyFont="1" applyBorder="1" applyAlignment="1">
      <alignment vertical="center" wrapText="1"/>
    </xf>
    <xf numFmtId="42" fontId="0" fillId="0" borderId="3" xfId="13" applyFont="1" applyBorder="1" applyAlignment="1">
      <alignment vertical="center" wrapText="1"/>
    </xf>
    <xf numFmtId="164" fontId="0" fillId="0" borderId="3" xfId="1" applyNumberFormat="1" applyFont="1" applyBorder="1" applyAlignment="1">
      <alignment vertical="center" wrapText="1"/>
    </xf>
    <xf numFmtId="49" fontId="100" fillId="0" borderId="3" xfId="0" applyNumberFormat="1" applyFont="1" applyBorder="1" applyAlignment="1">
      <alignment vertical="center" wrapText="1"/>
    </xf>
    <xf numFmtId="42" fontId="101" fillId="0" borderId="3" xfId="13" applyFont="1" applyBorder="1" applyAlignment="1">
      <alignment vertical="center"/>
    </xf>
    <xf numFmtId="49" fontId="102" fillId="0" borderId="3" xfId="0" applyNumberFormat="1" applyFont="1" applyBorder="1" applyAlignment="1">
      <alignment vertical="center" wrapText="1"/>
    </xf>
    <xf numFmtId="49" fontId="46" fillId="0" borderId="3" xfId="0" applyNumberFormat="1" applyFont="1" applyBorder="1" applyAlignment="1">
      <alignment vertical="center" wrapText="1"/>
    </xf>
    <xf numFmtId="42" fontId="103" fillId="0" borderId="3" xfId="13" applyFont="1" applyBorder="1" applyAlignment="1">
      <alignment vertical="center"/>
    </xf>
    <xf numFmtId="49" fontId="0" fillId="0" borderId="3" xfId="0" applyNumberFormat="1" applyBorder="1" applyAlignment="1">
      <alignment vertical="center"/>
    </xf>
    <xf numFmtId="42" fontId="0" fillId="0" borderId="3" xfId="16" applyNumberFormat="1" applyFont="1" applyBorder="1" applyAlignment="1">
      <alignment vertical="center" wrapText="1"/>
    </xf>
    <xf numFmtId="164" fontId="0" fillId="0" borderId="3" xfId="0" applyNumberFormat="1" applyBorder="1" applyAlignment="1">
      <alignment vertical="center" wrapText="1"/>
    </xf>
    <xf numFmtId="42" fontId="0" fillId="0" borderId="3" xfId="0" applyNumberFormat="1" applyBorder="1" applyAlignment="1">
      <alignment vertical="center" wrapText="1"/>
    </xf>
    <xf numFmtId="0" fontId="0" fillId="0" borderId="3" xfId="6" applyNumberFormat="1" applyFont="1" applyBorder="1" applyAlignment="1">
      <alignment horizontal="center" vertical="center" wrapText="1"/>
    </xf>
    <xf numFmtId="42" fontId="35" fillId="37" borderId="3" xfId="13" applyFont="1" applyFill="1" applyBorder="1" applyAlignment="1">
      <alignment vertical="center" wrapText="1"/>
    </xf>
    <xf numFmtId="0" fontId="0" fillId="0" borderId="4" xfId="0" applyBorder="1" applyAlignment="1">
      <alignment vertical="center" wrapText="1"/>
    </xf>
    <xf numFmtId="1" fontId="0" fillId="0" borderId="4" xfId="0" applyNumberFormat="1" applyBorder="1" applyAlignment="1">
      <alignment horizontal="center" vertical="center" wrapText="1"/>
    </xf>
    <xf numFmtId="49" fontId="0" fillId="0" borderId="4" xfId="0" applyNumberFormat="1" applyBorder="1" applyAlignment="1">
      <alignment vertical="center" wrapText="1"/>
    </xf>
    <xf numFmtId="42" fontId="0" fillId="0" borderId="4" xfId="13" applyFont="1" applyBorder="1" applyAlignment="1">
      <alignment vertical="center" wrapText="1"/>
    </xf>
    <xf numFmtId="164" fontId="0" fillId="0" borderId="4" xfId="0" applyNumberFormat="1" applyBorder="1" applyAlignment="1">
      <alignment vertical="center" wrapText="1"/>
    </xf>
    <xf numFmtId="42" fontId="35" fillId="0" borderId="4" xfId="13" applyFont="1" applyBorder="1" applyAlignment="1">
      <alignment vertical="center" wrapText="1"/>
    </xf>
    <xf numFmtId="42" fontId="0" fillId="0" borderId="4" xfId="0" applyNumberFormat="1" applyBorder="1" applyAlignment="1">
      <alignment vertical="center" wrapText="1"/>
    </xf>
    <xf numFmtId="49" fontId="37" fillId="0" borderId="4" xfId="8" applyNumberFormat="1" applyFont="1" applyBorder="1" applyAlignment="1">
      <alignment vertical="center" wrapText="1"/>
    </xf>
    <xf numFmtId="49" fontId="0" fillId="0" borderId="4" xfId="0" applyNumberFormat="1" applyBorder="1" applyAlignment="1">
      <alignment vertical="center"/>
    </xf>
    <xf numFmtId="0" fontId="95" fillId="23" borderId="79" xfId="0" applyFont="1" applyFill="1" applyBorder="1" applyAlignment="1">
      <alignment horizontal="left" vertical="center" wrapText="1"/>
    </xf>
    <xf numFmtId="0" fontId="95" fillId="51" borderId="79" xfId="0" applyFont="1" applyFill="1" applyBorder="1" applyAlignment="1">
      <alignment horizontal="right" vertical="center" wrapText="1"/>
    </xf>
    <xf numFmtId="0" fontId="95" fillId="52" borderId="79" xfId="0" applyFont="1" applyFill="1" applyBorder="1" applyAlignment="1">
      <alignment horizontal="right" vertical="center" wrapText="1"/>
    </xf>
    <xf numFmtId="0" fontId="97" fillId="25" borderId="79" xfId="0" applyFont="1" applyFill="1" applyBorder="1" applyAlignment="1">
      <alignment horizontal="right" vertical="center" wrapText="1"/>
    </xf>
    <xf numFmtId="0" fontId="95" fillId="25" borderId="79" xfId="0" applyFont="1" applyFill="1" applyBorder="1" applyAlignment="1">
      <alignment horizontal="right" vertical="center" wrapText="1"/>
    </xf>
    <xf numFmtId="0" fontId="97" fillId="52" borderId="79" xfId="0" applyFont="1" applyFill="1" applyBorder="1" applyAlignment="1">
      <alignment horizontal="right" vertical="center" wrapText="1"/>
    </xf>
    <xf numFmtId="42" fontId="95" fillId="52" borderId="79" xfId="0" applyNumberFormat="1" applyFont="1" applyFill="1" applyBorder="1" applyAlignment="1">
      <alignment horizontal="left" vertical="center" wrapText="1"/>
    </xf>
    <xf numFmtId="0" fontId="95" fillId="0" borderId="79" xfId="0" applyFont="1" applyBorder="1" applyAlignment="1">
      <alignment horizontal="left" vertical="center" wrapText="1"/>
    </xf>
    <xf numFmtId="0" fontId="95" fillId="25" borderId="79" xfId="0" applyFont="1" applyFill="1" applyBorder="1" applyAlignment="1">
      <alignment horizontal="left" vertical="center" wrapText="1"/>
    </xf>
    <xf numFmtId="49" fontId="95" fillId="25" borderId="79" xfId="0" applyNumberFormat="1" applyFont="1" applyFill="1" applyBorder="1" applyAlignment="1">
      <alignment horizontal="left" vertical="center" wrapText="1"/>
    </xf>
    <xf numFmtId="42" fontId="104" fillId="52" borderId="79" xfId="0" applyNumberFormat="1" applyFont="1" applyFill="1" applyBorder="1" applyAlignment="1">
      <alignment horizontal="left" vertical="center" wrapText="1"/>
    </xf>
    <xf numFmtId="49" fontId="97" fillId="0" borderId="79" xfId="0" applyNumberFormat="1" applyFont="1" applyBorder="1" applyAlignment="1">
      <alignment horizontal="right"/>
    </xf>
    <xf numFmtId="0" fontId="37" fillId="15" borderId="3" xfId="4" applyFont="1" applyFill="1" applyBorder="1" applyAlignment="1">
      <alignment horizontal="center" vertical="center" wrapText="1"/>
    </xf>
    <xf numFmtId="0" fontId="35" fillId="41" borderId="0" xfId="4" applyFont="1" applyFill="1"/>
    <xf numFmtId="0" fontId="47" fillId="50" borderId="0" xfId="4" applyFont="1" applyFill="1" applyAlignment="1">
      <alignment horizontal="center" vertical="center" wrapText="1"/>
    </xf>
    <xf numFmtId="0" fontId="36" fillId="50" borderId="66" xfId="4" applyFont="1" applyFill="1" applyBorder="1" applyAlignment="1">
      <alignment horizontal="center" vertical="center" wrapText="1"/>
    </xf>
    <xf numFmtId="0" fontId="36" fillId="50" borderId="47" xfId="4" applyFont="1" applyFill="1" applyBorder="1" applyAlignment="1">
      <alignment horizontal="center" vertical="center" wrapText="1"/>
    </xf>
    <xf numFmtId="0" fontId="36" fillId="50" borderId="22" xfId="4" applyFont="1" applyFill="1" applyBorder="1" applyAlignment="1">
      <alignment horizontal="center" vertical="center" wrapText="1"/>
    </xf>
    <xf numFmtId="0" fontId="36" fillId="50" borderId="67" xfId="4" applyFont="1" applyFill="1" applyBorder="1" applyAlignment="1">
      <alignment horizontal="center" vertical="center" wrapText="1"/>
    </xf>
    <xf numFmtId="0" fontId="36" fillId="50" borderId="68" xfId="4" applyFont="1" applyFill="1" applyBorder="1" applyAlignment="1">
      <alignment horizontal="center" vertical="center" wrapText="1"/>
    </xf>
    <xf numFmtId="0" fontId="36" fillId="50" borderId="33" xfId="4" applyFont="1" applyFill="1" applyBorder="1" applyAlignment="1">
      <alignment horizontal="center" vertical="center" wrapText="1"/>
    </xf>
    <xf numFmtId="0" fontId="36" fillId="50" borderId="32" xfId="4" applyFont="1" applyFill="1" applyBorder="1" applyAlignment="1">
      <alignment horizontal="center" vertical="center" wrapText="1"/>
    </xf>
    <xf numFmtId="0" fontId="36" fillId="50" borderId="69" xfId="4" applyFont="1" applyFill="1" applyBorder="1" applyAlignment="1">
      <alignment horizontal="center" vertical="center" wrapText="1"/>
    </xf>
    <xf numFmtId="0" fontId="65" fillId="50" borderId="32" xfId="4" applyFont="1" applyFill="1" applyBorder="1" applyAlignment="1">
      <alignment horizontal="center" vertical="center" wrapText="1"/>
    </xf>
    <xf numFmtId="0" fontId="65" fillId="50" borderId="33" xfId="4" applyFont="1" applyFill="1" applyBorder="1" applyAlignment="1">
      <alignment horizontal="center" vertical="center" wrapText="1"/>
    </xf>
    <xf numFmtId="0" fontId="36" fillId="50" borderId="43" xfId="4" applyFont="1" applyFill="1" applyBorder="1" applyAlignment="1">
      <alignment horizontal="center" vertical="center" wrapText="1"/>
    </xf>
    <xf numFmtId="0" fontId="65" fillId="50" borderId="7" xfId="4" applyFont="1" applyFill="1" applyBorder="1" applyAlignment="1">
      <alignment horizontal="center" vertical="center" wrapText="1"/>
    </xf>
    <xf numFmtId="0" fontId="36" fillId="50" borderId="8" xfId="4" applyFont="1" applyFill="1" applyBorder="1" applyAlignment="1">
      <alignment horizontal="center" vertical="center" wrapText="1"/>
    </xf>
    <xf numFmtId="0" fontId="36" fillId="50" borderId="21" xfId="4" applyFont="1" applyFill="1" applyBorder="1" applyAlignment="1">
      <alignment horizontal="center" vertical="center" wrapText="1"/>
    </xf>
    <xf numFmtId="0" fontId="65" fillId="50" borderId="23" xfId="4" applyFont="1" applyFill="1" applyBorder="1" applyAlignment="1">
      <alignment horizontal="center" vertical="center" wrapText="1"/>
    </xf>
    <xf numFmtId="0" fontId="36" fillId="50" borderId="23" xfId="4" applyFont="1" applyFill="1" applyBorder="1" applyAlignment="1">
      <alignment horizontal="center" vertical="center" wrapText="1"/>
    </xf>
    <xf numFmtId="0" fontId="66" fillId="50" borderId="22" xfId="4" applyFont="1" applyFill="1" applyBorder="1" applyAlignment="1">
      <alignment horizontal="center" vertical="center" wrapText="1"/>
    </xf>
    <xf numFmtId="164" fontId="64" fillId="15" borderId="20" xfId="4" applyNumberFormat="1" applyFont="1" applyFill="1" applyBorder="1" applyAlignment="1">
      <alignment horizontal="center" vertical="center"/>
    </xf>
    <xf numFmtId="0" fontId="68" fillId="0" borderId="61" xfId="4" applyFont="1" applyBorder="1" applyAlignment="1">
      <alignment horizontal="center" vertical="center"/>
    </xf>
    <xf numFmtId="0" fontId="48" fillId="0" borderId="0" xfId="4" applyFont="1" applyAlignment="1">
      <alignment horizontal="center" vertical="center"/>
    </xf>
    <xf numFmtId="164" fontId="69" fillId="35" borderId="50" xfId="4" applyNumberFormat="1" applyFont="1" applyFill="1" applyBorder="1" applyAlignment="1">
      <alignment horizontal="center" vertical="center" wrapText="1"/>
    </xf>
    <xf numFmtId="9" fontId="60" fillId="0" borderId="3" xfId="1" applyFont="1" applyBorder="1" applyAlignment="1">
      <alignment horizontal="center" vertical="center"/>
    </xf>
    <xf numFmtId="9" fontId="64" fillId="0" borderId="3" xfId="4" applyNumberFormat="1" applyFont="1" applyBorder="1" applyAlignment="1">
      <alignment horizontal="center" vertical="center"/>
    </xf>
    <xf numFmtId="0" fontId="64" fillId="34" borderId="3" xfId="4" applyFont="1" applyFill="1" applyBorder="1" applyAlignment="1">
      <alignment horizontal="center" vertical="center"/>
    </xf>
    <xf numFmtId="0" fontId="64" fillId="0" borderId="3" xfId="4" applyFont="1" applyBorder="1" applyAlignment="1">
      <alignment horizontal="center" vertical="center"/>
    </xf>
    <xf numFmtId="9" fontId="60" fillId="0" borderId="3" xfId="4" applyNumberFormat="1" applyFont="1" applyBorder="1" applyAlignment="1">
      <alignment horizontal="center" vertical="center"/>
    </xf>
    <xf numFmtId="0" fontId="13" fillId="0" borderId="0" xfId="2" applyFont="1" applyAlignment="1">
      <alignment vertical="center" wrapText="1"/>
    </xf>
    <xf numFmtId="0" fontId="13" fillId="0" borderId="0" xfId="2" applyFont="1" applyAlignment="1">
      <alignment horizontal="center" vertical="center" wrapText="1"/>
    </xf>
    <xf numFmtId="0" fontId="12" fillId="0" borderId="0" xfId="2" applyFont="1" applyAlignment="1">
      <alignment horizontal="center" vertical="center" wrapText="1"/>
    </xf>
    <xf numFmtId="9" fontId="13" fillId="8" borderId="0" xfId="2" applyNumberFormat="1" applyFont="1" applyFill="1" applyAlignment="1">
      <alignment horizontal="center" vertical="center" wrapText="1"/>
    </xf>
    <xf numFmtId="0" fontId="38" fillId="14" borderId="37" xfId="2" applyFont="1" applyFill="1" applyBorder="1" applyAlignment="1">
      <alignment horizontal="left" vertical="center"/>
    </xf>
    <xf numFmtId="0" fontId="38" fillId="14" borderId="0" xfId="2" applyFont="1" applyFill="1" applyAlignment="1">
      <alignment horizontal="left" vertical="center"/>
    </xf>
    <xf numFmtId="9" fontId="13" fillId="9" borderId="0" xfId="2" applyNumberFormat="1" applyFont="1" applyFill="1" applyAlignment="1">
      <alignment horizontal="center" vertical="center" wrapText="1"/>
    </xf>
    <xf numFmtId="0" fontId="17" fillId="0" borderId="0" xfId="2" applyAlignment="1">
      <alignment vertical="center"/>
    </xf>
    <xf numFmtId="0" fontId="15" fillId="0" borderId="0" xfId="2" applyFont="1" applyAlignment="1">
      <alignment vertical="center"/>
    </xf>
    <xf numFmtId="0" fontId="36" fillId="16" borderId="4" xfId="2" applyFont="1" applyFill="1" applyBorder="1" applyAlignment="1">
      <alignment horizontal="center" vertical="center" wrapText="1"/>
    </xf>
    <xf numFmtId="0" fontId="26" fillId="2" borderId="3" xfId="2" applyFont="1" applyFill="1" applyBorder="1" applyAlignment="1">
      <alignment horizontal="center" vertical="center" wrapText="1"/>
    </xf>
    <xf numFmtId="164" fontId="29" fillId="0" borderId="3" xfId="2" applyNumberFormat="1" applyFont="1" applyBorder="1" applyAlignment="1">
      <alignment horizontal="center" vertical="center" wrapText="1"/>
    </xf>
    <xf numFmtId="164" fontId="39" fillId="5" borderId="24" xfId="2" applyNumberFormat="1" applyFont="1" applyFill="1" applyBorder="1" applyAlignment="1">
      <alignment vertical="center" wrapText="1"/>
    </xf>
    <xf numFmtId="9" fontId="26" fillId="0" borderId="3" xfId="2" applyNumberFormat="1" applyFont="1" applyBorder="1" applyAlignment="1">
      <alignment horizontal="center" vertical="center"/>
    </xf>
    <xf numFmtId="9" fontId="26" fillId="0" borderId="3" xfId="2" applyNumberFormat="1" applyFont="1" applyBorder="1" applyAlignment="1">
      <alignment horizontal="center" vertical="center" wrapText="1"/>
    </xf>
    <xf numFmtId="164" fontId="30" fillId="11" borderId="3" xfId="2" applyNumberFormat="1" applyFont="1" applyFill="1" applyBorder="1" applyAlignment="1">
      <alignment horizontal="center" vertical="center" wrapText="1"/>
    </xf>
    <xf numFmtId="9" fontId="11" fillId="7" borderId="3" xfId="2" applyNumberFormat="1" applyFont="1" applyFill="1" applyBorder="1" applyAlignment="1">
      <alignment horizontal="center" vertical="center" wrapText="1"/>
    </xf>
    <xf numFmtId="0" fontId="36" fillId="16" borderId="18" xfId="2" applyFont="1" applyFill="1" applyBorder="1" applyAlignment="1">
      <alignment horizontal="center" vertical="center" wrapText="1"/>
    </xf>
    <xf numFmtId="0" fontId="17" fillId="0" borderId="3" xfId="2" applyBorder="1" applyAlignment="1">
      <alignment vertical="center"/>
    </xf>
    <xf numFmtId="9" fontId="11" fillId="0" borderId="3" xfId="2" applyNumberFormat="1" applyFont="1" applyBorder="1" applyAlignment="1">
      <alignment horizontal="center" vertical="center" wrapText="1"/>
    </xf>
    <xf numFmtId="9" fontId="75" fillId="0" borderId="3" xfId="2" applyNumberFormat="1" applyFont="1" applyBorder="1" applyAlignment="1">
      <alignment horizontal="center" vertical="center" wrapText="1"/>
    </xf>
    <xf numFmtId="0" fontId="20" fillId="0" borderId="40" xfId="2" applyFont="1" applyBorder="1" applyAlignment="1">
      <alignment vertical="center" wrapText="1"/>
    </xf>
    <xf numFmtId="0" fontId="17" fillId="0" borderId="40" xfId="2" applyBorder="1" applyAlignment="1">
      <alignment horizontal="justify" vertical="center"/>
    </xf>
    <xf numFmtId="0" fontId="17" fillId="0" borderId="40" xfId="2" applyBorder="1" applyAlignment="1">
      <alignment vertical="center"/>
    </xf>
    <xf numFmtId="164" fontId="17" fillId="0" borderId="40" xfId="9" applyNumberFormat="1" applyFont="1" applyBorder="1" applyAlignment="1">
      <alignment horizontal="center" vertical="center"/>
    </xf>
    <xf numFmtId="164" fontId="17" fillId="0" borderId="45" xfId="9" applyNumberFormat="1" applyFont="1" applyBorder="1" applyAlignment="1">
      <alignment horizontal="center" vertical="center"/>
    </xf>
    <xf numFmtId="164" fontId="22" fillId="0" borderId="40" xfId="2" applyNumberFormat="1" applyFont="1" applyBorder="1" applyAlignment="1">
      <alignment horizontal="center" vertical="center" wrapText="1"/>
    </xf>
    <xf numFmtId="164" fontId="17" fillId="0" borderId="40" xfId="9" applyNumberFormat="1" applyFont="1" applyFill="1" applyBorder="1" applyAlignment="1">
      <alignment horizontal="center" vertical="center"/>
    </xf>
    <xf numFmtId="164" fontId="17" fillId="0" borderId="45" xfId="9" applyNumberFormat="1" applyFont="1" applyFill="1" applyBorder="1" applyAlignment="1">
      <alignment horizontal="center" vertical="center"/>
    </xf>
    <xf numFmtId="164" fontId="17" fillId="0" borderId="41" xfId="9" applyNumberFormat="1" applyFont="1" applyFill="1" applyBorder="1" applyAlignment="1">
      <alignment horizontal="center" vertical="center"/>
    </xf>
    <xf numFmtId="164" fontId="17" fillId="0" borderId="0" xfId="9" applyNumberFormat="1" applyFont="1" applyFill="1" applyBorder="1" applyAlignment="1">
      <alignment horizontal="center" vertical="center"/>
    </xf>
    <xf numFmtId="164" fontId="27" fillId="0" borderId="37" xfId="9" applyNumberFormat="1" applyFont="1" applyBorder="1" applyAlignment="1">
      <alignment horizontal="center" vertical="center"/>
    </xf>
    <xf numFmtId="164" fontId="28" fillId="5" borderId="37" xfId="2" applyNumberFormat="1" applyFont="1" applyFill="1" applyBorder="1" applyAlignment="1">
      <alignment horizontal="center" vertical="center" wrapText="1"/>
    </xf>
    <xf numFmtId="164" fontId="27" fillId="0" borderId="29" xfId="9" applyNumberFormat="1" applyFont="1" applyBorder="1" applyAlignment="1">
      <alignment horizontal="center" vertical="center"/>
    </xf>
    <xf numFmtId="164" fontId="27" fillId="0" borderId="0" xfId="9" applyNumberFormat="1" applyFont="1" applyBorder="1" applyAlignment="1">
      <alignment horizontal="center" vertical="center"/>
    </xf>
    <xf numFmtId="164" fontId="28" fillId="5" borderId="29" xfId="2" applyNumberFormat="1" applyFont="1" applyFill="1" applyBorder="1" applyAlignment="1">
      <alignment horizontal="center" vertical="center" wrapText="1"/>
    </xf>
    <xf numFmtId="164" fontId="28" fillId="5" borderId="0" xfId="2" applyNumberFormat="1" applyFont="1" applyFill="1" applyAlignment="1">
      <alignment horizontal="center" vertical="center" wrapText="1"/>
    </xf>
    <xf numFmtId="0" fontId="27" fillId="0" borderId="37" xfId="2" applyFont="1" applyBorder="1" applyAlignment="1">
      <alignment horizontal="center" vertical="center"/>
    </xf>
    <xf numFmtId="0" fontId="27" fillId="0" borderId="29" xfId="2" applyFont="1" applyBorder="1" applyAlignment="1">
      <alignment horizontal="center" vertical="center"/>
    </xf>
    <xf numFmtId="0" fontId="27" fillId="0" borderId="0" xfId="2" applyFont="1" applyAlignment="1">
      <alignment horizontal="center" vertical="center"/>
    </xf>
    <xf numFmtId="164" fontId="16" fillId="0" borderId="37" xfId="9" applyNumberFormat="1" applyFont="1" applyBorder="1" applyAlignment="1">
      <alignment horizontal="center" vertical="center"/>
    </xf>
    <xf numFmtId="9" fontId="17" fillId="0" borderId="0" xfId="2" applyNumberFormat="1" applyAlignment="1">
      <alignment vertical="center"/>
    </xf>
    <xf numFmtId="164" fontId="16" fillId="0" borderId="0" xfId="9" applyNumberFormat="1" applyFont="1" applyBorder="1" applyAlignment="1">
      <alignment horizontal="center" vertical="center"/>
    </xf>
    <xf numFmtId="164" fontId="23" fillId="5" borderId="22" xfId="2" applyNumberFormat="1" applyFont="1" applyFill="1" applyBorder="1" applyAlignment="1">
      <alignment horizontal="center" vertical="center" wrapText="1"/>
    </xf>
    <xf numFmtId="0" fontId="34" fillId="26" borderId="0" xfId="2" applyFont="1" applyFill="1" applyAlignment="1">
      <alignment horizontal="center" vertical="center" wrapText="1"/>
    </xf>
    <xf numFmtId="0" fontId="54" fillId="0" borderId="37" xfId="4" applyFont="1" applyBorder="1" applyAlignment="1">
      <alignment horizontal="left"/>
    </xf>
    <xf numFmtId="0" fontId="56" fillId="12" borderId="27" xfId="4" applyFont="1" applyFill="1" applyBorder="1" applyAlignment="1">
      <alignment horizontal="center" vertical="center" wrapText="1"/>
    </xf>
    <xf numFmtId="0" fontId="56" fillId="12" borderId="38" xfId="4" applyFont="1" applyFill="1" applyBorder="1" applyAlignment="1">
      <alignment horizontal="center" vertical="center" wrapText="1"/>
    </xf>
    <xf numFmtId="0" fontId="56" fillId="12" borderId="26" xfId="4" applyFont="1" applyFill="1" applyBorder="1" applyAlignment="1">
      <alignment horizontal="center" vertical="center" wrapText="1"/>
    </xf>
    <xf numFmtId="0" fontId="56" fillId="12" borderId="29" xfId="4" applyFont="1" applyFill="1" applyBorder="1" applyAlignment="1">
      <alignment horizontal="center" vertical="center" wrapText="1"/>
    </xf>
    <xf numFmtId="0" fontId="56" fillId="12" borderId="37" xfId="4" applyFont="1" applyFill="1" applyBorder="1" applyAlignment="1">
      <alignment horizontal="center" vertical="center" wrapText="1"/>
    </xf>
    <xf numFmtId="0" fontId="56" fillId="12" borderId="28" xfId="4" applyFont="1" applyFill="1" applyBorder="1" applyAlignment="1">
      <alignment horizontal="center" vertical="center" wrapText="1"/>
    </xf>
    <xf numFmtId="0" fontId="56" fillId="12" borderId="15" xfId="4" applyFont="1" applyFill="1" applyBorder="1" applyAlignment="1">
      <alignment horizontal="center" vertical="center" wrapText="1"/>
    </xf>
    <xf numFmtId="0" fontId="56" fillId="12" borderId="39" xfId="4" applyFont="1" applyFill="1" applyBorder="1" applyAlignment="1">
      <alignment horizontal="center" vertical="center" wrapText="1"/>
    </xf>
    <xf numFmtId="0" fontId="56" fillId="12" borderId="14" xfId="4" applyFont="1" applyFill="1" applyBorder="1" applyAlignment="1">
      <alignment horizontal="center" vertical="center" wrapText="1"/>
    </xf>
    <xf numFmtId="14" fontId="57" fillId="0" borderId="15" xfId="4" applyNumberFormat="1" applyFont="1" applyBorder="1" applyAlignment="1">
      <alignment horizontal="center" vertical="center" wrapText="1"/>
    </xf>
    <xf numFmtId="14" fontId="57" fillId="0" borderId="39" xfId="4" applyNumberFormat="1" applyFont="1" applyBorder="1" applyAlignment="1">
      <alignment horizontal="center" vertical="center" wrapText="1"/>
    </xf>
    <xf numFmtId="14" fontId="57" fillId="0" borderId="14" xfId="4" applyNumberFormat="1" applyFont="1" applyBorder="1" applyAlignment="1">
      <alignment horizontal="center" vertical="center" wrapText="1"/>
    </xf>
    <xf numFmtId="0" fontId="57" fillId="0" borderId="15" xfId="4" applyFont="1" applyBorder="1" applyAlignment="1">
      <alignment horizontal="left" vertical="center" wrapText="1"/>
    </xf>
    <xf numFmtId="0" fontId="57" fillId="0" borderId="39" xfId="4" applyFont="1" applyBorder="1" applyAlignment="1">
      <alignment horizontal="left" vertical="center" wrapText="1"/>
    </xf>
    <xf numFmtId="0" fontId="57" fillId="0" borderId="14" xfId="4" applyFont="1" applyBorder="1" applyAlignment="1">
      <alignment horizontal="left" vertical="center" wrapText="1"/>
    </xf>
    <xf numFmtId="0" fontId="42" fillId="38" borderId="49" xfId="0" applyFont="1" applyFill="1" applyBorder="1" applyAlignment="1">
      <alignment horizontal="center" vertical="center" wrapText="1"/>
    </xf>
    <xf numFmtId="0" fontId="42" fillId="38" borderId="0" xfId="0" applyFont="1" applyFill="1" applyAlignment="1">
      <alignment horizontal="center" vertical="center" wrapText="1"/>
    </xf>
    <xf numFmtId="0" fontId="42" fillId="38" borderId="50" xfId="0" applyFont="1" applyFill="1" applyBorder="1" applyAlignment="1">
      <alignment horizontal="center" vertical="center" wrapText="1"/>
    </xf>
    <xf numFmtId="0" fontId="19" fillId="39" borderId="15" xfId="0" applyFont="1" applyFill="1" applyBorder="1" applyAlignment="1">
      <alignment horizontal="center"/>
    </xf>
    <xf numFmtId="0" fontId="19" fillId="39" borderId="39" xfId="0" applyFont="1" applyFill="1" applyBorder="1" applyAlignment="1">
      <alignment horizontal="center"/>
    </xf>
    <xf numFmtId="0" fontId="19" fillId="39" borderId="14" xfId="0" applyFont="1" applyFill="1" applyBorder="1" applyAlignment="1">
      <alignment horizontal="center"/>
    </xf>
    <xf numFmtId="0" fontId="0" fillId="0" borderId="3" xfId="0" applyBorder="1" applyAlignment="1">
      <alignment horizontal="center"/>
    </xf>
    <xf numFmtId="0" fontId="19" fillId="39" borderId="49" xfId="0" applyFont="1" applyFill="1" applyBorder="1" applyAlignment="1">
      <alignment horizontal="center"/>
    </xf>
    <xf numFmtId="0" fontId="19" fillId="39" borderId="0" xfId="0" applyFont="1" applyFill="1" applyAlignment="1">
      <alignment horizontal="center"/>
    </xf>
    <xf numFmtId="0" fontId="0" fillId="0" borderId="49" xfId="0" applyBorder="1" applyAlignment="1">
      <alignment horizontal="center"/>
    </xf>
    <xf numFmtId="0" fontId="0" fillId="0" borderId="0" xfId="0" applyAlignment="1">
      <alignment horizontal="center"/>
    </xf>
    <xf numFmtId="0" fontId="42" fillId="24" borderId="3" xfId="0" applyFont="1" applyFill="1" applyBorder="1" applyAlignment="1">
      <alignment horizontal="center" vertical="center"/>
    </xf>
    <xf numFmtId="0" fontId="42" fillId="33" borderId="0" xfId="0" applyFont="1" applyFill="1" applyAlignment="1">
      <alignment horizontal="center" vertical="center"/>
    </xf>
    <xf numFmtId="0" fontId="13" fillId="0" borderId="3" xfId="0" applyFont="1" applyBorder="1" applyAlignment="1">
      <alignment horizontal="center" vertical="center" wrapText="1"/>
    </xf>
    <xf numFmtId="0" fontId="78" fillId="0" borderId="9" xfId="0" applyFont="1" applyBorder="1" applyAlignment="1">
      <alignment horizontal="center" vertical="center" wrapText="1"/>
    </xf>
    <xf numFmtId="0" fontId="34" fillId="26" borderId="4" xfId="0" applyFont="1" applyFill="1" applyBorder="1" applyAlignment="1">
      <alignment horizontal="center" vertical="center" wrapText="1"/>
    </xf>
    <xf numFmtId="0" fontId="34" fillId="26" borderId="18" xfId="0" applyFont="1" applyFill="1" applyBorder="1" applyAlignment="1">
      <alignment horizontal="center" vertical="center" wrapText="1"/>
    </xf>
    <xf numFmtId="0" fontId="34" fillId="26" borderId="19" xfId="0" applyFont="1" applyFill="1" applyBorder="1" applyAlignment="1">
      <alignment horizontal="center" vertical="center" wrapText="1"/>
    </xf>
    <xf numFmtId="0" fontId="37" fillId="15" borderId="4" xfId="0" applyFont="1" applyFill="1" applyBorder="1" applyAlignment="1">
      <alignment horizontal="center" vertical="center" wrapText="1"/>
    </xf>
    <xf numFmtId="0" fontId="37" fillId="15" borderId="18" xfId="0" applyFont="1" applyFill="1" applyBorder="1" applyAlignment="1">
      <alignment horizontal="center" vertical="center" wrapText="1"/>
    </xf>
    <xf numFmtId="0" fontId="37" fillId="15" borderId="19" xfId="0" applyFont="1" applyFill="1" applyBorder="1" applyAlignment="1">
      <alignment horizontal="center" vertical="center" wrapText="1"/>
    </xf>
    <xf numFmtId="14" fontId="37" fillId="15" borderId="4" xfId="0" applyNumberFormat="1" applyFont="1" applyFill="1" applyBorder="1" applyAlignment="1">
      <alignment horizontal="center" vertical="center" wrapText="1"/>
    </xf>
    <xf numFmtId="14" fontId="37" fillId="15" borderId="19" xfId="0" applyNumberFormat="1" applyFont="1" applyFill="1" applyBorder="1" applyAlignment="1">
      <alignment horizontal="center" vertical="center" wrapText="1"/>
    </xf>
    <xf numFmtId="0" fontId="21" fillId="0" borderId="0" xfId="0" applyFont="1" applyAlignment="1">
      <alignment horizontal="right" vertical="center"/>
    </xf>
    <xf numFmtId="0" fontId="8" fillId="0" borderId="39" xfId="0" applyFont="1" applyBorder="1" applyAlignment="1">
      <alignment horizontal="right" vertical="center"/>
    </xf>
    <xf numFmtId="0" fontId="8" fillId="13" borderId="39" xfId="0" applyFont="1" applyFill="1" applyBorder="1" applyAlignment="1">
      <alignment horizontal="right" vertical="center"/>
    </xf>
    <xf numFmtId="0" fontId="36" fillId="16" borderId="4" xfId="0" applyFont="1" applyFill="1" applyBorder="1" applyAlignment="1">
      <alignment horizontal="center" vertical="center" wrapText="1"/>
    </xf>
    <xf numFmtId="0" fontId="36" fillId="16" borderId="18" xfId="0" applyFont="1" applyFill="1" applyBorder="1" applyAlignment="1">
      <alignment horizontal="center" vertical="center" wrapText="1"/>
    </xf>
    <xf numFmtId="0" fontId="35" fillId="15" borderId="4" xfId="0" applyFont="1" applyFill="1" applyBorder="1" applyAlignment="1">
      <alignment horizontal="center" vertical="center" wrapText="1"/>
    </xf>
    <xf numFmtId="0" fontId="35" fillId="15" borderId="18" xfId="0" applyFont="1" applyFill="1" applyBorder="1" applyAlignment="1">
      <alignment horizontal="center" vertical="center" wrapText="1"/>
    </xf>
    <xf numFmtId="0" fontId="78" fillId="0" borderId="3" xfId="0" applyFont="1" applyBorder="1" applyAlignment="1">
      <alignment horizontal="justify" vertical="center" wrapText="1"/>
    </xf>
    <xf numFmtId="0" fontId="78" fillId="0" borderId="6" xfId="0" applyFont="1" applyBorder="1" applyAlignment="1">
      <alignment horizontal="justify" vertical="center" wrapText="1"/>
    </xf>
    <xf numFmtId="0" fontId="78" fillId="0" borderId="18" xfId="0" applyFont="1" applyBorder="1" applyAlignment="1">
      <alignment horizontal="center" vertical="center" wrapText="1"/>
    </xf>
    <xf numFmtId="0" fontId="78" fillId="0" borderId="3" xfId="0" applyFont="1" applyBorder="1" applyAlignment="1">
      <alignment horizontal="center" vertical="center" wrapText="1"/>
    </xf>
    <xf numFmtId="0" fontId="41" fillId="49" borderId="0" xfId="0" applyFont="1" applyFill="1" applyAlignment="1">
      <alignment horizontal="center" vertical="center" wrapText="1"/>
    </xf>
    <xf numFmtId="0" fontId="41" fillId="49" borderId="50" xfId="0" applyFont="1" applyFill="1" applyBorder="1" applyAlignment="1">
      <alignment horizontal="center" vertical="center" wrapText="1"/>
    </xf>
    <xf numFmtId="0" fontId="41" fillId="50" borderId="48" xfId="0" applyFont="1" applyFill="1" applyBorder="1" applyAlignment="1">
      <alignment horizontal="center" vertical="center"/>
    </xf>
    <xf numFmtId="0" fontId="41" fillId="50" borderId="42" xfId="0" applyFont="1" applyFill="1" applyBorder="1" applyAlignment="1">
      <alignment horizontal="center" vertical="center"/>
    </xf>
    <xf numFmtId="0" fontId="41" fillId="50" borderId="51" xfId="0" applyFont="1" applyFill="1" applyBorder="1" applyAlignment="1">
      <alignment horizontal="center" vertical="center"/>
    </xf>
    <xf numFmtId="0" fontId="34" fillId="50" borderId="24" xfId="0" applyFont="1" applyFill="1" applyBorder="1" applyAlignment="1">
      <alignment horizontal="center" vertical="center" wrapText="1"/>
    </xf>
    <xf numFmtId="0" fontId="34" fillId="50" borderId="18" xfId="0" applyFont="1" applyFill="1" applyBorder="1" applyAlignment="1">
      <alignment horizontal="center" vertical="center" wrapText="1"/>
    </xf>
    <xf numFmtId="0" fontId="34" fillId="50" borderId="4" xfId="0" applyFont="1" applyFill="1" applyBorder="1" applyAlignment="1">
      <alignment horizontal="center" vertical="center" wrapText="1"/>
    </xf>
    <xf numFmtId="0" fontId="35" fillId="15" borderId="19" xfId="0" applyFont="1" applyFill="1" applyBorder="1" applyAlignment="1">
      <alignment horizontal="center" vertical="center" wrapText="1"/>
    </xf>
    <xf numFmtId="0" fontId="36" fillId="16" borderId="19" xfId="0" applyFont="1" applyFill="1" applyBorder="1" applyAlignment="1">
      <alignment horizontal="center" vertical="center" wrapText="1"/>
    </xf>
    <xf numFmtId="0" fontId="35" fillId="25" borderId="4" xfId="0" applyFont="1" applyFill="1" applyBorder="1" applyAlignment="1">
      <alignment horizontal="center" vertical="center" wrapText="1"/>
    </xf>
    <xf numFmtId="0" fontId="35" fillId="25" borderId="18" xfId="0" applyFont="1" applyFill="1" applyBorder="1" applyAlignment="1">
      <alignment horizontal="center" vertical="center" wrapText="1"/>
    </xf>
    <xf numFmtId="0" fontId="37" fillId="15" borderId="3" xfId="0" applyFont="1" applyFill="1" applyBorder="1" applyAlignment="1">
      <alignment horizontal="center" vertical="center" wrapText="1"/>
    </xf>
    <xf numFmtId="0" fontId="35" fillId="15" borderId="3" xfId="0" applyFont="1" applyFill="1" applyBorder="1" applyAlignment="1">
      <alignment horizontal="center" vertical="center" wrapText="1"/>
    </xf>
    <xf numFmtId="0" fontId="36" fillId="16" borderId="3" xfId="0" applyFont="1" applyFill="1" applyBorder="1" applyAlignment="1">
      <alignment horizontal="center" vertical="center" wrapText="1"/>
    </xf>
    <xf numFmtId="0" fontId="40" fillId="0" borderId="0" xfId="0" applyFont="1" applyAlignment="1">
      <alignment horizontal="center" vertical="center" textRotation="45" wrapText="1"/>
    </xf>
    <xf numFmtId="0" fontId="39" fillId="41" borderId="3" xfId="0" applyFont="1" applyFill="1" applyBorder="1" applyAlignment="1">
      <alignment horizontal="right" vertical="center" wrapText="1"/>
    </xf>
    <xf numFmtId="0" fontId="13" fillId="0" borderId="2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0" xfId="0" applyFont="1" applyAlignment="1">
      <alignment horizontal="center" vertical="center" wrapText="1"/>
    </xf>
    <xf numFmtId="0" fontId="13" fillId="0" borderId="50"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28" xfId="0" applyFont="1" applyBorder="1" applyAlignment="1">
      <alignment horizontal="center" vertical="center" wrapText="1"/>
    </xf>
    <xf numFmtId="0" fontId="43" fillId="25" borderId="3" xfId="0" applyFont="1" applyFill="1" applyBorder="1" applyAlignment="1">
      <alignment horizontal="center" vertical="center"/>
    </xf>
    <xf numFmtId="0" fontId="44" fillId="43" borderId="38" xfId="3" applyFont="1" applyFill="1" applyBorder="1" applyAlignment="1">
      <alignment horizontal="center" vertical="center" textRotation="90"/>
    </xf>
    <xf numFmtId="0" fontId="44" fillId="43" borderId="0" xfId="3" applyFont="1" applyFill="1" applyAlignment="1">
      <alignment horizontal="center" vertical="center" textRotation="90"/>
    </xf>
    <xf numFmtId="0" fontId="39" fillId="41" borderId="27" xfId="0" applyFont="1" applyFill="1" applyBorder="1" applyAlignment="1">
      <alignment horizontal="right" vertical="center" wrapText="1"/>
    </xf>
    <xf numFmtId="0" fontId="39" fillId="41" borderId="38" xfId="0" applyFont="1" applyFill="1" applyBorder="1" applyAlignment="1">
      <alignment horizontal="right" vertical="center" wrapText="1"/>
    </xf>
    <xf numFmtId="0" fontId="39" fillId="41" borderId="26" xfId="0" applyFont="1" applyFill="1" applyBorder="1" applyAlignment="1">
      <alignment horizontal="right" vertical="center" wrapText="1"/>
    </xf>
    <xf numFmtId="0" fontId="39" fillId="41" borderId="49" xfId="0" applyFont="1" applyFill="1" applyBorder="1" applyAlignment="1">
      <alignment horizontal="right" vertical="center" wrapText="1"/>
    </xf>
    <xf numFmtId="0" fontId="39" fillId="41" borderId="0" xfId="0" applyFont="1" applyFill="1" applyAlignment="1">
      <alignment horizontal="right" vertical="center" wrapText="1"/>
    </xf>
    <xf numFmtId="0" fontId="39" fillId="41" borderId="50" xfId="0" applyFont="1" applyFill="1" applyBorder="1" applyAlignment="1">
      <alignment horizontal="right" vertical="center" wrapText="1"/>
    </xf>
    <xf numFmtId="0" fontId="39" fillId="41" borderId="29" xfId="0" applyFont="1" applyFill="1" applyBorder="1" applyAlignment="1">
      <alignment horizontal="right" vertical="center" wrapText="1"/>
    </xf>
    <xf numFmtId="0" fontId="39" fillId="41" borderId="37" xfId="0" applyFont="1" applyFill="1" applyBorder="1" applyAlignment="1">
      <alignment horizontal="right" vertical="center" wrapText="1"/>
    </xf>
    <xf numFmtId="0" fontId="39" fillId="41" borderId="28" xfId="0" applyFont="1" applyFill="1" applyBorder="1" applyAlignment="1">
      <alignment horizontal="right" vertical="center" wrapText="1"/>
    </xf>
    <xf numFmtId="9" fontId="39" fillId="5" borderId="27" xfId="0" applyNumberFormat="1" applyFont="1" applyFill="1" applyBorder="1" applyAlignment="1">
      <alignment horizontal="center" vertical="center" wrapText="1"/>
    </xf>
    <xf numFmtId="9" fontId="39" fillId="5" borderId="38" xfId="0" applyNumberFormat="1" applyFont="1" applyFill="1" applyBorder="1" applyAlignment="1">
      <alignment horizontal="center" vertical="center" wrapText="1"/>
    </xf>
    <xf numFmtId="9" fontId="39" fillId="5" borderId="26" xfId="0" applyNumberFormat="1" applyFont="1" applyFill="1" applyBorder="1" applyAlignment="1">
      <alignment horizontal="center" vertical="center" wrapText="1"/>
    </xf>
    <xf numFmtId="9" fontId="39" fillId="5" borderId="49" xfId="0" applyNumberFormat="1" applyFont="1" applyFill="1" applyBorder="1" applyAlignment="1">
      <alignment horizontal="center" vertical="center" wrapText="1"/>
    </xf>
    <xf numFmtId="9" fontId="39" fillId="5" borderId="0" xfId="0" applyNumberFormat="1" applyFont="1" applyFill="1" applyAlignment="1">
      <alignment horizontal="center" vertical="center" wrapText="1"/>
    </xf>
    <xf numFmtId="9" fontId="39" fillId="5" borderId="50" xfId="0" applyNumberFormat="1" applyFont="1" applyFill="1" applyBorder="1" applyAlignment="1">
      <alignment horizontal="center" vertical="center" wrapText="1"/>
    </xf>
    <xf numFmtId="9" fontId="39" fillId="5" borderId="29" xfId="0" applyNumberFormat="1" applyFont="1" applyFill="1" applyBorder="1" applyAlignment="1">
      <alignment horizontal="center" vertical="center" wrapText="1"/>
    </xf>
    <xf numFmtId="9" fontId="39" fillId="5" borderId="37" xfId="0" applyNumberFormat="1" applyFont="1" applyFill="1" applyBorder="1" applyAlignment="1">
      <alignment horizontal="center" vertical="center" wrapText="1"/>
    </xf>
    <xf numFmtId="9" fontId="39" fillId="5" borderId="28" xfId="0" applyNumberFormat="1" applyFont="1" applyFill="1" applyBorder="1" applyAlignment="1">
      <alignment horizontal="center" vertical="center" wrapText="1"/>
    </xf>
    <xf numFmtId="9" fontId="43" fillId="25" borderId="4" xfId="1" applyFont="1" applyFill="1" applyBorder="1" applyAlignment="1">
      <alignment horizontal="center" vertical="center"/>
    </xf>
    <xf numFmtId="9" fontId="43" fillId="25" borderId="19" xfId="1" applyFont="1" applyFill="1" applyBorder="1" applyAlignment="1">
      <alignment horizontal="center" vertical="center"/>
    </xf>
    <xf numFmtId="9" fontId="43" fillId="25" borderId="36" xfId="1" applyFont="1" applyFill="1" applyBorder="1" applyAlignment="1">
      <alignment horizontal="center" vertical="center"/>
    </xf>
    <xf numFmtId="9" fontId="39" fillId="5" borderId="24" xfId="0" applyNumberFormat="1" applyFont="1" applyFill="1" applyBorder="1" applyAlignment="1">
      <alignment horizontal="center" vertical="center" wrapText="1"/>
    </xf>
    <xf numFmtId="9" fontId="39" fillId="5" borderId="19" xfId="0" applyNumberFormat="1" applyFont="1" applyFill="1" applyBorder="1" applyAlignment="1">
      <alignment horizontal="center" vertical="center" wrapText="1"/>
    </xf>
    <xf numFmtId="9" fontId="39" fillId="5" borderId="36" xfId="0" applyNumberFormat="1" applyFont="1" applyFill="1" applyBorder="1" applyAlignment="1">
      <alignment horizontal="center" vertical="center" wrapText="1"/>
    </xf>
    <xf numFmtId="9" fontId="43" fillId="25" borderId="27" xfId="1" applyFont="1" applyFill="1" applyBorder="1" applyAlignment="1">
      <alignment horizontal="left" vertical="center"/>
    </xf>
    <xf numFmtId="9" fontId="43" fillId="25" borderId="49" xfId="1" applyFont="1" applyFill="1" applyBorder="1" applyAlignment="1">
      <alignment horizontal="left" vertical="center"/>
    </xf>
    <xf numFmtId="9" fontId="43" fillId="25" borderId="45" xfId="1" applyFont="1" applyFill="1" applyBorder="1" applyAlignment="1">
      <alignment horizontal="left" vertical="center"/>
    </xf>
    <xf numFmtId="0" fontId="78" fillId="0" borderId="10" xfId="0" applyFont="1" applyBorder="1" applyAlignment="1">
      <alignment horizontal="justify" vertical="center" wrapText="1"/>
    </xf>
    <xf numFmtId="0" fontId="39" fillId="40" borderId="5" xfId="0" applyFont="1" applyFill="1" applyBorder="1" applyAlignment="1">
      <alignment horizontal="center" vertical="center" wrapText="1"/>
    </xf>
    <xf numFmtId="0" fontId="39" fillId="40" borderId="6" xfId="0" applyFont="1" applyFill="1" applyBorder="1" applyAlignment="1">
      <alignment horizontal="center" vertical="center" wrapText="1"/>
    </xf>
    <xf numFmtId="0" fontId="39" fillId="40" borderId="8" xfId="0" applyFont="1" applyFill="1" applyBorder="1" applyAlignment="1">
      <alignment horizontal="center" vertical="center" wrapText="1"/>
    </xf>
    <xf numFmtId="0" fontId="39" fillId="40" borderId="12" xfId="0" applyFont="1" applyFill="1" applyBorder="1" applyAlignment="1">
      <alignment horizontal="center" vertical="center" wrapText="1"/>
    </xf>
    <xf numFmtId="0" fontId="41" fillId="42" borderId="56" xfId="0" applyFont="1" applyFill="1" applyBorder="1" applyAlignment="1">
      <alignment horizontal="center" vertical="center"/>
    </xf>
    <xf numFmtId="0" fontId="41" fillId="42" borderId="37" xfId="0" applyFont="1" applyFill="1" applyBorder="1" applyAlignment="1">
      <alignment horizontal="center" vertical="center"/>
    </xf>
    <xf numFmtId="0" fontId="41" fillId="42" borderId="57" xfId="0" applyFont="1" applyFill="1" applyBorder="1" applyAlignment="1">
      <alignment horizontal="center" vertical="center"/>
    </xf>
    <xf numFmtId="0" fontId="41" fillId="42" borderId="46" xfId="0" applyFont="1" applyFill="1" applyBorder="1" applyAlignment="1">
      <alignment horizontal="center" vertical="center"/>
    </xf>
    <xf numFmtId="0" fontId="41" fillId="42" borderId="0" xfId="0" applyFont="1" applyFill="1" applyAlignment="1">
      <alignment horizontal="center" vertical="center"/>
    </xf>
    <xf numFmtId="49" fontId="44" fillId="43" borderId="38" xfId="3" applyNumberFormat="1" applyFont="1" applyFill="1" applyBorder="1" applyAlignment="1">
      <alignment horizontal="center" vertical="center" textRotation="90"/>
    </xf>
    <xf numFmtId="49" fontId="44" fillId="43" borderId="0" xfId="3" applyNumberFormat="1" applyFont="1" applyFill="1" applyAlignment="1">
      <alignment horizontal="center" vertical="center" textRotation="90"/>
    </xf>
    <xf numFmtId="0" fontId="39" fillId="40" borderId="7" xfId="0" applyFont="1" applyFill="1" applyBorder="1" applyAlignment="1">
      <alignment horizontal="center" vertical="center" wrapText="1"/>
    </xf>
    <xf numFmtId="0" fontId="39" fillId="40" borderId="11" xfId="0" applyFont="1" applyFill="1" applyBorder="1" applyAlignment="1">
      <alignment horizontal="center" vertical="center" wrapText="1"/>
    </xf>
    <xf numFmtId="0" fontId="7" fillId="40" borderId="3" xfId="0" applyFont="1" applyFill="1" applyBorder="1" applyAlignment="1">
      <alignment horizontal="center" vertical="center"/>
    </xf>
    <xf numFmtId="0" fontId="19" fillId="40" borderId="3" xfId="0" applyFont="1" applyFill="1" applyBorder="1" applyAlignment="1">
      <alignment horizontal="center" vertical="center" wrapText="1"/>
    </xf>
    <xf numFmtId="0" fontId="10" fillId="40" borderId="3" xfId="0" applyFont="1" applyFill="1" applyBorder="1" applyAlignment="1">
      <alignment horizontal="center" vertical="center" wrapText="1"/>
    </xf>
    <xf numFmtId="0" fontId="42" fillId="38" borderId="3" xfId="0" applyFont="1" applyFill="1" applyBorder="1" applyAlignment="1">
      <alignment horizontal="left" vertical="center"/>
    </xf>
    <xf numFmtId="0" fontId="78" fillId="0" borderId="18" xfId="0" applyFont="1" applyBorder="1" applyAlignment="1">
      <alignment horizontal="justify" vertical="center" wrapText="1"/>
    </xf>
    <xf numFmtId="0" fontId="78" fillId="0" borderId="30" xfId="0" applyFont="1" applyBorder="1" applyAlignment="1">
      <alignment horizontal="center" vertical="center" wrapText="1"/>
    </xf>
    <xf numFmtId="0" fontId="78" fillId="0" borderId="9" xfId="0" applyFont="1" applyBorder="1" applyAlignment="1">
      <alignment horizontal="center" vertical="center"/>
    </xf>
    <xf numFmtId="0" fontId="78" fillId="0" borderId="9" xfId="0" applyFont="1" applyBorder="1" applyAlignment="1">
      <alignment horizontal="left" vertical="center" wrapText="1"/>
    </xf>
    <xf numFmtId="0" fontId="78" fillId="0" borderId="11" xfId="0" applyFont="1" applyBorder="1" applyAlignment="1">
      <alignment horizontal="left" vertical="center" wrapText="1"/>
    </xf>
    <xf numFmtId="0" fontId="37" fillId="23" borderId="3" xfId="0" applyFont="1" applyFill="1" applyBorder="1" applyAlignment="1">
      <alignment horizontal="center" vertical="center" wrapText="1"/>
    </xf>
    <xf numFmtId="0" fontId="36" fillId="27" borderId="3" xfId="0" applyFont="1" applyFill="1" applyBorder="1" applyAlignment="1">
      <alignment horizontal="center" vertical="center" wrapText="1"/>
    </xf>
    <xf numFmtId="0" fontId="37" fillId="23" borderId="4" xfId="0" applyFont="1" applyFill="1" applyBorder="1" applyAlignment="1">
      <alignment horizontal="center" vertical="center" wrapText="1"/>
    </xf>
    <xf numFmtId="0" fontId="37" fillId="23" borderId="19" xfId="0" applyFont="1" applyFill="1" applyBorder="1" applyAlignment="1">
      <alignment horizontal="center" vertical="center" wrapText="1"/>
    </xf>
    <xf numFmtId="6" fontId="37" fillId="23" borderId="4" xfId="0" applyNumberFormat="1" applyFont="1" applyFill="1" applyBorder="1" applyAlignment="1">
      <alignment horizontal="center" vertical="center" wrapText="1"/>
    </xf>
    <xf numFmtId="6" fontId="37" fillId="23" borderId="19" xfId="0" applyNumberFormat="1" applyFont="1" applyFill="1" applyBorder="1" applyAlignment="1">
      <alignment horizontal="center" vertical="center" wrapText="1"/>
    </xf>
    <xf numFmtId="42" fontId="37" fillId="15" borderId="4" xfId="13" applyFont="1" applyFill="1" applyBorder="1" applyAlignment="1">
      <alignment horizontal="center" vertical="center" wrapText="1"/>
    </xf>
    <xf numFmtId="42" fontId="37" fillId="15" borderId="19" xfId="13" applyFont="1" applyFill="1" applyBorder="1" applyAlignment="1">
      <alignment horizontal="center" vertical="center" wrapText="1"/>
    </xf>
    <xf numFmtId="14" fontId="37" fillId="15" borderId="3" xfId="0" applyNumberFormat="1" applyFont="1" applyFill="1" applyBorder="1" applyAlignment="1">
      <alignment horizontal="center" vertical="center" wrapText="1"/>
    </xf>
    <xf numFmtId="0" fontId="0" fillId="0" borderId="50" xfId="0" applyBorder="1" applyAlignment="1">
      <alignment horizontal="center" vertical="center" wrapText="1"/>
    </xf>
    <xf numFmtId="0" fontId="0" fillId="0" borderId="28" xfId="0" applyBorder="1" applyAlignment="1">
      <alignment horizontal="center" vertical="center" wrapText="1"/>
    </xf>
    <xf numFmtId="0" fontId="0" fillId="0" borderId="50" xfId="0" applyBorder="1" applyAlignment="1">
      <alignment horizontal="center" vertical="center"/>
    </xf>
    <xf numFmtId="0" fontId="0" fillId="0" borderId="28" xfId="0" applyBorder="1" applyAlignment="1">
      <alignment horizontal="center" vertical="center"/>
    </xf>
    <xf numFmtId="0" fontId="37" fillId="23" borderId="18" xfId="0" applyFont="1" applyFill="1" applyBorder="1" applyAlignment="1">
      <alignment horizontal="center" vertical="center" wrapText="1"/>
    </xf>
    <xf numFmtId="0" fontId="35" fillId="23" borderId="4" xfId="0" applyFont="1" applyFill="1" applyBorder="1" applyAlignment="1">
      <alignment horizontal="center" vertical="center" wrapText="1"/>
    </xf>
    <xf numFmtId="0" fontId="35" fillId="23" borderId="18" xfId="0" applyFont="1" applyFill="1" applyBorder="1" applyAlignment="1">
      <alignment horizontal="center" vertical="center" wrapText="1"/>
    </xf>
    <xf numFmtId="6" fontId="35" fillId="23" borderId="4" xfId="0" applyNumberFormat="1" applyFont="1" applyFill="1" applyBorder="1" applyAlignment="1">
      <alignment horizontal="center" vertical="center" wrapText="1"/>
    </xf>
    <xf numFmtId="6" fontId="35" fillId="23" borderId="19" xfId="0" applyNumberFormat="1" applyFont="1" applyFill="1" applyBorder="1" applyAlignment="1">
      <alignment horizontal="center" vertical="center" wrapText="1"/>
    </xf>
    <xf numFmtId="14" fontId="35" fillId="15" borderId="3" xfId="0" applyNumberFormat="1" applyFont="1" applyFill="1" applyBorder="1" applyAlignment="1">
      <alignment horizontal="center" vertical="center" wrapText="1"/>
    </xf>
    <xf numFmtId="0" fontId="82" fillId="49" borderId="0" xfId="0" applyFont="1" applyFill="1" applyAlignment="1">
      <alignment horizontal="center" vertical="center" wrapText="1"/>
    </xf>
    <xf numFmtId="0" fontId="82" fillId="50" borderId="47" xfId="0" applyFont="1" applyFill="1" applyBorder="1" applyAlignment="1">
      <alignment horizontal="center" vertical="center"/>
    </xf>
    <xf numFmtId="0" fontId="82" fillId="50" borderId="21" xfId="0" applyFont="1" applyFill="1" applyBorder="1" applyAlignment="1">
      <alignment horizontal="center" vertical="center"/>
    </xf>
    <xf numFmtId="0" fontId="82" fillId="50" borderId="42" xfId="0" applyFont="1" applyFill="1" applyBorder="1" applyAlignment="1">
      <alignment horizontal="center" vertical="center"/>
    </xf>
    <xf numFmtId="0" fontId="82" fillId="50" borderId="51" xfId="0" applyFont="1" applyFill="1" applyBorder="1" applyAlignment="1">
      <alignment horizontal="center" vertical="center"/>
    </xf>
    <xf numFmtId="0" fontId="83" fillId="50" borderId="24" xfId="0" applyFont="1" applyFill="1" applyBorder="1" applyAlignment="1">
      <alignment horizontal="center" vertical="center" wrapText="1"/>
    </xf>
    <xf numFmtId="0" fontId="83" fillId="50" borderId="18" xfId="0" applyFont="1" applyFill="1" applyBorder="1" applyAlignment="1">
      <alignment horizontal="center" vertical="center" wrapText="1"/>
    </xf>
    <xf numFmtId="0" fontId="37" fillId="0" borderId="4" xfId="0" applyFont="1" applyBorder="1" applyAlignment="1">
      <alignment horizontal="center" vertical="center" wrapText="1"/>
    </xf>
    <xf numFmtId="0" fontId="37" fillId="0" borderId="18" xfId="0" applyFont="1" applyBorder="1" applyAlignment="1">
      <alignment horizontal="center" vertical="center" wrapText="1"/>
    </xf>
    <xf numFmtId="49" fontId="83" fillId="43" borderId="18" xfId="3" applyNumberFormat="1" applyFont="1" applyFill="1" applyBorder="1" applyAlignment="1">
      <alignment horizontal="center" vertical="center" textRotation="90"/>
    </xf>
    <xf numFmtId="49" fontId="83" fillId="43" borderId="3" xfId="3" applyNumberFormat="1" applyFont="1" applyFill="1" applyBorder="1" applyAlignment="1">
      <alignment horizontal="center" vertical="center" textRotation="90"/>
    </xf>
    <xf numFmtId="0" fontId="39" fillId="40" borderId="28" xfId="0" applyFont="1" applyFill="1" applyBorder="1" applyAlignment="1">
      <alignment horizontal="center" vertical="center" wrapText="1"/>
    </xf>
    <xf numFmtId="0" fontId="39" fillId="40" borderId="14" xfId="0" applyFont="1" applyFill="1" applyBorder="1" applyAlignment="1">
      <alignment horizontal="center" vertical="center" wrapText="1"/>
    </xf>
    <xf numFmtId="0" fontId="39" fillId="40" borderId="18" xfId="0" applyFont="1" applyFill="1" applyBorder="1" applyAlignment="1">
      <alignment horizontal="center" vertical="center" wrapText="1"/>
    </xf>
    <xf numFmtId="0" fontId="39" fillId="40" borderId="3" xfId="0" applyFont="1" applyFill="1" applyBorder="1" applyAlignment="1">
      <alignment horizontal="center" vertical="center" wrapText="1"/>
    </xf>
    <xf numFmtId="0" fontId="37" fillId="0" borderId="19" xfId="0" applyFont="1" applyBorder="1" applyAlignment="1">
      <alignment horizontal="center" vertical="center" wrapText="1"/>
    </xf>
    <xf numFmtId="0" fontId="83" fillId="50" borderId="3" xfId="0" applyFont="1" applyFill="1" applyBorder="1" applyAlignment="1">
      <alignment horizontal="center" vertical="center" wrapText="1"/>
    </xf>
    <xf numFmtId="0" fontId="84" fillId="40" borderId="18" xfId="0" applyFont="1" applyFill="1" applyBorder="1" applyAlignment="1">
      <alignment horizontal="center" vertical="center"/>
    </xf>
    <xf numFmtId="0" fontId="84" fillId="40" borderId="3" xfId="0" applyFont="1" applyFill="1" applyBorder="1" applyAlignment="1">
      <alignment horizontal="center" vertical="center"/>
    </xf>
    <xf numFmtId="0" fontId="85" fillId="40" borderId="18" xfId="0" applyFont="1" applyFill="1" applyBorder="1" applyAlignment="1">
      <alignment horizontal="center" vertical="center" wrapText="1"/>
    </xf>
    <xf numFmtId="0" fontId="85" fillId="40" borderId="3" xfId="0" applyFont="1" applyFill="1" applyBorder="1" applyAlignment="1">
      <alignment horizontal="center" vertical="center" wrapText="1"/>
    </xf>
    <xf numFmtId="0" fontId="86" fillId="40" borderId="18" xfId="0" applyFont="1" applyFill="1" applyBorder="1" applyAlignment="1">
      <alignment horizontal="center" vertical="center" wrapText="1"/>
    </xf>
    <xf numFmtId="0" fontId="86" fillId="40" borderId="3" xfId="0" applyFont="1" applyFill="1" applyBorder="1" applyAlignment="1">
      <alignment horizontal="center" vertical="center" wrapText="1"/>
    </xf>
    <xf numFmtId="0" fontId="83" fillId="50" borderId="19" xfId="0" applyFont="1" applyFill="1" applyBorder="1" applyAlignment="1">
      <alignment horizontal="center" vertical="center" wrapText="1"/>
    </xf>
    <xf numFmtId="0" fontId="43" fillId="25" borderId="3" xfId="0" applyFont="1" applyFill="1" applyBorder="1" applyAlignment="1">
      <alignment vertical="center" wrapText="1"/>
    </xf>
    <xf numFmtId="0" fontId="43" fillId="25" borderId="3" xfId="0" applyFont="1" applyFill="1" applyBorder="1" applyAlignment="1">
      <alignment vertical="center"/>
    </xf>
    <xf numFmtId="0" fontId="39" fillId="41" borderId="3" xfId="0" applyFont="1" applyFill="1" applyBorder="1" applyAlignment="1">
      <alignment horizontal="right" vertical="center"/>
    </xf>
    <xf numFmtId="9" fontId="43" fillId="25" borderId="4" xfId="1" applyFont="1" applyFill="1" applyBorder="1" applyAlignment="1">
      <alignment horizontal="left" vertical="center"/>
    </xf>
    <xf numFmtId="9" fontId="43" fillId="25" borderId="19" xfId="1" applyFont="1" applyFill="1" applyBorder="1" applyAlignment="1">
      <alignment horizontal="left" vertical="center"/>
    </xf>
    <xf numFmtId="0" fontId="39" fillId="41" borderId="4" xfId="0" applyFont="1" applyFill="1" applyBorder="1" applyAlignment="1">
      <alignment horizontal="right" vertical="center"/>
    </xf>
    <xf numFmtId="9" fontId="39" fillId="5" borderId="45" xfId="0" applyNumberFormat="1" applyFont="1" applyFill="1" applyBorder="1" applyAlignment="1">
      <alignment horizontal="center" vertical="center" wrapText="1"/>
    </xf>
    <xf numFmtId="9" fontId="39" fillId="5" borderId="53" xfId="0" applyNumberFormat="1" applyFont="1" applyFill="1" applyBorder="1" applyAlignment="1">
      <alignment horizontal="center" vertical="center" wrapText="1"/>
    </xf>
    <xf numFmtId="0" fontId="39" fillId="41" borderId="4" xfId="0" applyFont="1" applyFill="1" applyBorder="1" applyAlignment="1">
      <alignment horizontal="right" vertical="center" wrapText="1"/>
    </xf>
    <xf numFmtId="9" fontId="39" fillId="5" borderId="40" xfId="0" applyNumberFormat="1" applyFont="1" applyFill="1" applyBorder="1" applyAlignment="1">
      <alignment horizontal="center" vertical="center" wrapText="1"/>
    </xf>
    <xf numFmtId="0" fontId="82" fillId="42" borderId="47" xfId="0" applyFont="1" applyFill="1" applyBorder="1" applyAlignment="1">
      <alignment horizontal="center" vertical="center"/>
    </xf>
    <xf numFmtId="0" fontId="82" fillId="42" borderId="21" xfId="0" applyFont="1" applyFill="1" applyBorder="1" applyAlignment="1">
      <alignment horizontal="center" vertical="center"/>
    </xf>
    <xf numFmtId="0" fontId="82" fillId="42" borderId="78" xfId="0" applyFont="1" applyFill="1" applyBorder="1" applyAlignment="1">
      <alignment horizontal="center" vertical="center"/>
    </xf>
    <xf numFmtId="0" fontId="39" fillId="41" borderId="27" xfId="0" applyFont="1" applyFill="1" applyBorder="1" applyAlignment="1">
      <alignment horizontal="right" vertical="center"/>
    </xf>
    <xf numFmtId="0" fontId="39" fillId="41" borderId="26" xfId="0" applyFont="1" applyFill="1" applyBorder="1" applyAlignment="1">
      <alignment horizontal="right" vertical="center"/>
    </xf>
    <xf numFmtId="0" fontId="39" fillId="41" borderId="49" xfId="0" applyFont="1" applyFill="1" applyBorder="1" applyAlignment="1">
      <alignment horizontal="right" vertical="center"/>
    </xf>
    <xf numFmtId="0" fontId="39" fillId="41" borderId="50" xfId="0" applyFont="1" applyFill="1" applyBorder="1" applyAlignment="1">
      <alignment horizontal="right" vertical="center"/>
    </xf>
    <xf numFmtId="0" fontId="83" fillId="43" borderId="18" xfId="3" applyFont="1" applyFill="1" applyBorder="1" applyAlignment="1">
      <alignment horizontal="center" vertical="center" textRotation="90"/>
    </xf>
    <xf numFmtId="0" fontId="83" fillId="43" borderId="3" xfId="3" applyFont="1" applyFill="1" applyBorder="1" applyAlignment="1">
      <alignment horizontal="center" vertical="center" textRotation="90"/>
    </xf>
    <xf numFmtId="0" fontId="83" fillId="50" borderId="4" xfId="0" applyFont="1" applyFill="1" applyBorder="1" applyAlignment="1">
      <alignment horizontal="center" vertical="center" wrapText="1"/>
    </xf>
    <xf numFmtId="0" fontId="77" fillId="0" borderId="50" xfId="0" applyFont="1" applyBorder="1" applyAlignment="1">
      <alignment horizontal="center" vertical="center" wrapText="1"/>
    </xf>
    <xf numFmtId="0" fontId="77" fillId="0" borderId="28" xfId="0" applyFont="1" applyBorder="1" applyAlignment="1">
      <alignment horizontal="center" vertical="center" wrapText="1"/>
    </xf>
    <xf numFmtId="0" fontId="37" fillId="0" borderId="3" xfId="0" applyFont="1" applyBorder="1" applyAlignment="1">
      <alignment horizontal="center" vertical="center" wrapText="1"/>
    </xf>
    <xf numFmtId="0" fontId="0" fillId="0" borderId="0" xfId="0" applyAlignment="1">
      <alignment horizontal="center" vertical="center" wrapText="1"/>
    </xf>
    <xf numFmtId="0" fontId="35" fillId="23" borderId="19" xfId="0" applyFont="1" applyFill="1" applyBorder="1" applyAlignment="1">
      <alignment horizontal="center" vertical="center" wrapText="1"/>
    </xf>
    <xf numFmtId="0" fontId="24" fillId="0" borderId="13"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18" xfId="0" applyFont="1" applyBorder="1" applyAlignment="1">
      <alignment horizontal="justify" vertical="center" wrapText="1"/>
    </xf>
    <xf numFmtId="0" fontId="24" fillId="0" borderId="3" xfId="0" applyFont="1" applyBorder="1" applyAlignment="1">
      <alignment horizontal="justify" vertical="center" wrapText="1"/>
    </xf>
    <xf numFmtId="14" fontId="35" fillId="15" borderId="4" xfId="0" applyNumberFormat="1" applyFont="1" applyFill="1" applyBorder="1" applyAlignment="1">
      <alignment horizontal="center" vertical="center" wrapText="1"/>
    </xf>
    <xf numFmtId="14" fontId="35" fillId="15" borderId="19" xfId="0" applyNumberFormat="1" applyFont="1" applyFill="1" applyBorder="1" applyAlignment="1">
      <alignment horizontal="center" vertical="center" wrapText="1"/>
    </xf>
    <xf numFmtId="14" fontId="35" fillId="15" borderId="27" xfId="0" applyNumberFormat="1" applyFont="1" applyFill="1" applyBorder="1" applyAlignment="1">
      <alignment horizontal="center" vertical="center" wrapText="1"/>
    </xf>
    <xf numFmtId="14" fontId="35" fillId="15" borderId="49" xfId="0" applyNumberFormat="1" applyFont="1" applyFill="1" applyBorder="1" applyAlignment="1">
      <alignment horizontal="center" vertical="center" wrapText="1"/>
    </xf>
    <xf numFmtId="0" fontId="20" fillId="0" borderId="42" xfId="0" applyFont="1" applyBorder="1" applyAlignment="1">
      <alignment horizontal="center" vertical="center" wrapText="1"/>
    </xf>
    <xf numFmtId="0" fontId="20" fillId="0" borderId="0" xfId="0" applyFont="1" applyAlignment="1">
      <alignment horizontal="center" vertical="center" wrapText="1"/>
    </xf>
    <xf numFmtId="0" fontId="20" fillId="0" borderId="40" xfId="0" applyFont="1" applyBorder="1" applyAlignment="1">
      <alignment horizontal="center" vertical="center" wrapText="1"/>
    </xf>
    <xf numFmtId="0" fontId="39" fillId="17" borderId="3" xfId="0" applyFont="1" applyFill="1" applyBorder="1" applyAlignment="1">
      <alignment horizontal="right" vertical="center" wrapText="1"/>
    </xf>
    <xf numFmtId="0" fontId="39" fillId="17" borderId="3" xfId="0" applyFont="1" applyFill="1" applyBorder="1" applyAlignment="1">
      <alignment horizontal="right" vertical="center"/>
    </xf>
    <xf numFmtId="9" fontId="43" fillId="25" borderId="36" xfId="1" applyFont="1" applyFill="1" applyBorder="1" applyAlignment="1">
      <alignment horizontal="left" vertical="center"/>
    </xf>
    <xf numFmtId="9" fontId="39" fillId="5" borderId="24" xfId="0" applyNumberFormat="1" applyFont="1" applyFill="1" applyBorder="1" applyAlignment="1">
      <alignment horizontal="center" vertical="center"/>
    </xf>
    <xf numFmtId="9" fontId="39" fillId="5" borderId="19" xfId="0" applyNumberFormat="1" applyFont="1" applyFill="1" applyBorder="1" applyAlignment="1">
      <alignment horizontal="center" vertical="center"/>
    </xf>
    <xf numFmtId="9" fontId="39" fillId="5" borderId="36" xfId="0" applyNumberFormat="1" applyFont="1" applyFill="1" applyBorder="1" applyAlignment="1">
      <alignment horizontal="center" vertical="center"/>
    </xf>
    <xf numFmtId="0" fontId="39" fillId="17" borderId="27" xfId="0" applyFont="1" applyFill="1" applyBorder="1" applyAlignment="1">
      <alignment horizontal="right" vertical="center"/>
    </xf>
    <xf numFmtId="0" fontId="39" fillId="17" borderId="26" xfId="0" applyFont="1" applyFill="1" applyBorder="1" applyAlignment="1">
      <alignment horizontal="right" vertical="center"/>
    </xf>
    <xf numFmtId="0" fontId="39" fillId="17" borderId="49" xfId="0" applyFont="1" applyFill="1" applyBorder="1" applyAlignment="1">
      <alignment horizontal="right" vertical="center"/>
    </xf>
    <xf numFmtId="0" fontId="39" fillId="17" borderId="50" xfId="0" applyFont="1" applyFill="1" applyBorder="1" applyAlignment="1">
      <alignment horizontal="right" vertical="center"/>
    </xf>
    <xf numFmtId="0" fontId="39" fillId="17" borderId="45" xfId="0" applyFont="1" applyFill="1" applyBorder="1" applyAlignment="1">
      <alignment horizontal="right" vertical="center"/>
    </xf>
    <xf numFmtId="0" fontId="39" fillId="17" borderId="53" xfId="0" applyFont="1" applyFill="1" applyBorder="1" applyAlignment="1">
      <alignment horizontal="right" vertical="center"/>
    </xf>
    <xf numFmtId="0" fontId="39" fillId="17" borderId="27" xfId="0" applyFont="1" applyFill="1" applyBorder="1" applyAlignment="1">
      <alignment horizontal="right" vertical="center" wrapText="1"/>
    </xf>
    <xf numFmtId="0" fontId="39" fillId="17" borderId="38" xfId="0" applyFont="1" applyFill="1" applyBorder="1" applyAlignment="1">
      <alignment horizontal="right" vertical="center" wrapText="1"/>
    </xf>
    <xf numFmtId="0" fontId="39" fillId="17" borderId="26" xfId="0" applyFont="1" applyFill="1" applyBorder="1" applyAlignment="1">
      <alignment horizontal="right" vertical="center" wrapText="1"/>
    </xf>
    <xf numFmtId="0" fontId="39" fillId="17" borderId="49" xfId="0" applyFont="1" applyFill="1" applyBorder="1" applyAlignment="1">
      <alignment horizontal="right" vertical="center" wrapText="1"/>
    </xf>
    <xf numFmtId="0" fontId="39" fillId="17" borderId="0" xfId="0" applyFont="1" applyFill="1" applyAlignment="1">
      <alignment horizontal="right" vertical="center" wrapText="1"/>
    </xf>
    <xf numFmtId="0" fontId="39" fillId="17" borderId="50" xfId="0" applyFont="1" applyFill="1" applyBorder="1" applyAlignment="1">
      <alignment horizontal="right" vertical="center" wrapText="1"/>
    </xf>
    <xf numFmtId="0" fontId="39" fillId="17" borderId="29" xfId="0" applyFont="1" applyFill="1" applyBorder="1" applyAlignment="1">
      <alignment horizontal="right" vertical="center" wrapText="1"/>
    </xf>
    <xf numFmtId="0" fontId="39" fillId="17" borderId="37" xfId="0" applyFont="1" applyFill="1" applyBorder="1" applyAlignment="1">
      <alignment horizontal="right" vertical="center" wrapText="1"/>
    </xf>
    <xf numFmtId="0" fontId="39" fillId="17" borderId="28" xfId="0" applyFont="1" applyFill="1" applyBorder="1" applyAlignment="1">
      <alignment horizontal="right" vertical="center" wrapText="1"/>
    </xf>
    <xf numFmtId="0" fontId="24" fillId="0" borderId="18" xfId="0" applyFont="1" applyBorder="1" applyAlignment="1">
      <alignment horizontal="left" vertical="center" wrapText="1"/>
    </xf>
    <xf numFmtId="0" fontId="24" fillId="0" borderId="3" xfId="0" applyFont="1" applyBorder="1" applyAlignment="1">
      <alignment horizontal="left" vertical="center" wrapText="1"/>
    </xf>
    <xf numFmtId="14" fontId="35" fillId="15" borderId="18" xfId="0" applyNumberFormat="1" applyFont="1" applyFill="1" applyBorder="1" applyAlignment="1">
      <alignment horizontal="center" vertical="center" wrapText="1"/>
    </xf>
    <xf numFmtId="14" fontId="35" fillId="15" borderId="29" xfId="0" applyNumberFormat="1" applyFont="1" applyFill="1" applyBorder="1" applyAlignment="1">
      <alignment horizontal="center" vertical="center" wrapText="1"/>
    </xf>
    <xf numFmtId="0" fontId="17" fillId="0" borderId="37" xfId="0" applyFont="1" applyBorder="1" applyAlignment="1">
      <alignment horizontal="right" vertical="center"/>
    </xf>
    <xf numFmtId="0" fontId="40" fillId="0" borderId="37" xfId="0" applyFont="1" applyBorder="1" applyAlignment="1">
      <alignment horizontal="center" vertical="center" textRotation="45" wrapText="1"/>
    </xf>
    <xf numFmtId="0" fontId="45" fillId="0" borderId="66" xfId="4" applyFont="1" applyBorder="1" applyAlignment="1">
      <alignment horizontal="center"/>
    </xf>
    <xf numFmtId="0" fontId="45" fillId="0" borderId="46" xfId="4" applyFont="1" applyBorder="1" applyAlignment="1">
      <alignment horizontal="center"/>
    </xf>
    <xf numFmtId="0" fontId="42" fillId="38" borderId="49" xfId="0" applyFont="1" applyFill="1" applyBorder="1" applyAlignment="1">
      <alignment horizontal="left" vertical="center"/>
    </xf>
    <xf numFmtId="0" fontId="42" fillId="38" borderId="0" xfId="0" applyFont="1" applyFill="1" applyAlignment="1">
      <alignment horizontal="left" vertical="center"/>
    </xf>
    <xf numFmtId="0" fontId="43" fillId="25" borderId="26" xfId="0" applyFont="1" applyFill="1" applyBorder="1" applyAlignment="1">
      <alignment vertical="center"/>
    </xf>
    <xf numFmtId="0" fontId="43" fillId="25" borderId="50" xfId="0" applyFont="1" applyFill="1" applyBorder="1" applyAlignment="1">
      <alignment vertical="center"/>
    </xf>
    <xf numFmtId="0" fontId="43" fillId="25" borderId="28" xfId="0" applyFont="1" applyFill="1" applyBorder="1" applyAlignment="1">
      <alignment vertical="center"/>
    </xf>
    <xf numFmtId="0" fontId="39" fillId="17" borderId="29" xfId="0" applyFont="1" applyFill="1" applyBorder="1" applyAlignment="1">
      <alignment horizontal="right" vertical="center"/>
    </xf>
    <xf numFmtId="0" fontId="39" fillId="17" borderId="28" xfId="0" applyFont="1" applyFill="1" applyBorder="1" applyAlignment="1">
      <alignment horizontal="right" vertical="center"/>
    </xf>
    <xf numFmtId="0" fontId="39" fillId="17" borderId="27" xfId="0" applyFont="1" applyFill="1" applyBorder="1" applyAlignment="1">
      <alignment horizontal="center" vertical="center" wrapText="1"/>
    </xf>
    <xf numFmtId="0" fontId="39" fillId="17" borderId="38" xfId="0" applyFont="1" applyFill="1" applyBorder="1" applyAlignment="1">
      <alignment horizontal="center" vertical="center" wrapText="1"/>
    </xf>
    <xf numFmtId="0" fontId="39" fillId="17" borderId="49" xfId="0" applyFont="1" applyFill="1" applyBorder="1" applyAlignment="1">
      <alignment horizontal="center" vertical="center" wrapText="1"/>
    </xf>
    <xf numFmtId="0" fontId="39" fillId="17" borderId="0" xfId="0" applyFont="1" applyFill="1" applyAlignment="1">
      <alignment horizontal="center" vertical="center" wrapText="1"/>
    </xf>
    <xf numFmtId="0" fontId="39" fillId="17" borderId="45" xfId="0" applyFont="1" applyFill="1" applyBorder="1" applyAlignment="1">
      <alignment horizontal="center" vertical="center" wrapText="1"/>
    </xf>
    <xf numFmtId="0" fontId="39" fillId="17" borderId="40" xfId="0" applyFont="1" applyFill="1" applyBorder="1" applyAlignment="1">
      <alignment horizontal="center" vertical="center" wrapText="1"/>
    </xf>
    <xf numFmtId="9" fontId="39" fillId="5" borderId="27" xfId="1" applyFont="1" applyFill="1" applyBorder="1" applyAlignment="1">
      <alignment horizontal="center" vertical="center" wrapText="1"/>
    </xf>
    <xf numFmtId="9" fontId="39" fillId="5" borderId="26" xfId="1" applyFont="1" applyFill="1" applyBorder="1" applyAlignment="1">
      <alignment horizontal="center" vertical="center" wrapText="1"/>
    </xf>
    <xf numFmtId="9" fontId="39" fillId="5" borderId="49" xfId="1" applyFont="1" applyFill="1" applyBorder="1" applyAlignment="1">
      <alignment horizontal="center" vertical="center" wrapText="1"/>
    </xf>
    <xf numFmtId="9" fontId="39" fillId="5" borderId="50" xfId="1" applyFont="1" applyFill="1" applyBorder="1" applyAlignment="1">
      <alignment horizontal="center" vertical="center" wrapText="1"/>
    </xf>
    <xf numFmtId="9" fontId="39" fillId="5" borderId="45" xfId="1" applyFont="1" applyFill="1" applyBorder="1" applyAlignment="1">
      <alignment horizontal="center" vertical="center" wrapText="1"/>
    </xf>
    <xf numFmtId="9" fontId="39" fillId="5" borderId="53" xfId="1" applyFont="1" applyFill="1" applyBorder="1" applyAlignment="1">
      <alignment horizontal="center" vertical="center" wrapText="1"/>
    </xf>
    <xf numFmtId="0" fontId="39" fillId="17" borderId="29" xfId="0" applyFont="1" applyFill="1" applyBorder="1" applyAlignment="1">
      <alignment horizontal="center" vertical="center" wrapText="1"/>
    </xf>
    <xf numFmtId="0" fontId="39" fillId="17" borderId="37" xfId="0" applyFont="1" applyFill="1" applyBorder="1" applyAlignment="1">
      <alignment horizontal="center" vertical="center" wrapText="1"/>
    </xf>
    <xf numFmtId="0" fontId="39" fillId="17" borderId="26" xfId="0" applyFont="1" applyFill="1" applyBorder="1" applyAlignment="1">
      <alignment horizontal="center" vertical="center" wrapText="1"/>
    </xf>
    <xf numFmtId="0" fontId="39" fillId="17" borderId="50" xfId="0" applyFont="1" applyFill="1" applyBorder="1" applyAlignment="1">
      <alignment horizontal="center" vertical="center" wrapText="1"/>
    </xf>
    <xf numFmtId="0" fontId="39" fillId="17" borderId="28" xfId="0" applyFont="1" applyFill="1" applyBorder="1" applyAlignment="1">
      <alignment horizontal="center" vertical="center" wrapText="1"/>
    </xf>
    <xf numFmtId="164" fontId="39" fillId="5" borderId="24" xfId="0" applyNumberFormat="1" applyFont="1" applyFill="1" applyBorder="1" applyAlignment="1">
      <alignment horizontal="center" vertical="center" wrapText="1"/>
    </xf>
    <xf numFmtId="164" fontId="39" fillId="5" borderId="19" xfId="0" applyNumberFormat="1" applyFont="1" applyFill="1" applyBorder="1" applyAlignment="1">
      <alignment horizontal="center" vertical="center" wrapText="1"/>
    </xf>
    <xf numFmtId="164" fontId="39" fillId="5" borderId="36" xfId="0" applyNumberFormat="1" applyFont="1" applyFill="1" applyBorder="1" applyAlignment="1">
      <alignment horizontal="center" vertical="center" wrapText="1"/>
    </xf>
    <xf numFmtId="0" fontId="41" fillId="22" borderId="56" xfId="0" applyFont="1" applyFill="1" applyBorder="1" applyAlignment="1">
      <alignment horizontal="center" vertical="center"/>
    </xf>
    <xf numFmtId="0" fontId="41" fillId="22" borderId="37" xfId="0" applyFont="1" applyFill="1" applyBorder="1" applyAlignment="1">
      <alignment horizontal="center" vertical="center"/>
    </xf>
    <xf numFmtId="0" fontId="41" fillId="22" borderId="57" xfId="0" applyFont="1" applyFill="1" applyBorder="1" applyAlignment="1">
      <alignment horizontal="center" vertical="center"/>
    </xf>
    <xf numFmtId="0" fontId="39" fillId="25" borderId="27" xfId="0" applyFont="1" applyFill="1" applyBorder="1" applyAlignment="1">
      <alignment horizontal="center" vertical="center" wrapText="1"/>
    </xf>
    <xf numFmtId="0" fontId="39" fillId="25" borderId="38" xfId="0" applyFont="1" applyFill="1" applyBorder="1" applyAlignment="1">
      <alignment horizontal="center" vertical="center" wrapText="1"/>
    </xf>
    <xf numFmtId="0" fontId="39" fillId="25" borderId="49" xfId="0" applyFont="1" applyFill="1" applyBorder="1" applyAlignment="1">
      <alignment horizontal="center" vertical="center" wrapText="1"/>
    </xf>
    <xf numFmtId="0" fontId="39" fillId="25" borderId="0" xfId="0" applyFont="1" applyFill="1" applyAlignment="1">
      <alignment horizontal="center" vertical="center" wrapText="1"/>
    </xf>
    <xf numFmtId="0" fontId="39" fillId="25" borderId="29" xfId="0" applyFont="1" applyFill="1" applyBorder="1" applyAlignment="1">
      <alignment horizontal="center" vertical="center" wrapText="1"/>
    </xf>
    <xf numFmtId="0" fontId="39" fillId="25" borderId="37" xfId="0" applyFont="1" applyFill="1" applyBorder="1" applyAlignment="1">
      <alignment horizontal="center" vertical="center" wrapText="1"/>
    </xf>
    <xf numFmtId="49" fontId="44" fillId="21" borderId="38" xfId="3" applyNumberFormat="1" applyFont="1" applyFill="1" applyBorder="1" applyAlignment="1">
      <alignment horizontal="center" vertical="center" textRotation="90"/>
    </xf>
    <xf numFmtId="49" fontId="44" fillId="21" borderId="0" xfId="3" applyNumberFormat="1" applyFont="1" applyFill="1" applyAlignment="1">
      <alignment horizontal="center" vertical="center" textRotation="90"/>
    </xf>
    <xf numFmtId="0" fontId="39" fillId="6" borderId="3" xfId="0" applyFont="1" applyFill="1" applyBorder="1" applyAlignment="1">
      <alignment horizontal="center" vertical="center" wrapText="1"/>
    </xf>
    <xf numFmtId="0" fontId="44" fillId="19" borderId="38" xfId="3" applyFont="1" applyFill="1" applyBorder="1" applyAlignment="1">
      <alignment horizontal="center" vertical="center" textRotation="90"/>
    </xf>
    <xf numFmtId="0" fontId="44" fillId="19" borderId="0" xfId="3" applyFont="1" applyFill="1" applyAlignment="1">
      <alignment horizontal="center" vertical="center" textRotation="90"/>
    </xf>
    <xf numFmtId="0" fontId="44" fillId="18" borderId="38" xfId="3" applyFont="1" applyFill="1" applyBorder="1" applyAlignment="1">
      <alignment horizontal="center" vertical="center" textRotation="90"/>
    </xf>
    <xf numFmtId="0" fontId="44" fillId="18" borderId="0" xfId="3" applyFont="1" applyFill="1" applyAlignment="1">
      <alignment horizontal="center" vertical="center" textRotation="90"/>
    </xf>
    <xf numFmtId="0" fontId="44" fillId="10" borderId="38" xfId="3" applyFont="1" applyFill="1" applyBorder="1" applyAlignment="1">
      <alignment horizontal="center" vertical="center" textRotation="90"/>
    </xf>
    <xf numFmtId="0" fontId="44" fillId="10" borderId="0" xfId="3" applyFont="1" applyFill="1" applyAlignment="1">
      <alignment horizontal="center" vertical="center" textRotation="90"/>
    </xf>
    <xf numFmtId="0" fontId="44" fillId="20" borderId="38" xfId="3" applyFont="1" applyFill="1" applyBorder="1" applyAlignment="1">
      <alignment horizontal="center" vertical="center" textRotation="90"/>
    </xf>
    <xf numFmtId="0" fontId="44" fillId="20" borderId="0" xfId="3" applyFont="1" applyFill="1" applyAlignment="1">
      <alignment horizontal="center" vertical="center" textRotation="90"/>
    </xf>
    <xf numFmtId="0" fontId="44" fillId="21" borderId="38" xfId="3" applyFont="1" applyFill="1" applyBorder="1" applyAlignment="1">
      <alignment horizontal="center" vertical="center" textRotation="90"/>
    </xf>
    <xf numFmtId="0" fontId="44" fillId="21" borderId="0" xfId="3" applyFont="1" applyFill="1" applyAlignment="1">
      <alignment horizontal="center" vertical="center" textRotation="90"/>
    </xf>
    <xf numFmtId="0" fontId="35" fillId="15" borderId="4" xfId="0" applyFont="1" applyFill="1" applyBorder="1" applyAlignment="1">
      <alignment horizontal="center" vertical="top" wrapText="1"/>
    </xf>
    <xf numFmtId="0" fontId="35" fillId="15" borderId="18" xfId="0" applyFont="1" applyFill="1" applyBorder="1" applyAlignment="1">
      <alignment horizontal="center" vertical="top" wrapText="1"/>
    </xf>
    <xf numFmtId="0" fontId="24" fillId="0" borderId="57" xfId="0" applyFont="1" applyBorder="1" applyAlignment="1">
      <alignment horizontal="justify" vertical="center" wrapText="1"/>
    </xf>
    <xf numFmtId="0" fontId="24" fillId="0" borderId="55" xfId="0" applyFont="1" applyBorder="1" applyAlignment="1">
      <alignment horizontal="justify" vertical="center" wrapText="1"/>
    </xf>
    <xf numFmtId="0" fontId="0" fillId="0" borderId="18" xfId="0" applyBorder="1" applyAlignment="1">
      <alignment horizontal="center" vertical="center" wrapText="1"/>
    </xf>
    <xf numFmtId="0" fontId="20" fillId="0" borderId="38" xfId="0" applyFont="1" applyBorder="1" applyAlignment="1">
      <alignment horizontal="center" vertical="center" wrapText="1"/>
    </xf>
    <xf numFmtId="14" fontId="37" fillId="15" borderId="18" xfId="0" applyNumberFormat="1" applyFont="1" applyFill="1" applyBorder="1" applyAlignment="1">
      <alignment horizontal="center" vertical="center" wrapText="1"/>
    </xf>
    <xf numFmtId="0" fontId="7" fillId="6" borderId="3" xfId="0" applyFont="1" applyFill="1" applyBorder="1" applyAlignment="1">
      <alignment horizontal="center" vertical="center"/>
    </xf>
    <xf numFmtId="0" fontId="19" fillId="6" borderId="3"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41" fillId="50" borderId="29" xfId="0" applyFont="1" applyFill="1" applyBorder="1" applyAlignment="1">
      <alignment horizontal="center" vertical="center"/>
    </xf>
    <xf numFmtId="0" fontId="41" fillId="50" borderId="37" xfId="0" applyFont="1" applyFill="1" applyBorder="1" applyAlignment="1">
      <alignment horizontal="center" vertical="center"/>
    </xf>
    <xf numFmtId="0" fontId="41" fillId="50" borderId="57" xfId="0" applyFont="1" applyFill="1" applyBorder="1" applyAlignment="1">
      <alignment horizontal="center" vertical="center"/>
    </xf>
    <xf numFmtId="0" fontId="35" fillId="15" borderId="4" xfId="2" applyFont="1" applyFill="1" applyBorder="1" applyAlignment="1">
      <alignment horizontal="center" vertical="center" wrapText="1"/>
    </xf>
    <xf numFmtId="0" fontId="35" fillId="15" borderId="18" xfId="2" applyFont="1" applyFill="1" applyBorder="1" applyAlignment="1">
      <alignment horizontal="center" vertical="center" wrapText="1"/>
    </xf>
    <xf numFmtId="0" fontId="24" fillId="0" borderId="57" xfId="0" applyFont="1" applyBorder="1" applyAlignment="1">
      <alignment horizontal="center" vertical="center" wrapText="1"/>
    </xf>
    <xf numFmtId="0" fontId="24" fillId="0" borderId="55" xfId="0" applyFont="1" applyBorder="1" applyAlignment="1">
      <alignment horizontal="center" vertical="center" wrapText="1"/>
    </xf>
    <xf numFmtId="9" fontId="39" fillId="28" borderId="0" xfId="0" applyNumberFormat="1" applyFont="1" applyFill="1" applyAlignment="1">
      <alignment horizontal="center" vertical="center" wrapText="1"/>
    </xf>
    <xf numFmtId="0" fontId="7" fillId="6" borderId="4" xfId="0" applyFont="1" applyFill="1" applyBorder="1" applyAlignment="1">
      <alignment horizontal="center" vertical="center"/>
    </xf>
    <xf numFmtId="0" fontId="7" fillId="6" borderId="18" xfId="0" applyFont="1" applyFill="1" applyBorder="1" applyAlignment="1">
      <alignment horizontal="center" vertical="center"/>
    </xf>
    <xf numFmtId="0" fontId="19" fillId="6" borderId="4" xfId="0" applyFont="1" applyFill="1" applyBorder="1" applyAlignment="1">
      <alignment horizontal="center" vertical="center" wrapText="1"/>
    </xf>
    <xf numFmtId="0" fontId="19" fillId="6" borderId="18"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44" fillId="10" borderId="27" xfId="3" applyFont="1" applyFill="1" applyBorder="1" applyAlignment="1">
      <alignment horizontal="center" vertical="center" textRotation="90"/>
    </xf>
    <xf numFmtId="0" fontId="44" fillId="10" borderId="29" xfId="3" applyFont="1" applyFill="1" applyBorder="1" applyAlignment="1">
      <alignment horizontal="center" vertical="center" textRotation="90"/>
    </xf>
    <xf numFmtId="0" fontId="44" fillId="18" borderId="37" xfId="3" applyFont="1" applyFill="1" applyBorder="1" applyAlignment="1">
      <alignment horizontal="center" vertical="center" textRotation="90"/>
    </xf>
    <xf numFmtId="0" fontId="44" fillId="19" borderId="37" xfId="3" applyFont="1" applyFill="1" applyBorder="1" applyAlignment="1">
      <alignment horizontal="center" vertical="center" textRotation="90"/>
    </xf>
    <xf numFmtId="0" fontId="37" fillId="15" borderId="4" xfId="2" applyFont="1" applyFill="1" applyBorder="1" applyAlignment="1">
      <alignment horizontal="center" vertical="center" wrapText="1"/>
    </xf>
    <xf numFmtId="0" fontId="37" fillId="15" borderId="18" xfId="2" applyFont="1" applyFill="1" applyBorder="1" applyAlignment="1">
      <alignment horizontal="center" vertical="center" wrapText="1"/>
    </xf>
    <xf numFmtId="0" fontId="44" fillId="20" borderId="37" xfId="3" applyFont="1" applyFill="1" applyBorder="1" applyAlignment="1">
      <alignment horizontal="center" vertical="center" textRotation="90"/>
    </xf>
    <xf numFmtId="0" fontId="46" fillId="15" borderId="4" xfId="2" applyFont="1" applyFill="1" applyBorder="1" applyAlignment="1">
      <alignment horizontal="center" vertical="center" wrapText="1"/>
    </xf>
    <xf numFmtId="0" fontId="46" fillId="15" borderId="18" xfId="2" applyFont="1" applyFill="1" applyBorder="1" applyAlignment="1">
      <alignment horizontal="center" vertical="center" wrapText="1"/>
    </xf>
    <xf numFmtId="0" fontId="24" fillId="0" borderId="4" xfId="0" applyFont="1" applyBorder="1" applyAlignment="1">
      <alignment horizontal="justify" vertical="center" wrapText="1"/>
    </xf>
    <xf numFmtId="0" fontId="76" fillId="0" borderId="18" xfId="0" applyFont="1" applyBorder="1" applyAlignment="1">
      <alignment horizontal="justify" vertical="center" wrapText="1"/>
    </xf>
    <xf numFmtId="0" fontId="76" fillId="0" borderId="3" xfId="0" applyFont="1" applyBorder="1" applyAlignment="1">
      <alignment horizontal="justify" vertical="center" wrapText="1"/>
    </xf>
    <xf numFmtId="0" fontId="24" fillId="0" borderId="17" xfId="0" applyFont="1" applyBorder="1" applyAlignment="1">
      <alignment horizontal="justify" vertical="center" wrapText="1"/>
    </xf>
    <xf numFmtId="0" fontId="24" fillId="0" borderId="30" xfId="0" applyFont="1" applyBorder="1" applyAlignment="1">
      <alignment horizontal="justify" vertical="center" wrapText="1"/>
    </xf>
    <xf numFmtId="0" fontId="73" fillId="0" borderId="4" xfId="0" applyFont="1" applyBorder="1" applyAlignment="1">
      <alignment horizontal="center" vertical="center" wrapText="1"/>
    </xf>
    <xf numFmtId="0" fontId="73" fillId="0" borderId="18" xfId="0" applyFont="1" applyBorder="1" applyAlignment="1">
      <alignment horizontal="center" vertical="center" wrapText="1"/>
    </xf>
    <xf numFmtId="0" fontId="35" fillId="15" borderId="4" xfId="4" applyFont="1" applyFill="1" applyBorder="1" applyAlignment="1">
      <alignment horizontal="center" vertical="center" wrapText="1"/>
    </xf>
    <xf numFmtId="0" fontId="35" fillId="15" borderId="18" xfId="4" applyFont="1" applyFill="1" applyBorder="1" applyAlignment="1">
      <alignment horizontal="center" vertical="center" wrapText="1"/>
    </xf>
    <xf numFmtId="0" fontId="74" fillId="50" borderId="19" xfId="0" applyFont="1" applyFill="1" applyBorder="1" applyAlignment="1">
      <alignment horizontal="center" vertical="center" wrapText="1"/>
    </xf>
    <xf numFmtId="0" fontId="74" fillId="50" borderId="18" xfId="0" applyFont="1" applyFill="1" applyBorder="1" applyAlignment="1">
      <alignment horizontal="center" vertical="center" wrapText="1"/>
    </xf>
    <xf numFmtId="0" fontId="33" fillId="49" borderId="42" xfId="4" applyFont="1" applyFill="1" applyBorder="1" applyAlignment="1">
      <alignment horizontal="center" vertical="center" wrapText="1"/>
    </xf>
    <xf numFmtId="0" fontId="33" fillId="49" borderId="3" xfId="4" applyFont="1" applyFill="1" applyBorder="1" applyAlignment="1">
      <alignment horizontal="center" vertical="center" wrapText="1"/>
    </xf>
    <xf numFmtId="0" fontId="34" fillId="50" borderId="24" xfId="4" applyFont="1" applyFill="1" applyBorder="1" applyAlignment="1">
      <alignment horizontal="center" vertical="center" wrapText="1"/>
    </xf>
    <xf numFmtId="0" fontId="34" fillId="50" borderId="18" xfId="4" applyFont="1" applyFill="1" applyBorder="1" applyAlignment="1">
      <alignment horizontal="center" vertical="center" wrapText="1"/>
    </xf>
    <xf numFmtId="0" fontId="34" fillId="50" borderId="4" xfId="4" applyFont="1" applyFill="1" applyBorder="1" applyAlignment="1">
      <alignment horizontal="center" vertical="center" wrapText="1"/>
    </xf>
    <xf numFmtId="0" fontId="88" fillId="15" borderId="4" xfId="4" applyFont="1" applyFill="1" applyBorder="1" applyAlignment="1">
      <alignment horizontal="center" vertical="center" wrapText="1"/>
    </xf>
    <xf numFmtId="0" fontId="88" fillId="15" borderId="18" xfId="4" applyFont="1" applyFill="1" applyBorder="1" applyAlignment="1">
      <alignment horizontal="center" vertical="center" wrapText="1"/>
    </xf>
    <xf numFmtId="0" fontId="89" fillId="15" borderId="4" xfId="0" applyFont="1" applyFill="1" applyBorder="1" applyAlignment="1">
      <alignment horizontal="center" vertical="center" wrapText="1"/>
    </xf>
    <xf numFmtId="0" fontId="89" fillId="15" borderId="18" xfId="0" applyFont="1" applyFill="1" applyBorder="1" applyAlignment="1">
      <alignment horizontal="center" vertical="center" wrapText="1"/>
    </xf>
    <xf numFmtId="0" fontId="37" fillId="0" borderId="3" xfId="0" applyFont="1" applyBorder="1" applyAlignment="1">
      <alignment horizontal="left" vertical="center" wrapText="1"/>
    </xf>
    <xf numFmtId="0" fontId="0" fillId="0" borderId="3" xfId="0" applyBorder="1" applyAlignment="1">
      <alignment horizontal="center" vertical="center"/>
    </xf>
    <xf numFmtId="0" fontId="42" fillId="38" borderId="27" xfId="0" applyFont="1" applyFill="1" applyBorder="1" applyAlignment="1">
      <alignment horizontal="left" vertical="center"/>
    </xf>
    <xf numFmtId="0" fontId="42" fillId="38" borderId="38" xfId="0" applyFont="1" applyFill="1" applyBorder="1" applyAlignment="1">
      <alignment horizontal="left" vertical="center"/>
    </xf>
    <xf numFmtId="0" fontId="42" fillId="38" borderId="26" xfId="0" applyFont="1" applyFill="1" applyBorder="1" applyAlignment="1">
      <alignment horizontal="left" vertical="center"/>
    </xf>
    <xf numFmtId="0" fontId="42" fillId="38" borderId="50" xfId="0" applyFont="1" applyFill="1" applyBorder="1" applyAlignment="1">
      <alignment horizontal="left" vertical="center"/>
    </xf>
    <xf numFmtId="0" fontId="42" fillId="38" borderId="29" xfId="0" applyFont="1" applyFill="1" applyBorder="1" applyAlignment="1">
      <alignment horizontal="left" vertical="center"/>
    </xf>
    <xf numFmtId="0" fontId="42" fillId="38" borderId="37" xfId="0" applyFont="1" applyFill="1" applyBorder="1" applyAlignment="1">
      <alignment horizontal="left" vertical="center"/>
    </xf>
    <xf numFmtId="0" fontId="42" fillId="38" borderId="28" xfId="0" applyFont="1" applyFill="1" applyBorder="1" applyAlignment="1">
      <alignment horizontal="left" vertical="center"/>
    </xf>
    <xf numFmtId="9" fontId="39" fillId="28" borderId="52" xfId="0" applyNumberFormat="1" applyFont="1" applyFill="1" applyBorder="1" applyAlignment="1">
      <alignment horizontal="center" vertical="center" wrapText="1"/>
    </xf>
    <xf numFmtId="0" fontId="39" fillId="17" borderId="4" xfId="0" applyFont="1" applyFill="1" applyBorder="1" applyAlignment="1">
      <alignment horizontal="right" vertical="center"/>
    </xf>
    <xf numFmtId="164" fontId="39" fillId="5" borderId="18" xfId="0" applyNumberFormat="1" applyFont="1" applyFill="1" applyBorder="1" applyAlignment="1">
      <alignment horizontal="center" vertical="center" wrapText="1"/>
    </xf>
    <xf numFmtId="0" fontId="39" fillId="17" borderId="4" xfId="0" applyFont="1" applyFill="1" applyBorder="1" applyAlignment="1">
      <alignment horizontal="right" vertical="center" wrapText="1"/>
    </xf>
    <xf numFmtId="0" fontId="105" fillId="0" borderId="4" xfId="0" applyFont="1" applyBorder="1" applyAlignment="1">
      <alignment horizontal="center" vertical="center" wrapText="1"/>
    </xf>
    <xf numFmtId="0" fontId="105" fillId="0" borderId="18" xfId="0" applyFont="1" applyBorder="1" applyAlignment="1">
      <alignment horizontal="center" vertical="center" wrapText="1"/>
    </xf>
    <xf numFmtId="0" fontId="37" fillId="25" borderId="27" xfId="2" applyFont="1" applyFill="1" applyBorder="1" applyAlignment="1">
      <alignment horizontal="center" vertical="center" wrapText="1"/>
    </xf>
    <xf numFmtId="0" fontId="37" fillId="25" borderId="29" xfId="2" applyFont="1" applyFill="1" applyBorder="1" applyAlignment="1">
      <alignment horizontal="center" vertical="center" wrapText="1"/>
    </xf>
    <xf numFmtId="0" fontId="41" fillId="50" borderId="49" xfId="0" applyFont="1" applyFill="1" applyBorder="1" applyAlignment="1">
      <alignment horizontal="center" vertical="center"/>
    </xf>
    <xf numFmtId="0" fontId="41" fillId="50" borderId="0" xfId="0" applyFont="1" applyFill="1" applyAlignment="1">
      <alignment horizontal="center" vertical="center"/>
    </xf>
    <xf numFmtId="0" fontId="41" fillId="50" borderId="52" xfId="0" applyFont="1" applyFill="1" applyBorder="1" applyAlignment="1">
      <alignment horizontal="center" vertical="center"/>
    </xf>
    <xf numFmtId="0" fontId="81" fillId="0" borderId="57" xfId="0" applyFont="1" applyBorder="1" applyAlignment="1">
      <alignment horizontal="justify" vertical="center" wrapText="1"/>
    </xf>
    <xf numFmtId="0" fontId="81" fillId="0" borderId="55" xfId="0" applyFont="1" applyBorder="1" applyAlignment="1">
      <alignment horizontal="justify" vertical="center" wrapText="1"/>
    </xf>
    <xf numFmtId="0" fontId="1" fillId="25" borderId="4" xfId="2" applyFont="1" applyFill="1" applyBorder="1" applyAlignment="1">
      <alignment horizontal="center" vertical="center" wrapText="1"/>
    </xf>
    <xf numFmtId="0" fontId="1" fillId="25" borderId="18" xfId="2" applyFont="1" applyFill="1" applyBorder="1" applyAlignment="1">
      <alignment horizontal="center" vertical="center" wrapText="1"/>
    </xf>
    <xf numFmtId="0" fontId="81" fillId="0" borderId="50" xfId="0" applyFont="1" applyBorder="1" applyAlignment="1">
      <alignment horizontal="center" vertical="center" wrapText="1"/>
    </xf>
    <xf numFmtId="0" fontId="81" fillId="0" borderId="28" xfId="0" applyFont="1" applyBorder="1" applyAlignment="1">
      <alignment horizontal="center" vertical="center" wrapText="1"/>
    </xf>
    <xf numFmtId="0" fontId="81" fillId="0" borderId="18" xfId="0" applyFont="1" applyBorder="1" applyAlignment="1">
      <alignment horizontal="justify" vertical="center" wrapText="1"/>
    </xf>
    <xf numFmtId="0" fontId="81" fillId="0" borderId="3" xfId="0" applyFont="1" applyBorder="1" applyAlignment="1">
      <alignment horizontal="justify" vertical="center" wrapText="1"/>
    </xf>
    <xf numFmtId="0" fontId="37" fillId="25" borderId="4" xfId="2" applyFont="1" applyFill="1" applyBorder="1" applyAlignment="1">
      <alignment horizontal="center" vertical="center" wrapText="1"/>
    </xf>
    <xf numFmtId="0" fontId="37" fillId="25" borderId="18" xfId="2" applyFont="1" applyFill="1" applyBorder="1" applyAlignment="1">
      <alignment horizontal="center" vertical="center" wrapText="1"/>
    </xf>
    <xf numFmtId="14" fontId="37" fillId="25" borderId="27" xfId="2" applyNumberFormat="1" applyFont="1" applyFill="1" applyBorder="1" applyAlignment="1">
      <alignment horizontal="center" vertical="center" wrapText="1"/>
    </xf>
    <xf numFmtId="14" fontId="37" fillId="25" borderId="29" xfId="2" applyNumberFormat="1" applyFont="1" applyFill="1" applyBorder="1" applyAlignment="1">
      <alignment horizontal="center" vertical="center" wrapText="1"/>
    </xf>
    <xf numFmtId="9" fontId="35" fillId="15" borderId="3" xfId="0" applyNumberFormat="1" applyFont="1" applyFill="1" applyBorder="1" applyAlignment="1">
      <alignment horizontal="center" vertical="center" wrapText="1"/>
    </xf>
    <xf numFmtId="0" fontId="37" fillId="25" borderId="49" xfId="2" applyFont="1" applyFill="1" applyBorder="1" applyAlignment="1">
      <alignment horizontal="center" vertical="center" wrapText="1"/>
    </xf>
    <xf numFmtId="0" fontId="37" fillId="25" borderId="3" xfId="2" applyFont="1" applyFill="1" applyBorder="1" applyAlignment="1">
      <alignment horizontal="center" vertical="center" wrapText="1"/>
    </xf>
    <xf numFmtId="0" fontId="1" fillId="25" borderId="3" xfId="2" applyFont="1" applyFill="1" applyBorder="1" applyAlignment="1">
      <alignment horizontal="center" vertical="center" wrapText="1"/>
    </xf>
    <xf numFmtId="14" fontId="37" fillId="25" borderId="4" xfId="2" applyNumberFormat="1" applyFont="1" applyFill="1" applyBorder="1" applyAlignment="1">
      <alignment horizontal="center" vertical="center" wrapText="1"/>
    </xf>
    <xf numFmtId="14" fontId="37" fillId="25" borderId="18" xfId="2" applyNumberFormat="1" applyFont="1" applyFill="1" applyBorder="1" applyAlignment="1">
      <alignment horizontal="center" vertical="center" wrapText="1"/>
    </xf>
    <xf numFmtId="0" fontId="35" fillId="0" borderId="49" xfId="4" applyFont="1" applyBorder="1" applyAlignment="1">
      <alignment horizontal="center"/>
    </xf>
    <xf numFmtId="0" fontId="35" fillId="0" borderId="0" xfId="4" applyFont="1" applyAlignment="1">
      <alignment horizontal="center"/>
    </xf>
    <xf numFmtId="0" fontId="42" fillId="47" borderId="38" xfId="0" applyFont="1" applyFill="1" applyBorder="1" applyAlignment="1">
      <alignment horizontal="left" vertical="center"/>
    </xf>
    <xf numFmtId="0" fontId="42" fillId="47" borderId="26" xfId="0" applyFont="1" applyFill="1" applyBorder="1" applyAlignment="1">
      <alignment horizontal="left" vertical="center"/>
    </xf>
    <xf numFmtId="0" fontId="42" fillId="47" borderId="0" xfId="0" applyFont="1" applyFill="1" applyAlignment="1">
      <alignment horizontal="left" vertical="center"/>
    </xf>
    <xf numFmtId="0" fontId="42" fillId="47" borderId="50" xfId="0" applyFont="1" applyFill="1" applyBorder="1" applyAlignment="1">
      <alignment horizontal="left" vertical="center"/>
    </xf>
    <xf numFmtId="0" fontId="41" fillId="49" borderId="40" xfId="0" applyFont="1" applyFill="1" applyBorder="1" applyAlignment="1">
      <alignment horizontal="center" vertical="center" wrapText="1"/>
    </xf>
    <xf numFmtId="0" fontId="41" fillId="49" borderId="53" xfId="0" applyFont="1" applyFill="1" applyBorder="1" applyAlignment="1">
      <alignment horizontal="center" vertical="center" wrapText="1"/>
    </xf>
    <xf numFmtId="0" fontId="41" fillId="50" borderId="45" xfId="0" applyFont="1" applyFill="1" applyBorder="1" applyAlignment="1">
      <alignment horizontal="center" vertical="center"/>
    </xf>
    <xf numFmtId="0" fontId="41" fillId="50" borderId="40" xfId="0" applyFont="1" applyFill="1" applyBorder="1" applyAlignment="1">
      <alignment horizontal="center" vertical="center"/>
    </xf>
    <xf numFmtId="0" fontId="88" fillId="15" borderId="4" xfId="0" applyFont="1" applyFill="1" applyBorder="1" applyAlignment="1">
      <alignment horizontal="center" vertical="center" wrapText="1"/>
    </xf>
    <xf numFmtId="0" fontId="88" fillId="15" borderId="19" xfId="0" applyFont="1" applyFill="1" applyBorder="1" applyAlignment="1">
      <alignment horizontal="center" vertical="center" wrapText="1"/>
    </xf>
    <xf numFmtId="0" fontId="88" fillId="15" borderId="3" xfId="0" applyFont="1" applyFill="1" applyBorder="1" applyAlignment="1">
      <alignment horizontal="center" vertical="center" wrapText="1"/>
    </xf>
    <xf numFmtId="0" fontId="88" fillId="15" borderId="18" xfId="0" applyFont="1" applyFill="1" applyBorder="1" applyAlignment="1">
      <alignment horizontal="center" vertical="center" wrapText="1"/>
    </xf>
    <xf numFmtId="0" fontId="62" fillId="0" borderId="0" xfId="4" applyFont="1"/>
    <xf numFmtId="0" fontId="35" fillId="0" borderId="49" xfId="4" applyFont="1" applyBorder="1"/>
    <xf numFmtId="0" fontId="35" fillId="0" borderId="0" xfId="4" applyFont="1"/>
    <xf numFmtId="0" fontId="47" fillId="15" borderId="27" xfId="4" applyFont="1" applyFill="1" applyBorder="1" applyAlignment="1">
      <alignment horizontal="center" vertical="center" wrapText="1"/>
    </xf>
    <xf numFmtId="0" fontId="47" fillId="15" borderId="38" xfId="4" applyFont="1" applyFill="1" applyBorder="1" applyAlignment="1">
      <alignment horizontal="center" vertical="center" wrapText="1"/>
    </xf>
    <xf numFmtId="0" fontId="47" fillId="15" borderId="26" xfId="4" applyFont="1" applyFill="1" applyBorder="1" applyAlignment="1">
      <alignment horizontal="center" vertical="center" wrapText="1"/>
    </xf>
    <xf numFmtId="0" fontId="47" fillId="15" borderId="49" xfId="4" applyFont="1" applyFill="1" applyBorder="1" applyAlignment="1">
      <alignment horizontal="center" vertical="center" wrapText="1"/>
    </xf>
    <xf numFmtId="0" fontId="47" fillId="15" borderId="0" xfId="4" applyFont="1" applyFill="1" applyAlignment="1">
      <alignment horizontal="center" vertical="center" wrapText="1"/>
    </xf>
    <xf numFmtId="0" fontId="47" fillId="15" borderId="50" xfId="4" applyFont="1" applyFill="1" applyBorder="1" applyAlignment="1">
      <alignment horizontal="center" vertical="center" wrapText="1"/>
    </xf>
    <xf numFmtId="0" fontId="42" fillId="24" borderId="27" xfId="0" applyFont="1" applyFill="1" applyBorder="1" applyAlignment="1">
      <alignment horizontal="center" vertical="center"/>
    </xf>
    <xf numFmtId="0" fontId="42" fillId="24" borderId="38" xfId="0" applyFont="1" applyFill="1" applyBorder="1" applyAlignment="1">
      <alignment horizontal="center" vertical="center"/>
    </xf>
    <xf numFmtId="0" fontId="42" fillId="24" borderId="26" xfId="0" applyFont="1" applyFill="1" applyBorder="1" applyAlignment="1">
      <alignment horizontal="center" vertical="center"/>
    </xf>
    <xf numFmtId="0" fontId="42" fillId="24" borderId="29" xfId="0" applyFont="1" applyFill="1" applyBorder="1" applyAlignment="1">
      <alignment horizontal="center" vertical="center"/>
    </xf>
    <xf numFmtId="0" fontId="42" fillId="24" borderId="37" xfId="0" applyFont="1" applyFill="1" applyBorder="1" applyAlignment="1">
      <alignment horizontal="center" vertical="center"/>
    </xf>
    <xf numFmtId="0" fontId="42" fillId="24" borderId="28" xfId="0" applyFont="1" applyFill="1" applyBorder="1" applyAlignment="1">
      <alignment horizontal="center" vertical="center"/>
    </xf>
    <xf numFmtId="0" fontId="43" fillId="25" borderId="27" xfId="0" applyFont="1" applyFill="1" applyBorder="1" applyAlignment="1">
      <alignment horizontal="center" vertical="center"/>
    </xf>
    <xf numFmtId="0" fontId="43" fillId="25" borderId="38" xfId="0" applyFont="1" applyFill="1" applyBorder="1" applyAlignment="1">
      <alignment horizontal="center" vertical="center"/>
    </xf>
    <xf numFmtId="0" fontId="43" fillId="25" borderId="26" xfId="0" applyFont="1" applyFill="1" applyBorder="1" applyAlignment="1">
      <alignment horizontal="center" vertical="center"/>
    </xf>
    <xf numFmtId="0" fontId="43" fillId="25" borderId="29" xfId="0" applyFont="1" applyFill="1" applyBorder="1" applyAlignment="1">
      <alignment horizontal="center" vertical="center"/>
    </xf>
    <xf numFmtId="0" fontId="43" fillId="25" borderId="37" xfId="0" applyFont="1" applyFill="1" applyBorder="1" applyAlignment="1">
      <alignment horizontal="center" vertical="center"/>
    </xf>
    <xf numFmtId="0" fontId="43" fillId="25" borderId="28" xfId="0" applyFont="1" applyFill="1" applyBorder="1" applyAlignment="1">
      <alignment horizontal="center" vertical="center"/>
    </xf>
    <xf numFmtId="0" fontId="35" fillId="0" borderId="50" xfId="4" applyFont="1" applyBorder="1"/>
    <xf numFmtId="0" fontId="62" fillId="0" borderId="40" xfId="4" applyFont="1" applyBorder="1" applyAlignment="1">
      <alignment horizontal="center" vertical="center"/>
    </xf>
    <xf numFmtId="0" fontId="35" fillId="41" borderId="0" xfId="4" applyFont="1" applyFill="1"/>
    <xf numFmtId="0" fontId="35" fillId="0" borderId="52" xfId="4" applyFont="1" applyBorder="1"/>
    <xf numFmtId="0" fontId="48" fillId="0" borderId="23" xfId="4" applyFont="1" applyBorder="1" applyAlignment="1">
      <alignment horizontal="center" vertical="center"/>
    </xf>
    <xf numFmtId="0" fontId="48" fillId="0" borderId="60" xfId="4" applyFont="1" applyBorder="1" applyAlignment="1">
      <alignment horizontal="center" vertical="center"/>
    </xf>
    <xf numFmtId="0" fontId="48" fillId="0" borderId="64" xfId="4" applyFont="1" applyBorder="1" applyAlignment="1">
      <alignment horizontal="center" vertical="center"/>
    </xf>
    <xf numFmtId="0" fontId="90" fillId="15" borderId="20" xfId="4" applyFont="1" applyFill="1" applyBorder="1" applyAlignment="1">
      <alignment horizontal="center" vertical="center" wrapText="1"/>
    </xf>
    <xf numFmtId="0" fontId="90" fillId="15" borderId="31" xfId="4" applyFont="1" applyFill="1" applyBorder="1" applyAlignment="1">
      <alignment horizontal="center" vertical="center" wrapText="1"/>
    </xf>
    <xf numFmtId="0" fontId="106" fillId="53" borderId="61" xfId="4" applyFont="1" applyFill="1" applyBorder="1" applyAlignment="1">
      <alignment horizontal="center" vertical="center" wrapText="1"/>
    </xf>
    <xf numFmtId="0" fontId="88" fillId="15" borderId="60" xfId="4" applyFont="1" applyFill="1" applyBorder="1" applyAlignment="1">
      <alignment horizontal="center" vertical="center" wrapText="1"/>
    </xf>
    <xf numFmtId="0" fontId="88" fillId="15" borderId="30" xfId="4" applyFont="1" applyFill="1" applyBorder="1" applyAlignment="1">
      <alignment horizontal="center" vertical="center" wrapText="1"/>
    </xf>
    <xf numFmtId="14" fontId="88" fillId="0" borderId="50" xfId="4" applyNumberFormat="1" applyFont="1" applyBorder="1" applyAlignment="1">
      <alignment horizontal="center" vertical="center"/>
    </xf>
    <xf numFmtId="14" fontId="88" fillId="0" borderId="28" xfId="4" applyNumberFormat="1" applyFont="1" applyBorder="1" applyAlignment="1">
      <alignment horizontal="center" vertical="center"/>
    </xf>
    <xf numFmtId="14" fontId="88" fillId="0" borderId="19" xfId="4" applyNumberFormat="1" applyFont="1" applyBorder="1" applyAlignment="1">
      <alignment horizontal="center" vertical="center"/>
    </xf>
    <xf numFmtId="14" fontId="88" fillId="0" borderId="18" xfId="4" applyNumberFormat="1" applyFont="1" applyBorder="1" applyAlignment="1">
      <alignment horizontal="center" vertical="center"/>
    </xf>
    <xf numFmtId="164" fontId="63" fillId="0" borderId="25" xfId="4" applyNumberFormat="1" applyFont="1" applyBorder="1" applyAlignment="1">
      <alignment horizontal="center" vertical="center" wrapText="1"/>
    </xf>
    <xf numFmtId="164" fontId="63" fillId="0" borderId="20" xfId="4" applyNumberFormat="1" applyFont="1" applyBorder="1" applyAlignment="1">
      <alignment horizontal="center" vertical="center" wrapText="1"/>
    </xf>
    <xf numFmtId="164" fontId="63" fillId="0" borderId="54" xfId="4" applyNumberFormat="1" applyFont="1" applyBorder="1" applyAlignment="1">
      <alignment horizontal="center" vertical="center" wrapText="1"/>
    </xf>
    <xf numFmtId="0" fontId="90" fillId="15" borderId="13" xfId="4" applyFont="1" applyFill="1" applyBorder="1" applyAlignment="1">
      <alignment horizontal="center" vertical="center" wrapText="1"/>
    </xf>
    <xf numFmtId="0" fontId="88" fillId="15" borderId="17" xfId="4" applyFont="1" applyFill="1" applyBorder="1" applyAlignment="1">
      <alignment horizontal="center" vertical="center" wrapText="1"/>
    </xf>
    <xf numFmtId="0" fontId="92" fillId="15" borderId="4" xfId="4" applyFont="1" applyFill="1" applyBorder="1" applyAlignment="1">
      <alignment horizontal="center" vertical="center" wrapText="1"/>
    </xf>
    <xf numFmtId="0" fontId="92" fillId="15" borderId="18" xfId="4" applyFont="1" applyFill="1" applyBorder="1" applyAlignment="1">
      <alignment horizontal="center" vertical="center" wrapText="1"/>
    </xf>
    <xf numFmtId="164" fontId="69" fillId="35" borderId="23" xfId="4" applyNumberFormat="1" applyFont="1" applyFill="1" applyBorder="1" applyAlignment="1">
      <alignment horizontal="center" vertical="center" wrapText="1"/>
    </xf>
    <xf numFmtId="164" fontId="69" fillId="35" borderId="60" xfId="4" applyNumberFormat="1" applyFont="1" applyFill="1" applyBorder="1" applyAlignment="1">
      <alignment horizontal="center" vertical="center" wrapText="1"/>
    </xf>
    <xf numFmtId="164" fontId="69" fillId="35" borderId="64" xfId="4" applyNumberFormat="1" applyFont="1" applyFill="1" applyBorder="1" applyAlignment="1">
      <alignment horizontal="center" vertical="center" wrapText="1"/>
    </xf>
    <xf numFmtId="0" fontId="58" fillId="0" borderId="39" xfId="4" applyFont="1" applyBorder="1" applyAlignment="1">
      <alignment horizontal="left" vertical="center" wrapText="1"/>
    </xf>
    <xf numFmtId="164" fontId="64" fillId="15" borderId="10" xfId="4" applyNumberFormat="1" applyFont="1" applyFill="1" applyBorder="1" applyAlignment="1">
      <alignment horizontal="center" vertical="center"/>
    </xf>
    <xf numFmtId="164" fontId="64" fillId="15" borderId="13" xfId="4" applyNumberFormat="1" applyFont="1" applyFill="1" applyBorder="1" applyAlignment="1">
      <alignment horizontal="center" vertical="center"/>
    </xf>
    <xf numFmtId="0" fontId="35" fillId="15" borderId="37" xfId="4" applyFont="1" applyFill="1" applyBorder="1" applyAlignment="1">
      <alignment horizontal="left" vertical="center" wrapText="1"/>
    </xf>
    <xf numFmtId="0" fontId="35" fillId="15" borderId="39" xfId="4" applyFont="1" applyFill="1" applyBorder="1" applyAlignment="1">
      <alignment horizontal="left" vertical="center" wrapText="1"/>
    </xf>
    <xf numFmtId="164" fontId="64" fillId="15" borderId="8" xfId="4" applyNumberFormat="1" applyFont="1" applyFill="1" applyBorder="1" applyAlignment="1">
      <alignment horizontal="center" vertical="center"/>
    </xf>
    <xf numFmtId="0" fontId="35" fillId="15" borderId="37" xfId="4" applyFont="1" applyFill="1" applyBorder="1" applyAlignment="1">
      <alignment vertical="center" wrapText="1"/>
    </xf>
    <xf numFmtId="0" fontId="35" fillId="15" borderId="39" xfId="4" applyFont="1" applyFill="1" applyBorder="1" applyAlignment="1">
      <alignment vertical="center" wrapText="1"/>
    </xf>
    <xf numFmtId="0" fontId="92" fillId="15" borderId="24" xfId="4" applyFont="1" applyFill="1" applyBorder="1" applyAlignment="1">
      <alignment horizontal="center" vertical="center" wrapText="1"/>
    </xf>
    <xf numFmtId="9" fontId="60" fillId="0" borderId="20" xfId="4" applyNumberFormat="1" applyFont="1" applyBorder="1" applyAlignment="1">
      <alignment horizontal="center" vertical="center"/>
    </xf>
    <xf numFmtId="9" fontId="60" fillId="0" borderId="31" xfId="4" applyNumberFormat="1" applyFont="1" applyBorder="1" applyAlignment="1">
      <alignment horizontal="center" vertical="center"/>
    </xf>
    <xf numFmtId="9" fontId="60" fillId="0" borderId="63" xfId="4" applyNumberFormat="1" applyFont="1" applyBorder="1" applyAlignment="1">
      <alignment horizontal="center" vertical="center"/>
    </xf>
    <xf numFmtId="9" fontId="60" fillId="0" borderId="65" xfId="4" applyNumberFormat="1" applyFont="1" applyBorder="1" applyAlignment="1">
      <alignment horizontal="center" vertical="center"/>
    </xf>
    <xf numFmtId="9" fontId="68" fillId="0" borderId="34" xfId="4" applyNumberFormat="1" applyFont="1" applyBorder="1" applyAlignment="1">
      <alignment horizontal="center" vertical="center"/>
    </xf>
    <xf numFmtId="0" fontId="68" fillId="0" borderId="75" xfId="4" applyFont="1" applyBorder="1" applyAlignment="1">
      <alignment horizontal="center" vertical="center"/>
    </xf>
    <xf numFmtId="0" fontId="68" fillId="0" borderId="76" xfId="4" applyFont="1" applyBorder="1" applyAlignment="1">
      <alignment horizontal="center" vertical="center"/>
    </xf>
    <xf numFmtId="0" fontId="58" fillId="0" borderId="41" xfId="4" applyFont="1" applyBorder="1" applyAlignment="1">
      <alignment horizontal="left" vertical="center" wrapText="1"/>
    </xf>
    <xf numFmtId="0" fontId="88" fillId="15" borderId="19" xfId="4" applyFont="1" applyFill="1" applyBorder="1" applyAlignment="1">
      <alignment horizontal="center" vertical="center" wrapText="1"/>
    </xf>
    <xf numFmtId="0" fontId="92" fillId="15" borderId="19" xfId="4" applyFont="1" applyFill="1" applyBorder="1" applyAlignment="1">
      <alignment horizontal="center" vertical="center" wrapText="1"/>
    </xf>
    <xf numFmtId="0" fontId="92" fillId="15" borderId="49" xfId="4" applyFont="1" applyFill="1" applyBorder="1" applyAlignment="1">
      <alignment horizontal="center" vertical="center" wrapText="1"/>
    </xf>
    <xf numFmtId="0" fontId="92" fillId="15" borderId="29" xfId="4" applyFont="1" applyFill="1" applyBorder="1" applyAlignment="1">
      <alignment horizontal="center" vertical="center" wrapText="1"/>
    </xf>
    <xf numFmtId="0" fontId="35" fillId="15" borderId="41" xfId="4" applyFont="1" applyFill="1" applyBorder="1" applyAlignment="1">
      <alignment horizontal="left" vertical="center" wrapText="1"/>
    </xf>
    <xf numFmtId="164" fontId="64" fillId="15" borderId="31" xfId="4" applyNumberFormat="1" applyFont="1" applyFill="1" applyBorder="1" applyAlignment="1">
      <alignment horizontal="center" vertical="center"/>
    </xf>
    <xf numFmtId="164" fontId="64" fillId="15" borderId="12" xfId="4" applyNumberFormat="1" applyFont="1" applyFill="1" applyBorder="1" applyAlignment="1">
      <alignment horizontal="center" vertical="center"/>
    </xf>
    <xf numFmtId="9" fontId="60" fillId="0" borderId="13" xfId="4" applyNumberFormat="1" applyFont="1" applyBorder="1" applyAlignment="1">
      <alignment horizontal="center" vertical="center"/>
    </xf>
    <xf numFmtId="0" fontId="35" fillId="23" borderId="39" xfId="10" applyFont="1" applyFill="1" applyBorder="1" applyAlignment="1">
      <alignment horizontal="left" vertical="center" wrapText="1"/>
    </xf>
    <xf numFmtId="0" fontId="35" fillId="23" borderId="41" xfId="10" applyFont="1" applyFill="1" applyBorder="1" applyAlignment="1">
      <alignment horizontal="left" vertical="center" wrapText="1"/>
    </xf>
    <xf numFmtId="0" fontId="35" fillId="15" borderId="0" xfId="4" applyFont="1" applyFill="1"/>
    <xf numFmtId="0" fontId="48" fillId="15" borderId="66" xfId="4" applyFont="1" applyFill="1" applyBorder="1" applyAlignment="1">
      <alignment horizontal="center" vertical="center"/>
    </xf>
    <xf numFmtId="0" fontId="48" fillId="15" borderId="46" xfId="4" applyFont="1" applyFill="1" applyBorder="1" applyAlignment="1">
      <alignment horizontal="center" vertical="center"/>
    </xf>
    <xf numFmtId="0" fontId="48" fillId="15" borderId="73" xfId="4" applyFont="1" applyFill="1" applyBorder="1" applyAlignment="1">
      <alignment horizontal="center" vertical="center"/>
    </xf>
    <xf numFmtId="0" fontId="88" fillId="15" borderId="5" xfId="4" applyFont="1" applyFill="1" applyBorder="1" applyAlignment="1">
      <alignment horizontal="center" vertical="center" wrapText="1"/>
    </xf>
    <xf numFmtId="0" fontId="88" fillId="15" borderId="3" xfId="4" applyFont="1" applyFill="1" applyBorder="1" applyAlignment="1">
      <alignment horizontal="center" vertical="center" wrapText="1"/>
    </xf>
    <xf numFmtId="0" fontId="92" fillId="0" borderId="5" xfId="4" applyFont="1" applyBorder="1" applyAlignment="1">
      <alignment horizontal="center" vertical="center" wrapText="1"/>
    </xf>
    <xf numFmtId="0" fontId="92" fillId="0" borderId="3" xfId="4" applyFont="1" applyBorder="1" applyAlignment="1">
      <alignment horizontal="center" vertical="center" wrapText="1"/>
    </xf>
    <xf numFmtId="0" fontId="92" fillId="15" borderId="5" xfId="4" applyFont="1" applyFill="1" applyBorder="1" applyAlignment="1">
      <alignment horizontal="center" vertical="center" wrapText="1"/>
    </xf>
    <xf numFmtId="0" fontId="92" fillId="15" borderId="3" xfId="4" applyFont="1" applyFill="1" applyBorder="1" applyAlignment="1">
      <alignment horizontal="center" vertical="center" wrapText="1"/>
    </xf>
    <xf numFmtId="164" fontId="60" fillId="0" borderId="8" xfId="4" applyNumberFormat="1" applyFont="1" applyBorder="1" applyAlignment="1">
      <alignment horizontal="center" vertical="center"/>
    </xf>
    <xf numFmtId="164" fontId="60" fillId="0" borderId="10" xfId="4" applyNumberFormat="1" applyFont="1" applyBorder="1" applyAlignment="1">
      <alignment horizontal="center" vertical="center"/>
    </xf>
    <xf numFmtId="0" fontId="35" fillId="15" borderId="52" xfId="4" applyFont="1" applyFill="1" applyBorder="1"/>
    <xf numFmtId="0" fontId="35" fillId="15" borderId="43" xfId="4" applyFont="1" applyFill="1" applyBorder="1" applyAlignment="1">
      <alignment horizontal="left" vertical="center" wrapText="1"/>
    </xf>
    <xf numFmtId="0" fontId="16" fillId="0" borderId="37" xfId="0" applyFont="1" applyBorder="1" applyAlignment="1">
      <alignment horizontal="left" vertical="center" wrapText="1"/>
    </xf>
    <xf numFmtId="0" fontId="16" fillId="0" borderId="39" xfId="0" applyFont="1" applyBorder="1" applyAlignment="1">
      <alignment horizontal="left" vertical="center" wrapText="1"/>
    </xf>
    <xf numFmtId="9" fontId="67" fillId="0" borderId="77" xfId="4" applyNumberFormat="1" applyFont="1" applyBorder="1" applyAlignment="1">
      <alignment horizontal="center" vertical="center"/>
    </xf>
    <xf numFmtId="0" fontId="67" fillId="0" borderId="75" xfId="4" applyFont="1" applyBorder="1" applyAlignment="1">
      <alignment horizontal="center" vertical="center"/>
    </xf>
    <xf numFmtId="0" fontId="67" fillId="0" borderId="76" xfId="4" applyFont="1" applyBorder="1" applyAlignment="1">
      <alignment horizontal="center" vertical="center"/>
    </xf>
    <xf numFmtId="0" fontId="35" fillId="0" borderId="39" xfId="4" applyFont="1" applyBorder="1" applyAlignment="1">
      <alignment horizontal="center" vertical="center" wrapText="1"/>
    </xf>
    <xf numFmtId="0" fontId="92" fillId="0" borderId="24" xfId="0" applyFont="1" applyBorder="1" applyAlignment="1">
      <alignment horizontal="center" vertical="center" wrapText="1"/>
    </xf>
    <xf numFmtId="0" fontId="92" fillId="0" borderId="18" xfId="0" applyFont="1" applyBorder="1" applyAlignment="1">
      <alignment horizontal="center" vertical="center" wrapText="1"/>
    </xf>
    <xf numFmtId="164" fontId="60" fillId="0" borderId="13" xfId="1" applyNumberFormat="1" applyFont="1" applyBorder="1" applyAlignment="1">
      <alignment horizontal="center" vertical="center"/>
    </xf>
    <xf numFmtId="164" fontId="60" fillId="0" borderId="31" xfId="1" applyNumberFormat="1" applyFont="1" applyBorder="1" applyAlignment="1">
      <alignment horizontal="center" vertical="center"/>
    </xf>
    <xf numFmtId="10" fontId="63" fillId="0" borderId="25" xfId="4" applyNumberFormat="1" applyFont="1" applyBorder="1" applyAlignment="1">
      <alignment horizontal="center" vertical="center" wrapText="1"/>
    </xf>
    <xf numFmtId="10" fontId="63" fillId="0" borderId="20" xfId="4" applyNumberFormat="1" applyFont="1" applyBorder="1" applyAlignment="1">
      <alignment horizontal="center" vertical="center" wrapText="1"/>
    </xf>
    <xf numFmtId="0" fontId="69" fillId="35" borderId="60" xfId="4" applyFont="1" applyFill="1" applyBorder="1" applyAlignment="1">
      <alignment horizontal="center" vertical="center" wrapText="1"/>
    </xf>
    <xf numFmtId="0" fontId="58" fillId="0" borderId="62" xfId="4" applyFont="1" applyBorder="1" applyAlignment="1">
      <alignment horizontal="left" vertical="center" wrapText="1"/>
    </xf>
    <xf numFmtId="0" fontId="58" fillId="0" borderId="35" xfId="4" applyFont="1" applyBorder="1" applyAlignment="1">
      <alignment horizontal="left" vertical="center" wrapText="1"/>
    </xf>
    <xf numFmtId="0" fontId="35" fillId="0" borderId="46" xfId="4" applyFont="1" applyBorder="1"/>
    <xf numFmtId="0" fontId="48" fillId="0" borderId="66" xfId="4" applyFont="1" applyBorder="1" applyAlignment="1">
      <alignment horizontal="center" vertical="center"/>
    </xf>
    <xf numFmtId="0" fontId="48" fillId="0" borderId="46" xfId="4" applyFont="1" applyBorder="1" applyAlignment="1">
      <alignment horizontal="center" vertical="center"/>
    </xf>
    <xf numFmtId="0" fontId="88" fillId="0" borderId="19" xfId="4" applyFont="1" applyBorder="1" applyAlignment="1">
      <alignment horizontal="center" vertical="center" wrapText="1"/>
    </xf>
    <xf numFmtId="0" fontId="88" fillId="0" borderId="18" xfId="4" applyFont="1" applyBorder="1" applyAlignment="1">
      <alignment horizontal="center" vertical="center" wrapText="1"/>
    </xf>
    <xf numFmtId="0" fontId="35" fillId="15" borderId="19" xfId="4" applyFont="1" applyFill="1" applyBorder="1" applyAlignment="1">
      <alignment horizontal="center" vertical="center" wrapText="1"/>
    </xf>
    <xf numFmtId="164" fontId="60" fillId="0" borderId="13" xfId="4" applyNumberFormat="1" applyFont="1" applyBorder="1" applyAlignment="1">
      <alignment horizontal="center" vertical="center"/>
    </xf>
    <xf numFmtId="0" fontId="88" fillId="0" borderId="4" xfId="4" applyFont="1" applyBorder="1" applyAlignment="1">
      <alignment horizontal="center" vertical="center" wrapText="1"/>
    </xf>
    <xf numFmtId="0" fontId="35" fillId="0" borderId="62" xfId="4" applyFont="1" applyBorder="1" applyAlignment="1">
      <alignment horizontal="center" vertical="center" wrapText="1"/>
    </xf>
    <xf numFmtId="0" fontId="35" fillId="0" borderId="35" xfId="4" applyFont="1" applyBorder="1" applyAlignment="1">
      <alignment horizontal="center" vertical="center" wrapText="1"/>
    </xf>
    <xf numFmtId="0" fontId="35" fillId="25" borderId="62" xfId="4" applyFont="1" applyFill="1" applyBorder="1" applyAlignment="1">
      <alignment horizontal="justify" vertical="center" wrapText="1"/>
    </xf>
    <xf numFmtId="0" fontId="35" fillId="25" borderId="35" xfId="4" applyFont="1" applyFill="1" applyBorder="1" applyAlignment="1">
      <alignment horizontal="justify" vertical="center" wrapText="1"/>
    </xf>
    <xf numFmtId="0" fontId="35" fillId="15" borderId="36" xfId="4" applyFont="1" applyFill="1" applyBorder="1" applyAlignment="1">
      <alignment horizontal="center" vertical="center" wrapText="1"/>
    </xf>
    <xf numFmtId="0" fontId="88" fillId="0" borderId="4" xfId="4" applyFont="1" applyBorder="1" applyAlignment="1" applyProtection="1">
      <alignment horizontal="center" vertical="center" wrapText="1"/>
      <protection locked="0"/>
    </xf>
    <xf numFmtId="0" fontId="88" fillId="0" borderId="18" xfId="4" applyFont="1" applyBorder="1" applyAlignment="1" applyProtection="1">
      <alignment horizontal="center" vertical="center" wrapText="1"/>
      <protection locked="0"/>
    </xf>
    <xf numFmtId="0" fontId="92" fillId="15" borderId="4" xfId="4" applyFont="1" applyFill="1" applyBorder="1" applyAlignment="1" applyProtection="1">
      <alignment horizontal="center" vertical="center" wrapText="1"/>
      <protection locked="0"/>
    </xf>
    <xf numFmtId="0" fontId="92" fillId="15" borderId="18" xfId="4" applyFont="1" applyFill="1" applyBorder="1" applyAlignment="1" applyProtection="1">
      <alignment horizontal="center" vertical="center" wrapText="1"/>
      <protection locked="0"/>
    </xf>
    <xf numFmtId="14" fontId="60" fillId="0" borderId="4" xfId="4" applyNumberFormat="1" applyFont="1" applyBorder="1" applyAlignment="1">
      <alignment horizontal="center" vertical="center"/>
    </xf>
    <xf numFmtId="14" fontId="60" fillId="0" borderId="18" xfId="4" applyNumberFormat="1" applyFont="1" applyBorder="1" applyAlignment="1">
      <alignment horizontal="center" vertical="center"/>
    </xf>
    <xf numFmtId="0" fontId="37" fillId="0" borderId="4" xfId="4" applyFont="1" applyBorder="1" applyAlignment="1">
      <alignment horizontal="center" vertical="center" wrapText="1"/>
    </xf>
    <xf numFmtId="0" fontId="37" fillId="0" borderId="18" xfId="4" applyFont="1" applyBorder="1" applyAlignment="1">
      <alignment horizontal="center" vertical="center" wrapText="1"/>
    </xf>
    <xf numFmtId="0" fontId="37" fillId="15" borderId="4" xfId="4" applyFont="1" applyFill="1" applyBorder="1" applyAlignment="1">
      <alignment horizontal="center" vertical="center" wrapText="1"/>
    </xf>
    <xf numFmtId="0" fontId="37" fillId="15" borderId="18" xfId="4" applyFont="1" applyFill="1" applyBorder="1" applyAlignment="1">
      <alignment horizontal="center" vertical="center" wrapText="1"/>
    </xf>
    <xf numFmtId="0" fontId="88" fillId="0" borderId="36" xfId="4" applyFont="1" applyBorder="1" applyAlignment="1">
      <alignment horizontal="center" vertical="center" wrapText="1"/>
    </xf>
    <xf numFmtId="0" fontId="88" fillId="0" borderId="36" xfId="4" applyFont="1" applyBorder="1" applyAlignment="1" applyProtection="1">
      <alignment horizontal="center" vertical="center" wrapText="1"/>
      <protection locked="0"/>
    </xf>
    <xf numFmtId="14" fontId="60" fillId="0" borderId="36" xfId="4" applyNumberFormat="1" applyFont="1" applyBorder="1" applyAlignment="1">
      <alignment horizontal="center" vertical="center"/>
    </xf>
    <xf numFmtId="0" fontId="59" fillId="25" borderId="62" xfId="4" applyFont="1" applyFill="1" applyBorder="1" applyAlignment="1">
      <alignment horizontal="left" vertical="center" wrapText="1"/>
    </xf>
    <xf numFmtId="0" fontId="59" fillId="25" borderId="35" xfId="4" applyFont="1" applyFill="1" applyBorder="1" applyAlignment="1">
      <alignment horizontal="left" vertical="center" wrapText="1"/>
    </xf>
    <xf numFmtId="0" fontId="91" fillId="55" borderId="3" xfId="4" applyFont="1" applyFill="1" applyBorder="1" applyAlignment="1">
      <alignment horizontal="center" vertical="center" wrapText="1"/>
    </xf>
    <xf numFmtId="0" fontId="91" fillId="55" borderId="4" xfId="4" applyFont="1" applyFill="1" applyBorder="1" applyAlignment="1">
      <alignment horizontal="center" vertical="center" wrapText="1"/>
    </xf>
    <xf numFmtId="0" fontId="48" fillId="0" borderId="70" xfId="4" applyFont="1" applyBorder="1" applyAlignment="1">
      <alignment horizontal="center" vertical="center"/>
    </xf>
    <xf numFmtId="0" fontId="88" fillId="0" borderId="3" xfId="4" applyFont="1" applyBorder="1" applyAlignment="1">
      <alignment horizontal="center" vertical="center" wrapText="1"/>
    </xf>
    <xf numFmtId="0" fontId="37" fillId="15" borderId="3" xfId="4" applyFont="1" applyFill="1" applyBorder="1" applyAlignment="1">
      <alignment horizontal="center" vertical="center" wrapText="1"/>
    </xf>
    <xf numFmtId="0" fontId="58" fillId="23" borderId="10" xfId="4" applyFont="1" applyFill="1" applyBorder="1" applyAlignment="1">
      <alignment horizontal="left" vertical="center" wrapText="1"/>
    </xf>
    <xf numFmtId="0" fontId="58" fillId="23" borderId="13" xfId="4" applyFont="1" applyFill="1" applyBorder="1" applyAlignment="1">
      <alignment horizontal="left" vertical="center" wrapText="1"/>
    </xf>
    <xf numFmtId="0" fontId="58" fillId="23" borderId="39" xfId="4" applyFont="1" applyFill="1" applyBorder="1" applyAlignment="1">
      <alignment horizontal="left" vertical="center" wrapText="1"/>
    </xf>
    <xf numFmtId="0" fontId="58" fillId="23" borderId="38" xfId="4" applyFont="1" applyFill="1" applyBorder="1" applyAlignment="1">
      <alignment horizontal="left" vertical="center" wrapText="1"/>
    </xf>
    <xf numFmtId="0" fontId="67" fillId="0" borderId="61" xfId="4" applyFont="1" applyBorder="1" applyAlignment="1">
      <alignment horizontal="center" vertical="center"/>
    </xf>
    <xf numFmtId="164" fontId="60" fillId="0" borderId="3" xfId="1" applyNumberFormat="1" applyFont="1" applyBorder="1" applyAlignment="1">
      <alignment horizontal="center" vertical="center"/>
    </xf>
    <xf numFmtId="0" fontId="58" fillId="25" borderId="3" xfId="4" applyFont="1" applyFill="1" applyBorder="1" applyAlignment="1">
      <alignment horizontal="left" vertical="center" wrapText="1"/>
    </xf>
    <xf numFmtId="0" fontId="35" fillId="23" borderId="3" xfId="4" applyFont="1" applyFill="1" applyBorder="1" applyAlignment="1">
      <alignment horizontal="left" vertical="center" wrapText="1"/>
    </xf>
    <xf numFmtId="0" fontId="35" fillId="15" borderId="3" xfId="4" applyFont="1" applyFill="1" applyBorder="1" applyAlignment="1">
      <alignment horizontal="left" vertical="center" wrapText="1"/>
    </xf>
    <xf numFmtId="0" fontId="35" fillId="0" borderId="3" xfId="4" applyFont="1" applyBorder="1" applyAlignment="1">
      <alignment horizontal="justify" vertical="center" wrapText="1"/>
    </xf>
    <xf numFmtId="0" fontId="35" fillId="0" borderId="3" xfId="4" applyFont="1" applyBorder="1" applyAlignment="1">
      <alignment horizontal="center" vertical="center" wrapText="1"/>
    </xf>
    <xf numFmtId="9" fontId="64" fillId="0" borderId="3" xfId="4" applyNumberFormat="1" applyFont="1" applyBorder="1" applyAlignment="1">
      <alignment horizontal="center" vertical="center"/>
    </xf>
    <xf numFmtId="0" fontId="64" fillId="0" borderId="3" xfId="4" applyFont="1" applyBorder="1" applyAlignment="1">
      <alignment horizontal="center" vertical="center"/>
    </xf>
    <xf numFmtId="0" fontId="58" fillId="0" borderId="3" xfId="4" applyFont="1" applyBorder="1" applyAlignment="1">
      <alignment horizontal="left" vertical="center" wrapText="1"/>
    </xf>
    <xf numFmtId="14" fontId="35" fillId="0" borderId="3" xfId="4" applyNumberFormat="1" applyFont="1" applyBorder="1" applyAlignment="1">
      <alignment horizontal="center" vertical="center"/>
    </xf>
    <xf numFmtId="0" fontId="48" fillId="0" borderId="73" xfId="4" applyFont="1" applyBorder="1" applyAlignment="1">
      <alignment horizontal="center" vertical="center"/>
    </xf>
    <xf numFmtId="0" fontId="35" fillId="15" borderId="3" xfId="4" applyFont="1" applyFill="1" applyBorder="1" applyAlignment="1">
      <alignment horizontal="center" vertical="center" wrapText="1"/>
    </xf>
    <xf numFmtId="0" fontId="92" fillId="15" borderId="36" xfId="4" applyFont="1" applyFill="1" applyBorder="1" applyAlignment="1" applyProtection="1">
      <alignment horizontal="center" vertical="center" wrapText="1"/>
      <protection locked="0"/>
    </xf>
    <xf numFmtId="14" fontId="60" fillId="23" borderId="4" xfId="4" applyNumberFormat="1" applyFont="1" applyFill="1" applyBorder="1" applyAlignment="1">
      <alignment horizontal="center" vertical="center"/>
    </xf>
    <xf numFmtId="14" fontId="60" fillId="23" borderId="36" xfId="4" applyNumberFormat="1" applyFont="1" applyFill="1" applyBorder="1" applyAlignment="1">
      <alignment horizontal="center" vertical="center"/>
    </xf>
    <xf numFmtId="164" fontId="60" fillId="0" borderId="54" xfId="1" applyNumberFormat="1" applyFont="1" applyBorder="1" applyAlignment="1">
      <alignment horizontal="center" vertical="center"/>
    </xf>
    <xf numFmtId="0" fontId="60" fillId="29" borderId="3" xfId="4" applyFont="1" applyFill="1" applyBorder="1" applyAlignment="1">
      <alignment horizontal="center" vertical="center"/>
    </xf>
    <xf numFmtId="0" fontId="60" fillId="29" borderId="4" xfId="4" applyFont="1" applyFill="1" applyBorder="1" applyAlignment="1">
      <alignment horizontal="center" vertical="center"/>
    </xf>
    <xf numFmtId="164" fontId="60" fillId="0" borderId="10" xfId="1" applyNumberFormat="1" applyFont="1" applyBorder="1" applyAlignment="1">
      <alignment horizontal="center" vertical="center"/>
    </xf>
    <xf numFmtId="0" fontId="37" fillId="15" borderId="19" xfId="4" applyFont="1" applyFill="1" applyBorder="1" applyAlignment="1">
      <alignment horizontal="center" vertical="center" wrapText="1"/>
    </xf>
    <xf numFmtId="14" fontId="60" fillId="0" borderId="19" xfId="4" applyNumberFormat="1" applyFont="1" applyBorder="1" applyAlignment="1">
      <alignment horizontal="center" vertical="center"/>
    </xf>
    <xf numFmtId="164" fontId="60" fillId="0" borderId="25" xfId="1" applyNumberFormat="1" applyFont="1" applyBorder="1" applyAlignment="1">
      <alignment horizontal="center" vertical="center"/>
    </xf>
    <xf numFmtId="0" fontId="92" fillId="15" borderId="24" xfId="0" applyFont="1" applyFill="1" applyBorder="1" applyAlignment="1">
      <alignment horizontal="center" vertical="center" wrapText="1"/>
    </xf>
    <xf numFmtId="0" fontId="92" fillId="15" borderId="18" xfId="0" applyFont="1" applyFill="1" applyBorder="1" applyAlignment="1">
      <alignment horizontal="center" vertical="center" wrapText="1"/>
    </xf>
    <xf numFmtId="0" fontId="92" fillId="0" borderId="3" xfId="0" applyFont="1" applyBorder="1" applyAlignment="1">
      <alignment horizontal="center" vertical="center" wrapText="1"/>
    </xf>
    <xf numFmtId="0" fontId="92" fillId="15" borderId="3" xfId="0" applyFont="1" applyFill="1" applyBorder="1" applyAlignment="1">
      <alignment horizontal="center" vertical="center" wrapText="1"/>
    </xf>
    <xf numFmtId="0" fontId="64" fillId="15" borderId="10" xfId="4" applyFont="1" applyFill="1" applyBorder="1" applyAlignment="1">
      <alignment horizontal="center" vertical="center"/>
    </xf>
    <xf numFmtId="0" fontId="64" fillId="15" borderId="13" xfId="4" applyFont="1" applyFill="1" applyBorder="1" applyAlignment="1">
      <alignment horizontal="center" vertical="center"/>
    </xf>
    <xf numFmtId="14" fontId="88" fillId="0" borderId="24" xfId="0" applyNumberFormat="1" applyFont="1" applyBorder="1" applyAlignment="1">
      <alignment horizontal="center" vertical="center"/>
    </xf>
    <xf numFmtId="14" fontId="88" fillId="0" borderId="18" xfId="0" applyNumberFormat="1" applyFont="1" applyBorder="1" applyAlignment="1">
      <alignment horizontal="center" vertical="center"/>
    </xf>
    <xf numFmtId="14" fontId="88" fillId="0" borderId="3" xfId="0" applyNumberFormat="1" applyFont="1" applyBorder="1" applyAlignment="1">
      <alignment horizontal="center" vertical="center"/>
    </xf>
    <xf numFmtId="14" fontId="88" fillId="23" borderId="4" xfId="0" applyNumberFormat="1" applyFont="1" applyFill="1" applyBorder="1" applyAlignment="1">
      <alignment horizontal="center" vertical="center"/>
    </xf>
    <xf numFmtId="14" fontId="88" fillId="23" borderId="19" xfId="0" applyNumberFormat="1" applyFont="1" applyFill="1" applyBorder="1" applyAlignment="1">
      <alignment horizontal="center" vertical="center"/>
    </xf>
    <xf numFmtId="164" fontId="64" fillId="34" borderId="30" xfId="4" applyNumberFormat="1" applyFont="1" applyFill="1" applyBorder="1" applyAlignment="1">
      <alignment horizontal="center" vertical="center"/>
    </xf>
    <xf numFmtId="164" fontId="64" fillId="34" borderId="9" xfId="4" applyNumberFormat="1" applyFont="1" applyFill="1" applyBorder="1" applyAlignment="1">
      <alignment horizontal="center" vertical="center"/>
    </xf>
    <xf numFmtId="164" fontId="64" fillId="34" borderId="11" xfId="4" applyNumberFormat="1" applyFont="1" applyFill="1" applyBorder="1" applyAlignment="1">
      <alignment horizontal="center" vertical="center"/>
    </xf>
    <xf numFmtId="164" fontId="64" fillId="34" borderId="23" xfId="4" applyNumberFormat="1" applyFont="1" applyFill="1" applyBorder="1" applyAlignment="1">
      <alignment horizontal="center" vertical="center"/>
    </xf>
    <xf numFmtId="164" fontId="64" fillId="34" borderId="60" xfId="4" applyNumberFormat="1" applyFont="1" applyFill="1" applyBorder="1" applyAlignment="1">
      <alignment horizontal="center" vertical="center"/>
    </xf>
    <xf numFmtId="0" fontId="64" fillId="34" borderId="9" xfId="4" applyFont="1" applyFill="1" applyBorder="1" applyAlignment="1">
      <alignment horizontal="center" vertical="center"/>
    </xf>
    <xf numFmtId="0" fontId="64" fillId="34" borderId="17" xfId="4" applyFont="1" applyFill="1" applyBorder="1" applyAlignment="1">
      <alignment horizontal="center" vertical="center"/>
    </xf>
    <xf numFmtId="164" fontId="64" fillId="34" borderId="3" xfId="4" applyNumberFormat="1" applyFont="1" applyFill="1" applyBorder="1" applyAlignment="1">
      <alignment horizontal="center" vertical="center"/>
    </xf>
    <xf numFmtId="0" fontId="64" fillId="34" borderId="3" xfId="4" applyFont="1" applyFill="1" applyBorder="1" applyAlignment="1">
      <alignment horizontal="center" vertical="center"/>
    </xf>
    <xf numFmtId="164" fontId="64" fillId="34" borderId="17" xfId="4" applyNumberFormat="1" applyFont="1" applyFill="1" applyBorder="1" applyAlignment="1">
      <alignment horizontal="center" vertical="center"/>
    </xf>
    <xf numFmtId="164" fontId="64" fillId="34" borderId="7" xfId="4" applyNumberFormat="1" applyFont="1" applyFill="1" applyBorder="1" applyAlignment="1">
      <alignment horizontal="center" vertical="center"/>
    </xf>
    <xf numFmtId="14" fontId="60" fillId="0" borderId="24" xfId="4" applyNumberFormat="1" applyFont="1" applyBorder="1" applyAlignment="1">
      <alignment horizontal="center" vertical="center"/>
    </xf>
    <xf numFmtId="0" fontId="91" fillId="44" borderId="20" xfId="4" applyFont="1" applyFill="1" applyBorder="1" applyAlignment="1">
      <alignment horizontal="center" vertical="center" wrapText="1"/>
    </xf>
    <xf numFmtId="0" fontId="91" fillId="44" borderId="54" xfId="4" applyFont="1" applyFill="1" applyBorder="1" applyAlignment="1">
      <alignment horizontal="center" vertical="center" wrapText="1"/>
    </xf>
    <xf numFmtId="0" fontId="37" fillId="15" borderId="5" xfId="4" applyFont="1" applyFill="1" applyBorder="1" applyAlignment="1">
      <alignment horizontal="center" vertical="center" wrapText="1"/>
    </xf>
    <xf numFmtId="0" fontId="91" fillId="46" borderId="25" xfId="4" applyFont="1" applyFill="1" applyBorder="1" applyAlignment="1">
      <alignment horizontal="center" vertical="center" wrapText="1"/>
    </xf>
    <xf numFmtId="0" fontId="91" fillId="46" borderId="20" xfId="4" applyFont="1" applyFill="1" applyBorder="1" applyAlignment="1">
      <alignment horizontal="center" vertical="center" wrapText="1"/>
    </xf>
    <xf numFmtId="0" fontId="91" fillId="46" borderId="31" xfId="4" applyFont="1" applyFill="1" applyBorder="1" applyAlignment="1">
      <alignment horizontal="center" vertical="center" wrapText="1"/>
    </xf>
    <xf numFmtId="0" fontId="37" fillId="15" borderId="36" xfId="4" applyFont="1" applyFill="1" applyBorder="1" applyAlignment="1">
      <alignment horizontal="center" vertical="center" wrapText="1"/>
    </xf>
    <xf numFmtId="0" fontId="91" fillId="54" borderId="27" xfId="4" applyFont="1" applyFill="1" applyBorder="1" applyAlignment="1">
      <alignment horizontal="center" vertical="center" wrapText="1"/>
    </xf>
    <xf numFmtId="0" fontId="91" fillId="54" borderId="29" xfId="4" applyFont="1" applyFill="1" applyBorder="1" applyAlignment="1">
      <alignment horizontal="center" vertical="center" wrapText="1"/>
    </xf>
    <xf numFmtId="0" fontId="92" fillId="0" borderId="4" xfId="0" applyFont="1" applyBorder="1" applyAlignment="1">
      <alignment horizontal="center" vertical="center" wrapText="1"/>
    </xf>
    <xf numFmtId="0" fontId="92" fillId="0" borderId="19" xfId="0" applyFont="1" applyBorder="1" applyAlignment="1">
      <alignment horizontal="center" vertical="center" wrapText="1"/>
    </xf>
    <xf numFmtId="0" fontId="92" fillId="15" borderId="4" xfId="0" applyFont="1" applyFill="1" applyBorder="1" applyAlignment="1">
      <alignment horizontal="center" vertical="center" wrapText="1"/>
    </xf>
    <xf numFmtId="0" fontId="92" fillId="15" borderId="19" xfId="0" applyFont="1" applyFill="1" applyBorder="1" applyAlignment="1">
      <alignment horizontal="center" vertical="center" wrapText="1"/>
    </xf>
    <xf numFmtId="14" fontId="88" fillId="0" borderId="4" xfId="0" applyNumberFormat="1" applyFont="1" applyBorder="1" applyAlignment="1">
      <alignment horizontal="center" vertical="center"/>
    </xf>
    <xf numFmtId="14" fontId="88" fillId="23" borderId="18" xfId="0" applyNumberFormat="1" applyFont="1" applyFill="1" applyBorder="1" applyAlignment="1">
      <alignment horizontal="center" vertical="center"/>
    </xf>
    <xf numFmtId="0" fontId="91" fillId="45" borderId="4" xfId="4" applyFont="1" applyFill="1" applyBorder="1" applyAlignment="1">
      <alignment horizontal="center" vertical="center" wrapText="1"/>
    </xf>
    <xf numFmtId="0" fontId="91" fillId="45" borderId="19" xfId="4" applyFont="1" applyFill="1" applyBorder="1" applyAlignment="1">
      <alignment horizontal="center" vertical="center" wrapText="1"/>
    </xf>
    <xf numFmtId="0" fontId="91" fillId="45" borderId="36" xfId="4" applyFont="1" applyFill="1" applyBorder="1" applyAlignment="1">
      <alignment horizontal="center" vertical="center" wrapText="1"/>
    </xf>
    <xf numFmtId="0" fontId="60" fillId="23" borderId="19" xfId="4" applyFont="1" applyFill="1" applyBorder="1" applyAlignment="1">
      <alignment horizontal="center" vertical="center"/>
    </xf>
    <xf numFmtId="9" fontId="68" fillId="0" borderId="3" xfId="4" applyNumberFormat="1" applyFont="1" applyBorder="1" applyAlignment="1">
      <alignment horizontal="center" vertical="center"/>
    </xf>
    <xf numFmtId="0" fontId="91" fillId="44" borderId="3" xfId="4" applyFont="1" applyFill="1" applyBorder="1" applyAlignment="1">
      <alignment horizontal="center" vertical="center" wrapText="1"/>
    </xf>
    <xf numFmtId="0" fontId="13" fillId="0" borderId="27" xfId="2" applyFont="1" applyBorder="1" applyAlignment="1">
      <alignment horizontal="center" vertical="center" wrapText="1"/>
    </xf>
    <xf numFmtId="0" fontId="13" fillId="0" borderId="38" xfId="2" applyFont="1" applyBorder="1" applyAlignment="1">
      <alignment horizontal="center" vertical="center" wrapText="1"/>
    </xf>
    <xf numFmtId="0" fontId="13" fillId="0" borderId="26" xfId="2" applyFont="1" applyBorder="1" applyAlignment="1">
      <alignment horizontal="center" vertical="center" wrapText="1"/>
    </xf>
    <xf numFmtId="0" fontId="13" fillId="0" borderId="49" xfId="2" applyFont="1" applyBorder="1" applyAlignment="1">
      <alignment horizontal="center" vertical="center" wrapText="1"/>
    </xf>
    <xf numFmtId="0" fontId="13" fillId="0" borderId="0" xfId="2" applyFont="1" applyAlignment="1">
      <alignment horizontal="center" vertical="center" wrapText="1"/>
    </xf>
    <xf numFmtId="0" fontId="13" fillId="0" borderId="50" xfId="2" applyFont="1" applyBorder="1" applyAlignment="1">
      <alignment horizontal="center" vertical="center" wrapText="1"/>
    </xf>
    <xf numFmtId="0" fontId="13" fillId="0" borderId="29" xfId="2" applyFont="1" applyBorder="1" applyAlignment="1">
      <alignment horizontal="center" vertical="center" wrapText="1"/>
    </xf>
    <xf numFmtId="0" fontId="13" fillId="0" borderId="37" xfId="2" applyFont="1" applyBorder="1" applyAlignment="1">
      <alignment horizontal="center" vertical="center" wrapText="1"/>
    </xf>
    <xf numFmtId="0" fontId="13" fillId="0" borderId="28" xfId="2" applyFont="1" applyBorder="1" applyAlignment="1">
      <alignment horizontal="center" vertical="center" wrapText="1"/>
    </xf>
    <xf numFmtId="0" fontId="40" fillId="0" borderId="0" xfId="2" applyFont="1" applyAlignment="1">
      <alignment horizontal="center" vertical="center" textRotation="45" wrapText="1"/>
    </xf>
    <xf numFmtId="0" fontId="39" fillId="17" borderId="3" xfId="2" applyFont="1" applyFill="1" applyBorder="1" applyAlignment="1">
      <alignment horizontal="right" vertical="center" wrapText="1"/>
    </xf>
    <xf numFmtId="0" fontId="43" fillId="25" borderId="3" xfId="2" applyFont="1" applyFill="1" applyBorder="1" applyAlignment="1">
      <alignment vertical="center"/>
    </xf>
    <xf numFmtId="0" fontId="39" fillId="17" borderId="3" xfId="2" applyFont="1" applyFill="1" applyBorder="1" applyAlignment="1">
      <alignment horizontal="right" vertical="center"/>
    </xf>
    <xf numFmtId="9" fontId="43" fillId="25" borderId="4" xfId="9" applyFont="1" applyFill="1" applyBorder="1" applyAlignment="1">
      <alignment horizontal="left" vertical="center"/>
    </xf>
    <xf numFmtId="9" fontId="43" fillId="25" borderId="19" xfId="9" applyFont="1" applyFill="1" applyBorder="1" applyAlignment="1">
      <alignment horizontal="left" vertical="center"/>
    </xf>
    <xf numFmtId="9" fontId="43" fillId="25" borderId="36" xfId="9" applyFont="1" applyFill="1" applyBorder="1" applyAlignment="1">
      <alignment horizontal="left" vertical="center"/>
    </xf>
    <xf numFmtId="164" fontId="39" fillId="5" borderId="24" xfId="2" applyNumberFormat="1" applyFont="1" applyFill="1" applyBorder="1" applyAlignment="1">
      <alignment horizontal="center" vertical="center" wrapText="1"/>
    </xf>
    <xf numFmtId="164" fontId="39" fillId="5" borderId="19" xfId="2" applyNumberFormat="1" applyFont="1" applyFill="1" applyBorder="1" applyAlignment="1">
      <alignment horizontal="center" vertical="center" wrapText="1"/>
    </xf>
    <xf numFmtId="164" fontId="39" fillId="5" borderId="36" xfId="2" applyNumberFormat="1" applyFont="1" applyFill="1" applyBorder="1" applyAlignment="1">
      <alignment horizontal="center" vertical="center" wrapText="1"/>
    </xf>
    <xf numFmtId="0" fontId="39" fillId="17" borderId="27" xfId="2" applyFont="1" applyFill="1" applyBorder="1" applyAlignment="1">
      <alignment horizontal="right" vertical="center" wrapText="1"/>
    </xf>
    <xf numFmtId="0" fontId="39" fillId="17" borderId="38" xfId="2" applyFont="1" applyFill="1" applyBorder="1" applyAlignment="1">
      <alignment horizontal="right" vertical="center" wrapText="1"/>
    </xf>
    <xf numFmtId="0" fontId="39" fillId="17" borderId="26" xfId="2" applyFont="1" applyFill="1" applyBorder="1" applyAlignment="1">
      <alignment horizontal="right" vertical="center" wrapText="1"/>
    </xf>
    <xf numFmtId="0" fontId="39" fillId="17" borderId="49" xfId="2" applyFont="1" applyFill="1" applyBorder="1" applyAlignment="1">
      <alignment horizontal="right" vertical="center" wrapText="1"/>
    </xf>
    <xf numFmtId="0" fontId="39" fillId="17" borderId="0" xfId="2" applyFont="1" applyFill="1" applyAlignment="1">
      <alignment horizontal="right" vertical="center" wrapText="1"/>
    </xf>
    <xf numFmtId="0" fontId="39" fillId="17" borderId="50" xfId="2" applyFont="1" applyFill="1" applyBorder="1" applyAlignment="1">
      <alignment horizontal="right" vertical="center" wrapText="1"/>
    </xf>
    <xf numFmtId="0" fontId="39" fillId="17" borderId="29" xfId="2" applyFont="1" applyFill="1" applyBorder="1" applyAlignment="1">
      <alignment horizontal="right" vertical="center" wrapText="1"/>
    </xf>
    <xf numFmtId="0" fontId="39" fillId="17" borderId="37" xfId="2" applyFont="1" applyFill="1" applyBorder="1" applyAlignment="1">
      <alignment horizontal="right" vertical="center" wrapText="1"/>
    </xf>
    <xf numFmtId="0" fontId="39" fillId="17" borderId="28" xfId="2" applyFont="1" applyFill="1" applyBorder="1" applyAlignment="1">
      <alignment horizontal="right" vertical="center" wrapText="1"/>
    </xf>
    <xf numFmtId="9" fontId="39" fillId="5" borderId="27" xfId="2" applyNumberFormat="1" applyFont="1" applyFill="1" applyBorder="1" applyAlignment="1">
      <alignment horizontal="center" vertical="center" wrapText="1"/>
    </xf>
    <xf numFmtId="9" fontId="39" fillId="5" borderId="26" xfId="2" applyNumberFormat="1" applyFont="1" applyFill="1" applyBorder="1" applyAlignment="1">
      <alignment horizontal="center" vertical="center" wrapText="1"/>
    </xf>
    <xf numFmtId="9" fontId="39" fillId="5" borderId="49" xfId="2" applyNumberFormat="1" applyFont="1" applyFill="1" applyBorder="1" applyAlignment="1">
      <alignment horizontal="center" vertical="center" wrapText="1"/>
    </xf>
    <xf numFmtId="9" fontId="39" fillId="5" borderId="50" xfId="2" applyNumberFormat="1" applyFont="1" applyFill="1" applyBorder="1" applyAlignment="1">
      <alignment horizontal="center" vertical="center" wrapText="1"/>
    </xf>
    <xf numFmtId="9" fontId="39" fillId="5" borderId="29" xfId="2" applyNumberFormat="1" applyFont="1" applyFill="1" applyBorder="1" applyAlignment="1">
      <alignment horizontal="center" vertical="center" wrapText="1"/>
    </xf>
    <xf numFmtId="9" fontId="39" fillId="5" borderId="28" xfId="2" applyNumberFormat="1" applyFont="1" applyFill="1" applyBorder="1" applyAlignment="1">
      <alignment horizontal="center" vertical="center" wrapText="1"/>
    </xf>
    <xf numFmtId="0" fontId="41" fillId="49" borderId="0" xfId="2" applyFont="1" applyFill="1" applyAlignment="1">
      <alignment horizontal="center" vertical="center" wrapText="1"/>
    </xf>
    <xf numFmtId="0" fontId="41" fillId="49" borderId="50" xfId="2" applyFont="1" applyFill="1" applyBorder="1" applyAlignment="1">
      <alignment horizontal="center" vertical="center" wrapText="1"/>
    </xf>
    <xf numFmtId="0" fontId="41" fillId="50" borderId="48" xfId="2" applyFont="1" applyFill="1" applyBorder="1" applyAlignment="1">
      <alignment horizontal="center" vertical="center"/>
    </xf>
    <xf numFmtId="0" fontId="41" fillId="50" borderId="42" xfId="2" applyFont="1" applyFill="1" applyBorder="1" applyAlignment="1">
      <alignment horizontal="center" vertical="center"/>
    </xf>
    <xf numFmtId="0" fontId="41" fillId="50" borderId="51" xfId="2" applyFont="1" applyFill="1" applyBorder="1" applyAlignment="1">
      <alignment horizontal="center" vertical="center"/>
    </xf>
    <xf numFmtId="0" fontId="41" fillId="22" borderId="56" xfId="2" applyFont="1" applyFill="1" applyBorder="1" applyAlignment="1">
      <alignment horizontal="center" vertical="center"/>
    </xf>
    <xf numFmtId="0" fontId="41" fillId="22" borderId="37" xfId="2" applyFont="1" applyFill="1" applyBorder="1" applyAlignment="1">
      <alignment horizontal="center" vertical="center"/>
    </xf>
    <xf numFmtId="0" fontId="41" fillId="22" borderId="57" xfId="2" applyFont="1" applyFill="1" applyBorder="1" applyAlignment="1">
      <alignment horizontal="center" vertical="center"/>
    </xf>
    <xf numFmtId="0" fontId="39" fillId="17" borderId="27" xfId="2" applyFont="1" applyFill="1" applyBorder="1" applyAlignment="1">
      <alignment horizontal="right" vertical="center"/>
    </xf>
    <xf numFmtId="0" fontId="39" fillId="17" borderId="26" xfId="2" applyFont="1" applyFill="1" applyBorder="1" applyAlignment="1">
      <alignment horizontal="right" vertical="center"/>
    </xf>
    <xf numFmtId="0" fontId="39" fillId="17" borderId="49" xfId="2" applyFont="1" applyFill="1" applyBorder="1" applyAlignment="1">
      <alignment horizontal="right" vertical="center"/>
    </xf>
    <xf numFmtId="0" fontId="39" fillId="17" borderId="50" xfId="2" applyFont="1" applyFill="1" applyBorder="1" applyAlignment="1">
      <alignment horizontal="right" vertical="center"/>
    </xf>
    <xf numFmtId="0" fontId="39" fillId="17" borderId="45" xfId="2" applyFont="1" applyFill="1" applyBorder="1" applyAlignment="1">
      <alignment horizontal="right" vertical="center"/>
    </xf>
    <xf numFmtId="0" fontId="39" fillId="17" borderId="53" xfId="2" applyFont="1" applyFill="1" applyBorder="1" applyAlignment="1">
      <alignment horizontal="right" vertical="center"/>
    </xf>
    <xf numFmtId="9" fontId="43" fillId="25" borderId="27" xfId="9" applyFont="1" applyFill="1" applyBorder="1" applyAlignment="1">
      <alignment horizontal="left" vertical="center"/>
    </xf>
    <xf numFmtId="9" fontId="43" fillId="25" borderId="49" xfId="9" applyFont="1" applyFill="1" applyBorder="1" applyAlignment="1">
      <alignment horizontal="left" vertical="center"/>
    </xf>
    <xf numFmtId="9" fontId="43" fillId="25" borderId="45" xfId="9" applyFont="1" applyFill="1" applyBorder="1" applyAlignment="1">
      <alignment horizontal="left" vertical="center"/>
    </xf>
    <xf numFmtId="9" fontId="39" fillId="5" borderId="38" xfId="2" applyNumberFormat="1" applyFont="1" applyFill="1" applyBorder="1" applyAlignment="1">
      <alignment horizontal="center" vertical="center" wrapText="1"/>
    </xf>
    <xf numFmtId="9" fontId="39" fillId="5" borderId="0" xfId="2" applyNumberFormat="1" applyFont="1" applyFill="1" applyAlignment="1">
      <alignment horizontal="center" vertical="center" wrapText="1"/>
    </xf>
    <xf numFmtId="9" fontId="39" fillId="5" borderId="37" xfId="2" applyNumberFormat="1" applyFont="1" applyFill="1" applyBorder="1" applyAlignment="1">
      <alignment horizontal="center" vertical="center" wrapText="1"/>
    </xf>
    <xf numFmtId="0" fontId="34" fillId="50" borderId="4" xfId="2" applyFont="1" applyFill="1" applyBorder="1" applyAlignment="1">
      <alignment horizontal="center" vertical="center" wrapText="1"/>
    </xf>
    <xf numFmtId="0" fontId="34" fillId="50" borderId="18" xfId="2" applyFont="1" applyFill="1" applyBorder="1" applyAlignment="1">
      <alignment horizontal="center" vertical="center" wrapText="1"/>
    </xf>
    <xf numFmtId="0" fontId="34" fillId="50" borderId="24" xfId="2" applyFont="1" applyFill="1" applyBorder="1" applyAlignment="1">
      <alignment horizontal="center" vertical="center" wrapText="1"/>
    </xf>
    <xf numFmtId="0" fontId="10" fillId="6" borderId="3" xfId="2" applyFont="1" applyFill="1" applyBorder="1" applyAlignment="1">
      <alignment horizontal="center" vertical="center" wrapText="1"/>
    </xf>
    <xf numFmtId="0" fontId="7" fillId="6" borderId="3" xfId="2" applyFont="1" applyFill="1" applyBorder="1" applyAlignment="1">
      <alignment horizontal="center" vertical="center"/>
    </xf>
    <xf numFmtId="0" fontId="19" fillId="6" borderId="3" xfId="2" applyFont="1" applyFill="1" applyBorder="1" applyAlignment="1">
      <alignment horizontal="center" vertical="center" wrapText="1"/>
    </xf>
    <xf numFmtId="0" fontId="39" fillId="6" borderId="3" xfId="2" applyFont="1" applyFill="1" applyBorder="1" applyAlignment="1">
      <alignment horizontal="center" vertical="center" wrapText="1"/>
    </xf>
    <xf numFmtId="0" fontId="35" fillId="15" borderId="19" xfId="2" applyFont="1" applyFill="1" applyBorder="1" applyAlignment="1">
      <alignment horizontal="center" vertical="center" wrapText="1"/>
    </xf>
    <xf numFmtId="0" fontId="36" fillId="16" borderId="4" xfId="2" applyFont="1" applyFill="1" applyBorder="1" applyAlignment="1">
      <alignment horizontal="center" vertical="center" wrapText="1"/>
    </xf>
    <xf numFmtId="0" fontId="36" fillId="16" borderId="18" xfId="2" applyFont="1" applyFill="1" applyBorder="1" applyAlignment="1">
      <alignment horizontal="center" vertical="center" wrapText="1"/>
    </xf>
    <xf numFmtId="0" fontId="35" fillId="15" borderId="3" xfId="2" applyFont="1" applyFill="1" applyBorder="1" applyAlignment="1">
      <alignment horizontal="center" vertical="center" wrapText="1"/>
    </xf>
    <xf numFmtId="0" fontId="36" fillId="16" borderId="19" xfId="2" applyFont="1" applyFill="1" applyBorder="1" applyAlignment="1">
      <alignment horizontal="center" vertical="center" wrapText="1"/>
    </xf>
    <xf numFmtId="0" fontId="24" fillId="0" borderId="57" xfId="2" applyFont="1" applyBorder="1" applyAlignment="1">
      <alignment horizontal="justify" vertical="center" wrapText="1"/>
    </xf>
    <xf numFmtId="0" fontId="24" fillId="0" borderId="55" xfId="2" applyFont="1" applyBorder="1" applyAlignment="1">
      <alignment horizontal="justify" vertical="center" wrapText="1"/>
    </xf>
    <xf numFmtId="14" fontId="37" fillId="15" borderId="4" xfId="2" applyNumberFormat="1" applyFont="1" applyFill="1" applyBorder="1" applyAlignment="1">
      <alignment horizontal="center" vertical="center" wrapText="1"/>
    </xf>
    <xf numFmtId="14" fontId="37" fillId="15" borderId="18" xfId="2" applyNumberFormat="1" applyFont="1" applyFill="1" applyBorder="1" applyAlignment="1">
      <alignment horizontal="center" vertical="center" wrapText="1"/>
    </xf>
    <xf numFmtId="0" fontId="17" fillId="0" borderId="0" xfId="2" applyAlignment="1">
      <alignment horizontal="center" vertical="center" wrapText="1"/>
    </xf>
    <xf numFmtId="0" fontId="17" fillId="0" borderId="28" xfId="2" applyBorder="1" applyAlignment="1">
      <alignment horizontal="center" vertical="center" wrapText="1"/>
    </xf>
    <xf numFmtId="0" fontId="24" fillId="0" borderId="18" xfId="2" applyFont="1" applyBorder="1" applyAlignment="1">
      <alignment horizontal="justify" vertical="center" wrapText="1"/>
    </xf>
    <xf numFmtId="0" fontId="24" fillId="0" borderId="3" xfId="2" applyFont="1" applyBorder="1" applyAlignment="1">
      <alignment horizontal="justify" vertical="center" wrapText="1"/>
    </xf>
    <xf numFmtId="14" fontId="37" fillId="15" borderId="3" xfId="2" applyNumberFormat="1" applyFont="1" applyFill="1" applyBorder="1" applyAlignment="1">
      <alignment horizontal="center" vertical="center" wrapText="1"/>
    </xf>
    <xf numFmtId="0" fontId="17" fillId="0" borderId="3" xfId="2" applyBorder="1" applyAlignment="1">
      <alignment horizontal="center" vertical="center"/>
    </xf>
    <xf numFmtId="0" fontId="36" fillId="16" borderId="3" xfId="2" applyFont="1" applyFill="1" applyBorder="1" applyAlignment="1">
      <alignment horizontal="center" vertical="center" wrapText="1"/>
    </xf>
    <xf numFmtId="14" fontId="37" fillId="15" borderId="19" xfId="2" applyNumberFormat="1" applyFont="1" applyFill="1" applyBorder="1" applyAlignment="1">
      <alignment horizontal="center" vertical="center" wrapText="1"/>
    </xf>
    <xf numFmtId="0" fontId="77" fillId="0" borderId="0" xfId="2" applyFont="1" applyAlignment="1">
      <alignment horizontal="center" vertical="center" wrapText="1"/>
    </xf>
    <xf numFmtId="0" fontId="77" fillId="0" borderId="3" xfId="2" applyFont="1" applyBorder="1" applyAlignment="1">
      <alignment horizontal="center" vertical="center" wrapText="1"/>
    </xf>
    <xf numFmtId="0" fontId="17" fillId="0" borderId="3" xfId="2" applyBorder="1" applyAlignment="1">
      <alignment horizontal="center" vertical="center" wrapText="1"/>
    </xf>
    <xf numFmtId="0" fontId="107" fillId="0" borderId="3" xfId="2" applyFont="1" applyBorder="1" applyAlignment="1">
      <alignment horizontal="center" vertical="center" wrapText="1"/>
    </xf>
    <xf numFmtId="0" fontId="107" fillId="0" borderId="3" xfId="2" applyFont="1" applyBorder="1" applyAlignment="1">
      <alignment horizontal="center" vertical="center"/>
    </xf>
    <xf numFmtId="0" fontId="107" fillId="0" borderId="18" xfId="2" applyFont="1" applyBorder="1" applyAlignment="1">
      <alignment horizontal="justify" vertical="center" wrapText="1"/>
    </xf>
    <xf numFmtId="0" fontId="107" fillId="0" borderId="3" xfId="2" applyFont="1" applyBorder="1" applyAlignment="1">
      <alignment horizontal="justify" vertical="center" wrapText="1"/>
    </xf>
    <xf numFmtId="0" fontId="37" fillId="15" borderId="3" xfId="2" applyFont="1" applyFill="1" applyBorder="1" applyAlignment="1">
      <alignment horizontal="center" vertical="center" wrapText="1"/>
    </xf>
    <xf numFmtId="0" fontId="35" fillId="0" borderId="3" xfId="2" applyFont="1" applyBorder="1" applyAlignment="1">
      <alignment horizontal="center" vertical="center" wrapText="1"/>
    </xf>
    <xf numFmtId="0" fontId="37" fillId="23" borderId="4" xfId="2" applyFont="1" applyFill="1" applyBorder="1" applyAlignment="1">
      <alignment horizontal="center" vertical="center" wrapText="1"/>
    </xf>
    <xf numFmtId="0" fontId="37" fillId="23" borderId="18" xfId="2" applyFont="1" applyFill="1" applyBorder="1" applyAlignment="1">
      <alignment horizontal="center" vertical="center" wrapText="1"/>
    </xf>
    <xf numFmtId="14" fontId="37" fillId="23" borderId="4" xfId="2" applyNumberFormat="1" applyFont="1" applyFill="1" applyBorder="1" applyAlignment="1">
      <alignment horizontal="center" vertical="center" wrapText="1"/>
    </xf>
    <xf numFmtId="14" fontId="37" fillId="23" borderId="18" xfId="2" applyNumberFormat="1" applyFont="1" applyFill="1" applyBorder="1" applyAlignment="1">
      <alignment horizontal="center" vertical="center" wrapText="1"/>
    </xf>
    <xf numFmtId="0" fontId="17" fillId="0" borderId="50" xfId="2" applyBorder="1" applyAlignment="1">
      <alignment horizontal="center" vertical="center" wrapText="1"/>
    </xf>
    <xf numFmtId="0" fontId="35" fillId="23" borderId="4" xfId="2" applyFont="1" applyFill="1" applyBorder="1" applyAlignment="1">
      <alignment horizontal="center" vertical="center" wrapText="1"/>
    </xf>
    <xf numFmtId="0" fontId="35" fillId="23" borderId="18" xfId="2" applyFont="1" applyFill="1" applyBorder="1" applyAlignment="1">
      <alignment horizontal="center" vertical="center" wrapText="1"/>
    </xf>
    <xf numFmtId="0" fontId="35" fillId="31" borderId="4" xfId="2" applyFont="1" applyFill="1" applyBorder="1" applyAlignment="1">
      <alignment horizontal="center" vertical="center" wrapText="1"/>
    </xf>
    <xf numFmtId="0" fontId="35" fillId="31" borderId="18" xfId="2" applyFont="1" applyFill="1" applyBorder="1" applyAlignment="1">
      <alignment horizontal="center" vertical="center" wrapText="1"/>
    </xf>
    <xf numFmtId="0" fontId="8" fillId="0" borderId="39" xfId="2" applyFont="1" applyBorder="1" applyAlignment="1">
      <alignment horizontal="right" vertical="center"/>
    </xf>
    <xf numFmtId="0" fontId="34" fillId="26" borderId="19" xfId="2" applyFont="1" applyFill="1" applyBorder="1" applyAlignment="1">
      <alignment horizontal="center" vertical="center" wrapText="1"/>
    </xf>
    <xf numFmtId="0" fontId="34" fillId="26" borderId="18" xfId="2" applyFont="1" applyFill="1" applyBorder="1" applyAlignment="1">
      <alignment horizontal="center" vertical="center" wrapText="1"/>
    </xf>
    <xf numFmtId="0" fontId="17" fillId="0" borderId="37" xfId="2" applyBorder="1" applyAlignment="1">
      <alignment horizontal="right" vertical="center"/>
    </xf>
    <xf numFmtId="0" fontId="34" fillId="26" borderId="4" xfId="2" applyFont="1" applyFill="1" applyBorder="1" applyAlignment="1">
      <alignment horizontal="center" vertical="center" wrapText="1"/>
    </xf>
    <xf numFmtId="0" fontId="8" fillId="13" borderId="39" xfId="2" applyFont="1" applyFill="1" applyBorder="1" applyAlignment="1">
      <alignment horizontal="right" vertical="center"/>
    </xf>
    <xf numFmtId="0" fontId="77" fillId="0" borderId="3" xfId="2" applyFont="1" applyBorder="1" applyAlignment="1">
      <alignment horizontal="center" vertical="center"/>
    </xf>
    <xf numFmtId="0" fontId="77" fillId="0" borderId="18" xfId="2" applyFont="1" applyBorder="1" applyAlignment="1">
      <alignment horizontal="justify" vertical="center" wrapText="1"/>
    </xf>
    <xf numFmtId="0" fontId="25" fillId="25" borderId="3" xfId="0" applyFont="1" applyFill="1" applyBorder="1" applyAlignment="1">
      <alignment vertical="center" wrapText="1"/>
    </xf>
    <xf numFmtId="0" fontId="25" fillId="25" borderId="3" xfId="0" applyFont="1" applyFill="1" applyBorder="1" applyAlignment="1">
      <alignment vertical="center"/>
    </xf>
    <xf numFmtId="0" fontId="39" fillId="17" borderId="27" xfId="0" applyFont="1" applyFill="1" applyBorder="1" applyAlignment="1">
      <alignment horizontal="center" vertical="center"/>
    </xf>
    <xf numFmtId="0" fontId="39" fillId="17" borderId="49" xfId="0" applyFont="1" applyFill="1" applyBorder="1" applyAlignment="1">
      <alignment horizontal="center" vertical="center"/>
    </xf>
    <xf numFmtId="0" fontId="39" fillId="17" borderId="45" xfId="0" applyFont="1" applyFill="1" applyBorder="1" applyAlignment="1">
      <alignment horizontal="center" vertical="center"/>
    </xf>
    <xf numFmtId="0" fontId="0" fillId="15" borderId="4" xfId="0" applyFill="1" applyBorder="1" applyAlignment="1">
      <alignment horizontal="center" vertical="center" wrapText="1"/>
    </xf>
    <xf numFmtId="0" fontId="0" fillId="15" borderId="18" xfId="0" applyFill="1" applyBorder="1" applyAlignment="1">
      <alignment horizontal="center" vertical="center" wrapText="1"/>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wrapText="1"/>
    </xf>
    <xf numFmtId="0" fontId="87" fillId="0" borderId="4" xfId="0" applyFont="1" applyBorder="1" applyAlignment="1">
      <alignment horizontal="center" vertical="center" wrapText="1"/>
    </xf>
    <xf numFmtId="0" fontId="87" fillId="0" borderId="18" xfId="0" applyFont="1" applyBorder="1" applyAlignment="1">
      <alignment horizontal="center" vertical="center" wrapText="1"/>
    </xf>
    <xf numFmtId="0" fontId="77" fillId="15" borderId="4" xfId="0" applyFont="1" applyFill="1" applyBorder="1" applyAlignment="1">
      <alignment horizontal="center" vertical="center" wrapText="1"/>
    </xf>
    <xf numFmtId="0" fontId="77" fillId="15" borderId="18" xfId="0" applyFont="1" applyFill="1" applyBorder="1" applyAlignment="1">
      <alignment horizontal="center" vertical="center" wrapText="1"/>
    </xf>
    <xf numFmtId="0" fontId="77" fillId="0" borderId="4" xfId="0" applyFont="1" applyBorder="1" applyAlignment="1">
      <alignment horizontal="center" vertical="center" wrapText="1"/>
    </xf>
    <xf numFmtId="0" fontId="77" fillId="0" borderId="18" xfId="0" applyFont="1" applyBorder="1" applyAlignment="1">
      <alignment horizontal="center" vertical="center" wrapText="1"/>
    </xf>
    <xf numFmtId="0" fontId="0" fillId="0" borderId="3" xfId="0" applyBorder="1" applyAlignment="1">
      <alignment horizontal="left" vertical="center" wrapText="1"/>
    </xf>
    <xf numFmtId="0" fontId="0" fillId="0" borderId="28" xfId="0" applyBorder="1" applyAlignment="1">
      <alignment horizontal="left" vertical="center" wrapText="1"/>
    </xf>
    <xf numFmtId="0" fontId="0" fillId="0" borderId="4" xfId="0" applyBorder="1" applyAlignment="1">
      <alignment horizontal="center" vertical="center" wrapText="1"/>
    </xf>
    <xf numFmtId="0" fontId="109" fillId="56" borderId="0" xfId="0" applyFont="1" applyFill="1" applyAlignment="1">
      <alignment horizontal="center" vertical="center" wrapText="1"/>
    </xf>
    <xf numFmtId="0" fontId="109" fillId="56" borderId="37" xfId="0" applyFont="1" applyFill="1" applyBorder="1" applyAlignment="1">
      <alignment horizontal="center" vertical="center" wrapText="1"/>
    </xf>
    <xf numFmtId="0" fontId="109" fillId="57" borderId="80" xfId="0" applyFont="1" applyFill="1" applyBorder="1" applyAlignment="1">
      <alignment horizontal="center" vertical="center" wrapText="1"/>
    </xf>
    <xf numFmtId="0" fontId="109" fillId="57" borderId="43" xfId="0" applyFont="1" applyFill="1" applyBorder="1" applyAlignment="1">
      <alignment horizontal="center" vertical="center" wrapText="1"/>
    </xf>
    <xf numFmtId="0" fontId="109" fillId="57" borderId="81" xfId="0" applyFont="1" applyFill="1" applyBorder="1" applyAlignment="1">
      <alignment horizontal="center" vertical="center" wrapText="1"/>
    </xf>
    <xf numFmtId="0" fontId="109" fillId="57" borderId="9" xfId="0" applyFont="1" applyFill="1" applyBorder="1" applyAlignment="1">
      <alignment horizontal="center" vertical="center" wrapText="1"/>
    </xf>
    <xf numFmtId="0" fontId="109" fillId="57" borderId="14" xfId="0" applyFont="1" applyFill="1" applyBorder="1" applyAlignment="1">
      <alignment horizontal="center" vertical="center" wrapText="1"/>
    </xf>
    <xf numFmtId="0" fontId="109" fillId="57" borderId="50" xfId="0" applyFont="1" applyFill="1" applyBorder="1" applyAlignment="1">
      <alignment horizontal="center" vertical="center" wrapText="1"/>
    </xf>
    <xf numFmtId="0" fontId="109" fillId="57" borderId="52" xfId="0" applyFont="1" applyFill="1" applyBorder="1" applyAlignment="1">
      <alignment horizontal="center" vertical="center" wrapText="1"/>
    </xf>
    <xf numFmtId="0" fontId="110" fillId="0" borderId="27" xfId="17" applyFont="1" applyFill="1" applyBorder="1" applyAlignment="1">
      <alignment vertical="center" wrapText="1"/>
    </xf>
    <xf numFmtId="9" fontId="111" fillId="0" borderId="17" xfId="0" applyNumberFormat="1" applyFont="1" applyBorder="1" applyAlignment="1">
      <alignment horizontal="left" vertical="center" wrapText="1"/>
    </xf>
    <xf numFmtId="9" fontId="111" fillId="0" borderId="4" xfId="0" applyNumberFormat="1" applyFont="1" applyBorder="1" applyAlignment="1">
      <alignment horizontal="left" vertical="center" wrapText="1"/>
    </xf>
    <xf numFmtId="9" fontId="112" fillId="0" borderId="3" xfId="1" applyFont="1" applyFill="1" applyBorder="1" applyAlignment="1">
      <alignment horizontal="center" vertical="center" wrapText="1"/>
    </xf>
    <xf numFmtId="9" fontId="112" fillId="0" borderId="10" xfId="1" applyFont="1" applyFill="1" applyBorder="1" applyAlignment="1">
      <alignment horizontal="center" vertical="center" wrapText="1"/>
    </xf>
    <xf numFmtId="0" fontId="110" fillId="0" borderId="29" xfId="17" applyFont="1" applyFill="1" applyBorder="1" applyAlignment="1">
      <alignment vertical="center" wrapText="1"/>
    </xf>
    <xf numFmtId="9" fontId="111" fillId="0" borderId="30" xfId="0" applyNumberFormat="1" applyFont="1" applyBorder="1" applyAlignment="1">
      <alignment horizontal="left" vertical="center" wrapText="1"/>
    </xf>
    <xf numFmtId="9" fontId="111" fillId="0" borderId="18" xfId="0" applyNumberFormat="1" applyFont="1" applyBorder="1" applyAlignment="1">
      <alignment horizontal="left" vertical="center" wrapText="1"/>
    </xf>
    <xf numFmtId="9" fontId="111" fillId="0" borderId="4" xfId="1" applyFont="1" applyFill="1" applyBorder="1" applyAlignment="1">
      <alignment horizontal="left" vertical="center" wrapText="1"/>
    </xf>
    <xf numFmtId="9" fontId="111" fillId="0" borderId="18" xfId="1" applyFont="1" applyFill="1" applyBorder="1" applyAlignment="1">
      <alignment horizontal="left" vertical="center" wrapText="1"/>
    </xf>
    <xf numFmtId="9" fontId="111" fillId="0" borderId="17" xfId="1" applyFont="1" applyFill="1" applyBorder="1" applyAlignment="1">
      <alignment horizontal="left" vertical="center" wrapText="1"/>
    </xf>
    <xf numFmtId="9" fontId="111" fillId="0" borderId="30" xfId="1" applyFont="1" applyFill="1" applyBorder="1" applyAlignment="1">
      <alignment horizontal="left" vertical="center" wrapText="1"/>
    </xf>
    <xf numFmtId="9" fontId="111" fillId="0" borderId="64" xfId="1" applyFont="1" applyFill="1" applyBorder="1" applyAlignment="1">
      <alignment horizontal="left" vertical="center" wrapText="1"/>
    </xf>
    <xf numFmtId="9" fontId="111" fillId="0" borderId="36" xfId="1" applyFont="1" applyFill="1" applyBorder="1" applyAlignment="1">
      <alignment horizontal="left" vertical="center" wrapText="1"/>
    </xf>
    <xf numFmtId="9" fontId="112" fillId="0" borderId="6" xfId="1" applyFont="1" applyFill="1" applyBorder="1" applyAlignment="1">
      <alignment horizontal="center" vertical="center" wrapText="1"/>
    </xf>
    <xf numFmtId="9" fontId="112" fillId="0" borderId="12" xfId="1" applyFont="1" applyFill="1" applyBorder="1" applyAlignment="1">
      <alignment horizontal="center" vertical="center" wrapText="1"/>
    </xf>
    <xf numFmtId="0" fontId="103" fillId="0" borderId="49" xfId="0" applyFont="1" applyBorder="1" applyAlignment="1">
      <alignment horizontal="center" vertical="center" wrapText="1"/>
    </xf>
    <xf numFmtId="0" fontId="103" fillId="0" borderId="0" xfId="0" applyFont="1" applyBorder="1" applyAlignment="1">
      <alignment horizontal="center" vertical="center" wrapText="1"/>
    </xf>
    <xf numFmtId="0" fontId="103" fillId="0" borderId="50" xfId="0" applyFont="1" applyBorder="1" applyAlignment="1">
      <alignment horizontal="center" vertical="center" wrapText="1"/>
    </xf>
    <xf numFmtId="0" fontId="103" fillId="0" borderId="29" xfId="0" applyFont="1" applyBorder="1" applyAlignment="1">
      <alignment horizontal="center" vertical="center" wrapText="1"/>
    </xf>
    <xf numFmtId="0" fontId="103" fillId="0" borderId="37" xfId="0" applyFont="1" applyBorder="1" applyAlignment="1">
      <alignment horizontal="center" vertical="center" wrapText="1"/>
    </xf>
    <xf numFmtId="0" fontId="103" fillId="0" borderId="28" xfId="0" applyFont="1" applyBorder="1" applyAlignment="1">
      <alignment horizontal="center" vertical="center" wrapText="1"/>
    </xf>
  </cellXfs>
  <cellStyles count="18">
    <cellStyle name="BodyStyle" xfId="6" xr:uid="{4B07DE25-44A9-4C6D-9D4A-C1DCA38E3160}"/>
    <cellStyle name="Currency" xfId="7" xr:uid="{03572155-C162-4791-9109-C10292CBF250}"/>
    <cellStyle name="Énfasis1" xfId="15" builtinId="29"/>
    <cellStyle name="HeaderStyle" xfId="5" xr:uid="{ACF2BE0B-6308-4E70-9C67-70CC8A6F1CE4}"/>
    <cellStyle name="Hipervínculo" xfId="17" builtinId="8"/>
    <cellStyle name="Millares [0] 2" xfId="16" xr:uid="{8662415A-3695-447A-B6BD-538898E6DDC0}"/>
    <cellStyle name="Moneda" xfId="12" builtinId="4"/>
    <cellStyle name="Moneda [0]" xfId="13" builtinId="7"/>
    <cellStyle name="Moneda [0] 2" xfId="14" xr:uid="{89F1FB70-A0D6-411A-9364-73CF0DEB8016}"/>
    <cellStyle name="Normal" xfId="0" builtinId="0"/>
    <cellStyle name="Normal 2" xfId="2" xr:uid="{F6D7B5C7-EAA5-41B2-A428-B1E4829B4239}"/>
    <cellStyle name="Normal 3" xfId="4" xr:uid="{8069BBAF-1CE5-4F46-BC5E-D38D0AE969E4}"/>
    <cellStyle name="Normal 3 2" xfId="8" xr:uid="{B1D857C4-83C1-4514-BE1D-B98CEABCEF95}"/>
    <cellStyle name="Normal 3 3" xfId="10" xr:uid="{0FB35615-D1F0-4E93-BBEF-02F9F9553572}"/>
    <cellStyle name="Normal 4" xfId="11" xr:uid="{9F39EDBA-C3B6-4186-879C-9E462FD6FBA0}"/>
    <cellStyle name="Normal 98" xfId="3" xr:uid="{FE56FDC3-B997-4D23-979B-AD55E7AB71E0}"/>
    <cellStyle name="Porcentaje" xfId="1" builtinId="5"/>
    <cellStyle name="Porcentaje 2" xfId="9" xr:uid="{4373C23F-B165-471E-A82A-D4734129498A}"/>
  </cellStyles>
  <dxfs count="188">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9B4CBA"/>
      <color rgb="FF5BE3F5"/>
      <color rgb="FF532963"/>
      <color rgb="FFE63992"/>
      <color rgb="FF95E069"/>
      <color rgb="FFBB0113"/>
      <color rgb="FFFF33CC"/>
      <color rgb="FFC3FF9C"/>
      <color rgb="FFFF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EJECUCIÓN!$AH$1</c:f>
              <c:strCache>
                <c:ptCount val="1"/>
                <c:pt idx="0">
                  <c:v>CUMPLIMIENTO 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1.6962218106077082E-2"/>
                  <c:y val="4.42386938786884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AC-4E9F-8865-60734C1ED0BD}"/>
                </c:ext>
              </c:extLst>
            </c:dLbl>
            <c:dLbl>
              <c:idx val="1"/>
              <c:layout>
                <c:manualLayout>
                  <c:x val="-1.1308145404051388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AC-4E9F-8865-60734C1ED0BD}"/>
                </c:ext>
              </c:extLst>
            </c:dLbl>
            <c:dLbl>
              <c:idx val="2"/>
              <c:layout>
                <c:manualLayout>
                  <c:x val="-2.8270363510128575E-2"/>
                  <c:y val="-1.10596734696721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AC-4E9F-8865-60734C1ED0BD}"/>
                </c:ext>
              </c:extLst>
            </c:dLbl>
            <c:dLbl>
              <c:idx val="3"/>
              <c:layout>
                <c:manualLayout>
                  <c:x val="-1.9789254457089928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0AC-4E9F-8865-60734C1ED0BD}"/>
                </c:ext>
              </c:extLst>
            </c:dLbl>
            <c:dLbl>
              <c:idx val="5"/>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1CF07161-1914-476B-9368-FE7844A19F9E}" type="VALUE">
                      <a:rPr lang="en-US" b="1">
                        <a:solidFill>
                          <a:schemeClr val="bg1"/>
                        </a:solidFill>
                      </a:rPr>
                      <a:pPr>
                        <a:defRPr/>
                      </a:pPr>
                      <a:t>[VALOR]</a:t>
                    </a:fld>
                    <a:endParaRPr lang="es-CO"/>
                  </a:p>
                </c:rich>
              </c:tx>
              <c:spPr>
                <a:solidFill>
                  <a:srgbClr val="C00000"/>
                </a:solidFill>
                <a:ln>
                  <a:solidFill>
                    <a:srgbClr val="C00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70AC-4E9F-8865-60734C1ED0BD}"/>
                </c:ext>
              </c:extLst>
            </c:dLbl>
            <c:dLbl>
              <c:idx val="8"/>
              <c:layout>
                <c:manualLayout>
                  <c:x val="4.8448731749537732E-2"/>
                  <c:y val="-3.0030917657351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0AC-4E9F-8865-60734C1ED0BD}"/>
                </c:ext>
              </c:extLst>
            </c:dLbl>
            <c:dLbl>
              <c:idx val="10"/>
              <c:layout>
                <c:manualLayout>
                  <c:x val="4.844873174953776E-2"/>
                  <c:y val="-3.37847823645209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0AC-4E9F-8865-60734C1ED0BD}"/>
                </c:ext>
              </c:extLst>
            </c:dLbl>
            <c:dLbl>
              <c:idx val="12"/>
              <c:layout>
                <c:manualLayout>
                  <c:x val="-1.4249626985158172E-2"/>
                  <c:y val="7.50772941433799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0AC-4E9F-8865-60734C1ED0BD}"/>
                </c:ext>
              </c:extLst>
            </c:dLbl>
            <c:spPr>
              <a:solidFill>
                <a:srgbClr val="92D050"/>
              </a:solidFill>
              <a:ln>
                <a:solidFill>
                  <a:srgbClr val="92D05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EJECUCIÓN!$AH$2:$AH$14</c:f>
              <c:numCache>
                <c:formatCode>0%</c:formatCode>
                <c:ptCount val="13"/>
                <c:pt idx="0">
                  <c:v>0</c:v>
                </c:pt>
                <c:pt idx="1">
                  <c:v>1.0526315789473684</c:v>
                </c:pt>
                <c:pt idx="2">
                  <c:v>0</c:v>
                </c:pt>
                <c:pt idx="3">
                  <c:v>0</c:v>
                </c:pt>
                <c:pt idx="5">
                  <c:v>0.49197860962566847</c:v>
                </c:pt>
                <c:pt idx="8">
                  <c:v>0</c:v>
                </c:pt>
                <c:pt idx="10">
                  <c:v>0</c:v>
                </c:pt>
                <c:pt idx="12">
                  <c:v>0</c:v>
                </c:pt>
              </c:numCache>
            </c:numRef>
          </c:val>
          <c:extLst>
            <c:ext xmlns:c16="http://schemas.microsoft.com/office/drawing/2014/chart" uri="{C3380CC4-5D6E-409C-BE32-E72D297353CC}">
              <c16:uniqueId val="{0000000C-341E-45EC-BFCD-80CBCA747FF4}"/>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EJECUCIÓN!$AJ$1</c:f>
              <c:strCache>
                <c:ptCount val="1"/>
                <c:pt idx="0">
                  <c:v>CUMPLIMIENTO III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2.8270369803149705E-3"/>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4D-4AA0-8AF0-2CF48C7B09F0}"/>
                </c:ext>
              </c:extLst>
            </c:dLbl>
            <c:dLbl>
              <c:idx val="1"/>
              <c:layout>
                <c:manualLayout>
                  <c:x val="-1.1308147921259674E-2"/>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4D-4AA0-8AF0-2CF48C7B09F0}"/>
                </c:ext>
              </c:extLst>
            </c:dLbl>
            <c:dLbl>
              <c:idx val="2"/>
              <c:layout>
                <c:manualLayout>
                  <c:x val="-2.2616295842519347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4D-4AA0-8AF0-2CF48C7B09F0}"/>
                </c:ext>
              </c:extLst>
            </c:dLbl>
            <c:dLbl>
              <c:idx val="3"/>
              <c:layout>
                <c:manualLayout>
                  <c:x val="-2.8270369803149186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34D-4AA0-8AF0-2CF48C7B09F0}"/>
                </c:ext>
              </c:extLst>
            </c:dLbl>
            <c:dLbl>
              <c:idx val="5"/>
              <c:layout>
                <c:manualLayout>
                  <c:x val="-1.9949477779221441E-2"/>
                  <c:y val="-2.2565542239319124E-2"/>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CC17DA0A-B36B-461A-A1E1-4E1732F8CB1D}"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A34D-4AA0-8AF0-2CF48C7B09F0}"/>
                </c:ext>
              </c:extLst>
            </c:dLbl>
            <c:dLbl>
              <c:idx val="8"/>
              <c:layout>
                <c:manualLayout>
                  <c:x val="4.2748880955474466E-2"/>
                  <c:y val="-1.12827711196595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34D-4AA0-8AF0-2CF48C7B09F0}"/>
                </c:ext>
              </c:extLst>
            </c:dLbl>
            <c:dLbl>
              <c:idx val="9"/>
              <c:layout>
                <c:manualLayout>
                  <c:x val="1.4249626985158172E-2"/>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34D-4AA0-8AF0-2CF48C7B09F0}"/>
                </c:ext>
              </c:extLst>
            </c:dLbl>
            <c:dLbl>
              <c:idx val="10"/>
              <c:layout>
                <c:manualLayout>
                  <c:x val="5.984843333766432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34D-4AA0-8AF0-2CF48C7B09F0}"/>
                </c:ext>
              </c:extLst>
            </c:dLbl>
            <c:dLbl>
              <c:idx val="12"/>
              <c:layout>
                <c:manualLayout>
                  <c:x val="-3.1349179367348032E-2"/>
                  <c:y val="8.6501245250723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34D-4AA0-8AF0-2CF48C7B09F0}"/>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EJECUCIÓN!$AJ$2:$AJ$14</c:f>
              <c:numCache>
                <c:formatCode>0%</c:formatCode>
                <c:ptCount val="13"/>
                <c:pt idx="0">
                  <c:v>0</c:v>
                </c:pt>
                <c:pt idx="1">
                  <c:v>1.0526315789473684</c:v>
                </c:pt>
                <c:pt idx="2">
                  <c:v>0</c:v>
                </c:pt>
                <c:pt idx="3">
                  <c:v>0</c:v>
                </c:pt>
                <c:pt idx="5">
                  <c:v>0.83</c:v>
                </c:pt>
                <c:pt idx="8">
                  <c:v>0</c:v>
                </c:pt>
                <c:pt idx="9">
                  <c:v>0</c:v>
                </c:pt>
                <c:pt idx="10">
                  <c:v>0</c:v>
                </c:pt>
                <c:pt idx="12">
                  <c:v>0</c:v>
                </c:pt>
              </c:numCache>
            </c:numRef>
          </c:val>
          <c:extLst>
            <c:ext xmlns:c16="http://schemas.microsoft.com/office/drawing/2014/chart" uri="{C3380CC4-5D6E-409C-BE32-E72D297353CC}">
              <c16:uniqueId val="{00000003-A34D-4AA0-8AF0-2CF48C7B09F0}"/>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462570635826769"/>
          <c:y val="7.222576363997367E-2"/>
          <c:w val="0.66936537167205079"/>
          <c:h val="0.88727725353183851"/>
        </c:manualLayout>
      </c:layout>
      <c:radarChart>
        <c:radarStyle val="marker"/>
        <c:varyColors val="0"/>
        <c:ser>
          <c:idx val="0"/>
          <c:order val="0"/>
          <c:tx>
            <c:strRef>
              <c:f>EJECUCIÓN!$AK$1</c:f>
              <c:strCache>
                <c:ptCount val="1"/>
                <c:pt idx="0">
                  <c:v>CUMPLIMIENTO IV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A-638D-473A-85FE-1C3F8027C97B}"/>
                </c:ext>
              </c:extLst>
            </c:dLbl>
            <c:dLbl>
              <c:idx val="1"/>
              <c:layout>
                <c:manualLayout>
                  <c:x val="-1.9025260366787432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8D-473A-85FE-1C3F8027C97B}"/>
                </c:ext>
              </c:extLst>
            </c:dLbl>
            <c:dLbl>
              <c:idx val="2"/>
              <c:layout>
                <c:manualLayout>
                  <c:x val="-4.892209808602466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8D-473A-85FE-1C3F8027C97B}"/>
                </c:ext>
              </c:extLst>
            </c:dLbl>
            <c:dLbl>
              <c:idx val="3"/>
              <c:layout>
                <c:manualLayout>
                  <c:x val="-2.174315470489980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8D-473A-85FE-1C3F8027C97B}"/>
                </c:ext>
              </c:extLst>
            </c:dLbl>
            <c:dLbl>
              <c:idx val="4"/>
              <c:layout>
                <c:manualLayout>
                  <c:x val="-2.7178943381124858E-2"/>
                  <c:y val="-1.3764011589916566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8D-473A-85FE-1C3F8027C97B}"/>
                </c:ext>
              </c:extLst>
            </c:dLbl>
            <c:dLbl>
              <c:idx val="5"/>
              <c:spPr>
                <a:solidFill>
                  <a:srgbClr val="C00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3-638D-473A-85FE-1C3F8027C97B}"/>
                </c:ext>
              </c:extLst>
            </c:dLbl>
            <c:dLbl>
              <c:idx val="6"/>
              <c:layout>
                <c:manualLayout>
                  <c:x val="3.2614732057349709E-2"/>
                  <c:y val="-6.3815700021873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8D-473A-85FE-1C3F8027C97B}"/>
                </c:ext>
              </c:extLst>
            </c:dLbl>
            <c:dLbl>
              <c:idx val="7"/>
              <c:layout>
                <c:manualLayout>
                  <c:x val="2.7178943381125256E-3"/>
                  <c:y val="-4.1292511778859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E3-4FEB-A1F5-1FD06C4D2EFD}"/>
                </c:ext>
              </c:extLst>
            </c:dLbl>
            <c:dLbl>
              <c:idx val="8"/>
              <c:layout>
                <c:manualLayout>
                  <c:x val="3.8050520733574664E-2"/>
                  <c:y val="-2.60751718797108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8D-473A-85FE-1C3F8027C97B}"/>
                </c:ext>
              </c:extLst>
            </c:dLbl>
            <c:dLbl>
              <c:idx val="9"/>
              <c:layout>
                <c:manualLayout>
                  <c:x val="1.9935269797752314E-2"/>
                  <c:y val="-4.12925117788590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11-4EA4-B6D3-B60813C9A743}"/>
                </c:ext>
              </c:extLst>
            </c:dLbl>
            <c:dLbl>
              <c:idx val="10"/>
              <c:layout>
                <c:manualLayout>
                  <c:x val="2.9896837719237235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8D-473A-85FE-1C3F8027C97B}"/>
                </c:ext>
              </c:extLst>
            </c:dLbl>
            <c:dLbl>
              <c:idx val="11"/>
              <c:layout>
                <c:manualLayout>
                  <c:x val="3.2614732057349737E-2"/>
                  <c:y val="-3.68655782322403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8D-473A-85FE-1C3F8027C97B}"/>
                </c:ext>
              </c:extLst>
            </c:dLbl>
            <c:dLbl>
              <c:idx val="12"/>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9-638D-473A-85FE-1C3F8027C97B}"/>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EJECUCIÓN!$AK$2:$AK$14</c:f>
              <c:numCache>
                <c:formatCode>0%</c:formatCode>
                <c:ptCount val="13"/>
                <c:pt idx="0">
                  <c:v>0</c:v>
                </c:pt>
                <c:pt idx="1">
                  <c:v>1.0526315789473684</c:v>
                </c:pt>
                <c:pt idx="2">
                  <c:v>0</c:v>
                </c:pt>
                <c:pt idx="3">
                  <c:v>0</c:v>
                </c:pt>
                <c:pt idx="4">
                  <c:v>1.0526315789473684</c:v>
                </c:pt>
                <c:pt idx="5">
                  <c:v>0</c:v>
                </c:pt>
                <c:pt idx="6">
                  <c:v>1.3157894736842106</c:v>
                </c:pt>
                <c:pt idx="7">
                  <c:v>0</c:v>
                </c:pt>
                <c:pt idx="8">
                  <c:v>0</c:v>
                </c:pt>
                <c:pt idx="9">
                  <c:v>0</c:v>
                </c:pt>
                <c:pt idx="10">
                  <c:v>0</c:v>
                </c:pt>
                <c:pt idx="11">
                  <c:v>1.0526315789473684</c:v>
                </c:pt>
                <c:pt idx="12">
                  <c:v>0</c:v>
                </c:pt>
              </c:numCache>
            </c:numRef>
          </c:val>
          <c:extLst>
            <c:ext xmlns:c16="http://schemas.microsoft.com/office/drawing/2014/chart" uri="{C3380CC4-5D6E-409C-BE32-E72D297353CC}">
              <c16:uniqueId val="{00000003-2811-4EA4-B6D3-B60813C9A743}"/>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EJECUCIÓN!$AI$1</c:f>
              <c:strCache>
                <c:ptCount val="1"/>
                <c:pt idx="0">
                  <c:v>CUMPLIMIENTO 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5.1828401042457328E-17"/>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16-4B8C-A35B-CD1291EB11F1}"/>
                </c:ext>
              </c:extLst>
            </c:dLbl>
            <c:dLbl>
              <c:idx val="1"/>
              <c:layout>
                <c:manualLayout>
                  <c:x val="0"/>
                  <c:y val="4.7925251701912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16-4B8C-A35B-CD1291EB11F1}"/>
                </c:ext>
              </c:extLst>
            </c:dLbl>
            <c:dLbl>
              <c:idx val="2"/>
              <c:layout>
                <c:manualLayout>
                  <c:x val="-1.6962218106077186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16-4B8C-A35B-CD1291EB11F1}"/>
                </c:ext>
              </c:extLst>
            </c:dLbl>
            <c:dLbl>
              <c:idx val="3"/>
              <c:layout>
                <c:manualLayout>
                  <c:x val="-2.827036351012847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16-4B8C-A35B-CD1291EB11F1}"/>
                </c:ext>
              </c:extLst>
            </c:dLbl>
            <c:dLbl>
              <c:idx val="4"/>
              <c:layout>
                <c:manualLayout>
                  <c:x val="-1.6962218106077082E-2"/>
                  <c:y val="-3.68655782322403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16-4B8C-A35B-CD1291EB11F1}"/>
                </c:ext>
              </c:extLst>
            </c:dLbl>
            <c:dLbl>
              <c:idx val="5"/>
              <c:layout>
                <c:manualLayout>
                  <c:x val="-2.2799398059986757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C16-4B8C-A35B-CD1291EB11F1}"/>
                </c:ext>
              </c:extLst>
            </c:dLbl>
            <c:dLbl>
              <c:idx val="6"/>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3FE144B3-6C0B-417D-A6E3-0F36DBBA1F21}"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EC16-4B8C-A35B-CD1291EB11F1}"/>
                </c:ext>
              </c:extLst>
            </c:dLbl>
            <c:dLbl>
              <c:idx val="7"/>
              <c:layout>
                <c:manualLayout>
                  <c:x val="-5.2248016980585419E-17"/>
                  <c:y val="-4.51310844786382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C16-4B8C-A35B-CD1291EB11F1}"/>
                </c:ext>
              </c:extLst>
            </c:dLbl>
            <c:dLbl>
              <c:idx val="8"/>
              <c:layout>
                <c:manualLayout>
                  <c:x val="-1.709954854498999E-2"/>
                  <c:y val="-6.39357030114041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C16-4B8C-A35B-CD1291EB11F1}"/>
                </c:ext>
              </c:extLst>
            </c:dLbl>
            <c:dLbl>
              <c:idx val="9"/>
              <c:layout>
                <c:manualLayout>
                  <c:x val="5.6998495149966633E-3"/>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C16-4B8C-A35B-CD1291EB11F1}"/>
                </c:ext>
              </c:extLst>
            </c:dLbl>
            <c:dLbl>
              <c:idx val="10"/>
              <c:layout>
                <c:manualLayout>
                  <c:x val="4.8448720877471638E-2"/>
                  <c:y val="-2.63264659458723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C16-4B8C-A35B-CD1291EB11F1}"/>
                </c:ext>
              </c:extLst>
            </c:dLbl>
            <c:dLbl>
              <c:idx val="12"/>
              <c:layout>
                <c:manualLayout>
                  <c:x val="-2.2799398059986705E-2"/>
                  <c:y val="6.7696626717957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C16-4B8C-A35B-CD1291EB11F1}"/>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EJECUCIÓN!$AI$2:$AI$14</c:f>
              <c:numCache>
                <c:formatCode>0%</c:formatCode>
                <c:ptCount val="13"/>
                <c:pt idx="0">
                  <c:v>0</c:v>
                </c:pt>
                <c:pt idx="1">
                  <c:v>1.0526315789473684</c:v>
                </c:pt>
                <c:pt idx="2">
                  <c:v>0</c:v>
                </c:pt>
                <c:pt idx="3">
                  <c:v>0</c:v>
                </c:pt>
                <c:pt idx="4">
                  <c:v>1.0526315789473684</c:v>
                </c:pt>
                <c:pt idx="5">
                  <c:v>0.95336787564766834</c:v>
                </c:pt>
                <c:pt idx="6">
                  <c:v>0.78947368421052633</c:v>
                </c:pt>
                <c:pt idx="7">
                  <c:v>0</c:v>
                </c:pt>
                <c:pt idx="8">
                  <c:v>0</c:v>
                </c:pt>
                <c:pt idx="9">
                  <c:v>0</c:v>
                </c:pt>
                <c:pt idx="10">
                  <c:v>0</c:v>
                </c:pt>
                <c:pt idx="12">
                  <c:v>0</c:v>
                </c:pt>
              </c:numCache>
            </c:numRef>
          </c:val>
          <c:extLst>
            <c:ext xmlns:c16="http://schemas.microsoft.com/office/drawing/2014/chart" uri="{C3380CC4-5D6E-409C-BE32-E72D297353CC}">
              <c16:uniqueId val="{00000003-EC16-4B8C-A35B-CD1291EB11F1}"/>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EJECUCIÓN!$AG$1</c:f>
              <c:strCache>
                <c:ptCount val="1"/>
                <c:pt idx="0">
                  <c:v>EJECUTADO GLOBAL</c:v>
                </c:pt>
              </c:strCache>
            </c:strRef>
          </c:tx>
          <c:spPr>
            <a:ln w="28575" cap="rnd">
              <a:solidFill>
                <a:schemeClr val="accent1"/>
              </a:solidFill>
              <a:round/>
            </a:ln>
            <a:effectLst/>
          </c:spPr>
          <c:marker>
            <c:symbol val="none"/>
          </c:marker>
          <c:dLbls>
            <c:dLbl>
              <c:idx val="0"/>
              <c:layout>
                <c:manualLayout>
                  <c:x val="0"/>
                  <c:y val="2.3234328262639384E-2"/>
                </c:manualLayout>
              </c:layout>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A65-4AEB-B6E1-3244366524D2}"/>
                </c:ext>
              </c:extLst>
            </c:dLbl>
            <c:dLbl>
              <c:idx val="1"/>
              <c:layout>
                <c:manualLayout>
                  <c:x val="-2.1982824836264736E-2"/>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65-4AEB-B6E1-3244366524D2}"/>
                </c:ext>
              </c:extLst>
            </c:dLbl>
            <c:dLbl>
              <c:idx val="2"/>
              <c:layout>
                <c:manualLayout>
                  <c:x val="-3.0226384149864012E-2"/>
                  <c:y val="1.9361940218866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65-4AEB-B6E1-3244366524D2}"/>
                </c:ext>
              </c:extLst>
            </c:dLbl>
            <c:dLbl>
              <c:idx val="3"/>
              <c:layout>
                <c:manualLayout>
                  <c:x val="-2.4730677940797828E-2"/>
                  <c:y val="4.2596268481505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65-4AEB-B6E1-3244366524D2}"/>
                </c:ext>
              </c:extLst>
            </c:dLbl>
            <c:dLbl>
              <c:idx val="4"/>
              <c:layout>
                <c:manualLayout>
                  <c:x val="-3.0226384149864116E-2"/>
                  <c:y val="1.9361940218866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65-4AEB-B6E1-3244366524D2}"/>
                </c:ext>
              </c:extLst>
            </c:dLbl>
            <c:dLbl>
              <c:idx val="5"/>
              <c:layout>
                <c:manualLayout>
                  <c:x val="-1.3739265522665562E-2"/>
                  <c:y val="-2.7106716306412613E-2"/>
                </c:manualLayout>
              </c:layout>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65-4AEB-B6E1-3244366524D2}"/>
                </c:ext>
              </c:extLst>
            </c:dLbl>
            <c:dLbl>
              <c:idx val="6"/>
              <c:layout>
                <c:manualLayout>
                  <c:x val="-1.9234971731731644E-2"/>
                  <c:y val="-4.64686565252787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65-4AEB-B6E1-3244366524D2}"/>
                </c:ext>
              </c:extLst>
            </c:dLbl>
            <c:dLbl>
              <c:idx val="7"/>
              <c:layout>
                <c:manualLayout>
                  <c:x val="-2.747853104533092E-3"/>
                  <c:y val="-4.2596268481505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65-4AEB-B6E1-3244366524D2}"/>
                </c:ext>
              </c:extLst>
            </c:dLbl>
            <c:dLbl>
              <c:idx val="8"/>
              <c:layout>
                <c:manualLayout>
                  <c:x val="8.243559313599276E-3"/>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A65-4AEB-B6E1-3244366524D2}"/>
                </c:ext>
              </c:extLst>
            </c:dLbl>
            <c:dLbl>
              <c:idx val="9"/>
              <c:layout>
                <c:manualLayout>
                  <c:x val="3.0226384149863988E-2"/>
                  <c:y val="-3.0979104350185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A65-4AEB-B6E1-3244366524D2}"/>
                </c:ext>
              </c:extLst>
            </c:dLbl>
            <c:dLbl>
              <c:idx val="10"/>
              <c:layout>
                <c:manualLayout>
                  <c:x val="3.2974237254397083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A65-4AEB-B6E1-3244366524D2}"/>
                </c:ext>
              </c:extLst>
            </c:dLbl>
            <c:dLbl>
              <c:idx val="11"/>
              <c:layout>
                <c:manualLayout>
                  <c:x val="2.747853104533092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A65-4AEB-B6E1-3244366524D2}"/>
                </c:ext>
              </c:extLst>
            </c:dLbl>
            <c:dLbl>
              <c:idx val="12"/>
              <c:layout>
                <c:manualLayout>
                  <c:x val="2.4713700536112167E-2"/>
                  <c:y val="3.0348759823021328E-2"/>
                </c:manualLayout>
              </c:layout>
              <c:spPr>
                <a:solidFill>
                  <a:srgbClr val="92D050"/>
                </a:solidFill>
                <a:ln>
                  <a:solidFill>
                    <a:schemeClr val="bg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A65-4AEB-B6E1-3244366524D2}"/>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EJECUCIÓN!$AG$2:$AG$14</c:f>
              <c:numCache>
                <c:formatCode>0%</c:formatCode>
                <c:ptCount val="13"/>
                <c:pt idx="0">
                  <c:v>0</c:v>
                </c:pt>
                <c:pt idx="1">
                  <c:v>1.0526315789473684</c:v>
                </c:pt>
                <c:pt idx="2">
                  <c:v>0</c:v>
                </c:pt>
                <c:pt idx="3">
                  <c:v>1.7543859649122806E-2</c:v>
                </c:pt>
                <c:pt idx="4">
                  <c:v>1</c:v>
                </c:pt>
                <c:pt idx="5">
                  <c:v>0.83174603174603179</c:v>
                </c:pt>
                <c:pt idx="6">
                  <c:v>1</c:v>
                </c:pt>
                <c:pt idx="7">
                  <c:v>0</c:v>
                </c:pt>
                <c:pt idx="8">
                  <c:v>0</c:v>
                </c:pt>
                <c:pt idx="9">
                  <c:v>0</c:v>
                </c:pt>
                <c:pt idx="10">
                  <c:v>0</c:v>
                </c:pt>
                <c:pt idx="11">
                  <c:v>1</c:v>
                </c:pt>
                <c:pt idx="12">
                  <c:v>0</c:v>
                </c:pt>
              </c:numCache>
            </c:numRef>
          </c:val>
          <c:extLst>
            <c:ext xmlns:c16="http://schemas.microsoft.com/office/drawing/2014/chart" uri="{C3380CC4-5D6E-409C-BE32-E72D297353CC}">
              <c16:uniqueId val="{00000000-BA65-4AEB-B6E1-3244366524D2}"/>
            </c:ext>
          </c:extLst>
        </c:ser>
        <c:dLbls>
          <c:showLegendKey val="0"/>
          <c:showVal val="0"/>
          <c:showCatName val="0"/>
          <c:showSerName val="0"/>
          <c:showPercent val="0"/>
          <c:showBubbleSize val="0"/>
        </c:dLbls>
        <c:axId val="1307060784"/>
        <c:axId val="829504384"/>
      </c:radarChart>
      <c:catAx>
        <c:axId val="1307060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29504384"/>
        <c:crosses val="autoZero"/>
        <c:auto val="1"/>
        <c:lblAlgn val="ctr"/>
        <c:lblOffset val="100"/>
        <c:noMultiLvlLbl val="0"/>
      </c:catAx>
      <c:valAx>
        <c:axId val="829504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0607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07. PIC'!&#193;rea_de_impresi&#243;n"/><Relationship Id="rId13" Type="http://schemas.openxmlformats.org/officeDocument/2006/relationships/hyperlink" Target="#'08. PII'!&#193;rea_de_impresi&#243;n"/><Relationship Id="rId3" Type="http://schemas.openxmlformats.org/officeDocument/2006/relationships/hyperlink" Target="#'13.PSPI'!A1"/><Relationship Id="rId7" Type="http://schemas.openxmlformats.org/officeDocument/2006/relationships/hyperlink" Target="#'09. PSST'!&#193;rea_de_impresi&#243;n"/><Relationship Id="rId12" Type="http://schemas.openxmlformats.org/officeDocument/2006/relationships/hyperlink" Target="#'06. PIC'!A1"/><Relationship Id="rId17" Type="http://schemas.openxmlformats.org/officeDocument/2006/relationships/image" Target="../media/image4.png"/><Relationship Id="rId2" Type="http://schemas.openxmlformats.org/officeDocument/2006/relationships/hyperlink" Target="#'02. PINAR'!&#193;rea_de_impresi&#243;n"/><Relationship Id="rId16" Type="http://schemas.openxmlformats.org/officeDocument/2006/relationships/image" Target="../media/image3.svg"/><Relationship Id="rId1" Type="http://schemas.openxmlformats.org/officeDocument/2006/relationships/hyperlink" Target="#'01. INSTITUCIONAL'!&#193;rea_de_impresi&#243;n"/><Relationship Id="rId6" Type="http://schemas.openxmlformats.org/officeDocument/2006/relationships/hyperlink" Target="#'10 PAAC'!&#193;rea_de_impresi&#243;n"/><Relationship Id="rId11" Type="http://schemas.openxmlformats.org/officeDocument/2006/relationships/hyperlink" Target="#'06. PETH'!A1"/><Relationship Id="rId5" Type="http://schemas.openxmlformats.org/officeDocument/2006/relationships/hyperlink" Target="#'11.PETI'!&#193;rea_de_impresi&#243;n"/><Relationship Id="rId15" Type="http://schemas.openxmlformats.org/officeDocument/2006/relationships/image" Target="../media/image2.png"/><Relationship Id="rId10" Type="http://schemas.openxmlformats.org/officeDocument/2006/relationships/hyperlink" Target="#'03. PAA'!&#193;rea_de_impresi&#243;n"/><Relationship Id="rId4" Type="http://schemas.openxmlformats.org/officeDocument/2006/relationships/hyperlink" Target="#'12. PTRSPI'!A1"/><Relationship Id="rId9" Type="http://schemas.openxmlformats.org/officeDocument/2006/relationships/hyperlink" Target="#'06. PETH'!&#193;rea_de_impresi&#243;n"/><Relationship Id="rId14"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4.jpeg"/></Relationships>
</file>

<file path=xl/drawings/_rels/drawing13.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4.jpeg"/><Relationship Id="rId1" Type="http://schemas.openxmlformats.org/officeDocument/2006/relationships/image" Target="../media/image4.png"/><Relationship Id="rId4" Type="http://schemas.openxmlformats.org/officeDocument/2006/relationships/image" Target="../media/image9.png"/></Relationships>
</file>

<file path=xl/drawings/_rels/drawing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5.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2.jpe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6</xdr:col>
      <xdr:colOff>564844</xdr:colOff>
      <xdr:row>6</xdr:row>
      <xdr:rowOff>11956</xdr:rowOff>
    </xdr:from>
    <xdr:to>
      <xdr:col>9</xdr:col>
      <xdr:colOff>409298</xdr:colOff>
      <xdr:row>18</xdr:row>
      <xdr:rowOff>140798</xdr:rowOff>
    </xdr:to>
    <xdr:sp macro="" textlink="">
      <xdr:nvSpPr>
        <xdr:cNvPr id="64" name="Lágrima 63">
          <a:extLst>
            <a:ext uri="{FF2B5EF4-FFF2-40B4-BE49-F238E27FC236}">
              <a16:creationId xmlns:a16="http://schemas.microsoft.com/office/drawing/2014/main" id="{00000000-0008-0000-0000-000040000000}"/>
            </a:ext>
          </a:extLst>
        </xdr:cNvPr>
        <xdr:cNvSpPr/>
      </xdr:nvSpPr>
      <xdr:spPr>
        <a:xfrm rot="19034445">
          <a:off x="5368757" y="964456"/>
          <a:ext cx="2246411" cy="236514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4</xdr:col>
      <xdr:colOff>368300</xdr:colOff>
      <xdr:row>21</xdr:row>
      <xdr:rowOff>88900</xdr:rowOff>
    </xdr:from>
    <xdr:to>
      <xdr:col>11</xdr:col>
      <xdr:colOff>396875</xdr:colOff>
      <xdr:row>45</xdr:row>
      <xdr:rowOff>184150</xdr:rowOff>
    </xdr:to>
    <xdr:sp macro="" textlink="">
      <xdr:nvSpPr>
        <xdr:cNvPr id="2" name="TextBox 121">
          <a:extLst>
            <a:ext uri="{FF2B5EF4-FFF2-40B4-BE49-F238E27FC236}">
              <a16:creationId xmlns:a16="http://schemas.microsoft.com/office/drawing/2014/main" id="{00000000-0008-0000-0000-000002000000}"/>
            </a:ext>
          </a:extLst>
        </xdr:cNvPr>
        <xdr:cNvSpPr txBox="1"/>
      </xdr:nvSpPr>
      <xdr:spPr>
        <a:xfrm>
          <a:off x="3568700" y="3911600"/>
          <a:ext cx="562927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5200" b="1" kern="0">
              <a:solidFill>
                <a:srgbClr val="532963"/>
              </a:solidFill>
              <a:latin typeface="Arial" pitchFamily="34" charset="0"/>
              <a:cs typeface="Arial" pitchFamily="34" charset="0"/>
            </a:rPr>
            <a:t>PLAN</a:t>
          </a:r>
          <a:endParaRPr lang="en-US" sz="5200" b="1" kern="0" baseline="0">
            <a:solidFill>
              <a:srgbClr val="532963"/>
            </a:solidFill>
            <a:latin typeface="Arial" pitchFamily="34" charset="0"/>
            <a:cs typeface="Arial" pitchFamily="34" charset="0"/>
          </a:endParaRPr>
        </a:p>
        <a:p>
          <a:pPr algn="ctr"/>
          <a:r>
            <a:rPr lang="en-US" sz="5200" b="1" kern="0" baseline="0">
              <a:solidFill>
                <a:srgbClr val="532963"/>
              </a:solidFill>
              <a:latin typeface="Arial" pitchFamily="34" charset="0"/>
              <a:cs typeface="Arial" pitchFamily="34" charset="0"/>
            </a:rPr>
            <a:t>INTEGRADO DE ACCIÓN ANUAL</a:t>
          </a:r>
        </a:p>
        <a:p>
          <a:pPr algn="ctr"/>
          <a:endParaRPr lang="en-US" sz="5200" b="1" kern="0" baseline="0">
            <a:solidFill>
              <a:srgbClr val="532963"/>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r>
            <a:rPr lang="en-US" sz="5200" b="1" kern="0" baseline="0">
              <a:solidFill>
                <a:srgbClr val="E63992"/>
              </a:solidFill>
              <a:latin typeface="Arial" pitchFamily="34" charset="0"/>
              <a:cs typeface="Arial" pitchFamily="34" charset="0"/>
            </a:rPr>
            <a:t>2025</a:t>
          </a:r>
          <a:endParaRPr lang="en-US" sz="5200" b="1" kern="0">
            <a:solidFill>
              <a:srgbClr val="E63992"/>
            </a:solidFill>
            <a:latin typeface="Arial" pitchFamily="34" charset="0"/>
            <a:cs typeface="Arial" pitchFamily="34" charset="0"/>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5" name="Lágrima 4">
          <a:extLst>
            <a:ext uri="{FF2B5EF4-FFF2-40B4-BE49-F238E27FC236}">
              <a16:creationId xmlns:a16="http://schemas.microsoft.com/office/drawing/2014/main" id="{00000000-0008-0000-0000-000005000000}"/>
            </a:ext>
          </a:extLst>
        </xdr:cNvPr>
        <xdr:cNvSpPr/>
      </xdr:nvSpPr>
      <xdr:spPr>
        <a:xfrm rot="20924410">
          <a:off x="7617876" y="1300525"/>
          <a:ext cx="2396395" cy="2413779"/>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6" name="Lágrima 137">
          <a:extLst>
            <a:ext uri="{FF2B5EF4-FFF2-40B4-BE49-F238E27FC236}">
              <a16:creationId xmlns:a16="http://schemas.microsoft.com/office/drawing/2014/main" id="{00000000-0008-0000-0000-000006000000}"/>
            </a:ext>
          </a:extLst>
        </xdr:cNvPr>
        <xdr:cNvSpPr/>
      </xdr:nvSpPr>
      <xdr:spPr>
        <a:xfrm rot="5888503">
          <a:off x="8415877" y="9420779"/>
          <a:ext cx="2305890" cy="2485746"/>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7" name="Lágrima 6">
          <a:extLst>
            <a:ext uri="{FF2B5EF4-FFF2-40B4-BE49-F238E27FC236}">
              <a16:creationId xmlns:a16="http://schemas.microsoft.com/office/drawing/2014/main" id="{00000000-0008-0000-0000-000007000000}"/>
            </a:ext>
          </a:extLst>
        </xdr:cNvPr>
        <xdr:cNvSpPr/>
      </xdr:nvSpPr>
      <xdr:spPr>
        <a:xfrm rot="10073442">
          <a:off x="1727238" y="9648320"/>
          <a:ext cx="2372732" cy="2415896"/>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8" name="Lágrima 7">
          <a:extLst>
            <a:ext uri="{FF2B5EF4-FFF2-40B4-BE49-F238E27FC236}">
              <a16:creationId xmlns:a16="http://schemas.microsoft.com/office/drawing/2014/main" id="{00000000-0008-0000-0000-000008000000}"/>
            </a:ext>
          </a:extLst>
        </xdr:cNvPr>
        <xdr:cNvSpPr/>
      </xdr:nvSpPr>
      <xdr:spPr>
        <a:xfrm rot="16200000">
          <a:off x="1049756" y="2735384"/>
          <a:ext cx="2316473"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9" name="Lágrima 8">
          <a:extLst>
            <a:ext uri="{FF2B5EF4-FFF2-40B4-BE49-F238E27FC236}">
              <a16:creationId xmlns:a16="http://schemas.microsoft.com/office/drawing/2014/main" id="{00000000-0008-0000-0000-000009000000}"/>
            </a:ext>
          </a:extLst>
        </xdr:cNvPr>
        <xdr:cNvSpPr/>
      </xdr:nvSpPr>
      <xdr:spPr>
        <a:xfrm rot="13197227">
          <a:off x="543963" y="5099046"/>
          <a:ext cx="2388440" cy="2420630"/>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10" name="Lágrima 141">
          <a:extLst>
            <a:ext uri="{FF2B5EF4-FFF2-40B4-BE49-F238E27FC236}">
              <a16:creationId xmlns:a16="http://schemas.microsoft.com/office/drawing/2014/main" id="{00000000-0008-0000-0000-00000A000000}"/>
            </a:ext>
          </a:extLst>
        </xdr:cNvPr>
        <xdr:cNvSpPr/>
      </xdr:nvSpPr>
      <xdr:spPr>
        <a:xfrm>
          <a:off x="9462242" y="2855379"/>
          <a:ext cx="2374157" cy="2419350"/>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1" name="Lágrima 10">
          <a:extLst>
            <a:ext uri="{FF2B5EF4-FFF2-40B4-BE49-F238E27FC236}">
              <a16:creationId xmlns:a16="http://schemas.microsoft.com/office/drawing/2014/main" id="{00000000-0008-0000-0000-00000B000000}"/>
            </a:ext>
          </a:extLst>
        </xdr:cNvPr>
        <xdr:cNvSpPr/>
      </xdr:nvSpPr>
      <xdr:spPr>
        <a:xfrm rot="2716324">
          <a:off x="9962139" y="5074606"/>
          <a:ext cx="2291773"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2" name="Lágrima 11">
          <a:extLst>
            <a:ext uri="{FF2B5EF4-FFF2-40B4-BE49-F238E27FC236}">
              <a16:creationId xmlns:a16="http://schemas.microsoft.com/office/drawing/2014/main" id="{00000000-0008-0000-0000-00000C000000}"/>
            </a:ext>
          </a:extLst>
        </xdr:cNvPr>
        <xdr:cNvSpPr/>
      </xdr:nvSpPr>
      <xdr:spPr>
        <a:xfrm rot="17063044">
          <a:off x="3010835" y="1360412"/>
          <a:ext cx="2310123" cy="248574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3" name="Lágrima 12">
          <a:extLst>
            <a:ext uri="{FF2B5EF4-FFF2-40B4-BE49-F238E27FC236}">
              <a16:creationId xmlns:a16="http://schemas.microsoft.com/office/drawing/2014/main" id="{00000000-0008-0000-0000-00000D000000}"/>
            </a:ext>
          </a:extLst>
        </xdr:cNvPr>
        <xdr:cNvSpPr/>
      </xdr:nvSpPr>
      <xdr:spPr>
        <a:xfrm rot="11835076">
          <a:off x="1254678" y="7355754"/>
          <a:ext cx="2362692" cy="241589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 name="Lágrima 13">
          <a:extLst>
            <a:ext uri="{FF2B5EF4-FFF2-40B4-BE49-F238E27FC236}">
              <a16:creationId xmlns:a16="http://schemas.microsoft.com/office/drawing/2014/main" id="{00000000-0008-0000-0000-00000E000000}"/>
            </a:ext>
          </a:extLst>
        </xdr:cNvPr>
        <xdr:cNvSpPr/>
      </xdr:nvSpPr>
      <xdr:spPr>
        <a:xfrm rot="5400000">
          <a:off x="9432103" y="7320827"/>
          <a:ext cx="2312240"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5" name="Lágrima 14">
          <a:extLst>
            <a:ext uri="{FF2B5EF4-FFF2-40B4-BE49-F238E27FC236}">
              <a16:creationId xmlns:a16="http://schemas.microsoft.com/office/drawing/2014/main" id="{00000000-0008-0000-0000-00000F000000}"/>
            </a:ext>
          </a:extLst>
        </xdr:cNvPr>
        <xdr:cNvSpPr/>
      </xdr:nvSpPr>
      <xdr:spPr>
        <a:xfrm rot="7274512">
          <a:off x="6324588" y="10262445"/>
          <a:ext cx="2331042"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6" name="TextBox 121">
          <a:hlinkClick xmlns:r="http://schemas.openxmlformats.org/officeDocument/2006/relationships" r:id="rId1"/>
          <a:extLst>
            <a:ext uri="{FF2B5EF4-FFF2-40B4-BE49-F238E27FC236}">
              <a16:creationId xmlns:a16="http://schemas.microsoft.com/office/drawing/2014/main" id="{00000000-0008-0000-0000-000010000000}"/>
            </a:ext>
          </a:extLst>
        </xdr:cNvPr>
        <xdr:cNvSpPr txBox="1"/>
      </xdr:nvSpPr>
      <xdr:spPr bwMode="auto">
        <a:xfrm>
          <a:off x="5817696" y="1828800"/>
          <a:ext cx="126114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7" name="Straight Connector 72">
          <a:extLst>
            <a:ext uri="{FF2B5EF4-FFF2-40B4-BE49-F238E27FC236}">
              <a16:creationId xmlns:a16="http://schemas.microsoft.com/office/drawing/2014/main" id="{00000000-0008-0000-0000-000011000000}"/>
            </a:ext>
          </a:extLst>
        </xdr:cNvPr>
        <xdr:cNvCxnSpPr/>
      </xdr:nvCxnSpPr>
      <xdr:spPr bwMode="auto">
        <a:xfrm>
          <a:off x="5971508" y="1752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8" name="TextBox 70">
          <a:extLst>
            <a:ext uri="{FF2B5EF4-FFF2-40B4-BE49-F238E27FC236}">
              <a16:creationId xmlns:a16="http://schemas.microsoft.com/office/drawing/2014/main" id="{00000000-0008-0000-0000-000012000000}"/>
            </a:ext>
          </a:extLst>
        </xdr:cNvPr>
        <xdr:cNvSpPr txBox="1"/>
      </xdr:nvSpPr>
      <xdr:spPr bwMode="auto">
        <a:xfrm>
          <a:off x="6066052" y="101811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9" name="TextBox 121">
          <a:hlinkClick xmlns:r="http://schemas.openxmlformats.org/officeDocument/2006/relationships" r:id="rId2"/>
          <a:extLst>
            <a:ext uri="{FF2B5EF4-FFF2-40B4-BE49-F238E27FC236}">
              <a16:creationId xmlns:a16="http://schemas.microsoft.com/office/drawing/2014/main" id="{00000000-0008-0000-0000-000013000000}"/>
            </a:ext>
          </a:extLst>
        </xdr:cNvPr>
        <xdr:cNvSpPr txBox="1"/>
      </xdr:nvSpPr>
      <xdr:spPr bwMode="auto">
        <a:xfrm>
          <a:off x="7996894" y="2297552"/>
          <a:ext cx="184560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20" name="TextBox 121">
          <a:hlinkClick xmlns:r="http://schemas.openxmlformats.org/officeDocument/2006/relationships" r:id="rId3"/>
          <a:extLst>
            <a:ext uri="{FF2B5EF4-FFF2-40B4-BE49-F238E27FC236}">
              <a16:creationId xmlns:a16="http://schemas.microsoft.com/office/drawing/2014/main" id="{00000000-0008-0000-0000-000014000000}"/>
            </a:ext>
          </a:extLst>
        </xdr:cNvPr>
        <xdr:cNvSpPr txBox="1"/>
      </xdr:nvSpPr>
      <xdr:spPr bwMode="auto">
        <a:xfrm>
          <a:off x="3229152" y="2211407"/>
          <a:ext cx="18730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1" name="TextBox 121">
          <a:hlinkClick xmlns:r="http://schemas.openxmlformats.org/officeDocument/2006/relationships" r:id="rId4"/>
          <a:extLst>
            <a:ext uri="{FF2B5EF4-FFF2-40B4-BE49-F238E27FC236}">
              <a16:creationId xmlns:a16="http://schemas.microsoft.com/office/drawing/2014/main" id="{00000000-0008-0000-0000-000015000000}"/>
            </a:ext>
          </a:extLst>
        </xdr:cNvPr>
        <xdr:cNvSpPr txBox="1"/>
      </xdr:nvSpPr>
      <xdr:spPr bwMode="auto">
        <a:xfrm>
          <a:off x="1070038" y="3400731"/>
          <a:ext cx="22732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2" name="TextBox 121">
          <a:hlinkClick xmlns:r="http://schemas.openxmlformats.org/officeDocument/2006/relationships" r:id="rId5"/>
          <a:extLst>
            <a:ext uri="{FF2B5EF4-FFF2-40B4-BE49-F238E27FC236}">
              <a16:creationId xmlns:a16="http://schemas.microsoft.com/office/drawing/2014/main" id="{00000000-0008-0000-0000-000016000000}"/>
            </a:ext>
          </a:extLst>
        </xdr:cNvPr>
        <xdr:cNvSpPr txBox="1"/>
      </xdr:nvSpPr>
      <xdr:spPr bwMode="auto">
        <a:xfrm>
          <a:off x="815579" y="6100897"/>
          <a:ext cx="17300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3" name="TextBox 121">
          <a:hlinkClick xmlns:r="http://schemas.openxmlformats.org/officeDocument/2006/relationships" r:id="rId6"/>
          <a:extLst>
            <a:ext uri="{FF2B5EF4-FFF2-40B4-BE49-F238E27FC236}">
              <a16:creationId xmlns:a16="http://schemas.microsoft.com/office/drawing/2014/main" id="{00000000-0008-0000-0000-000017000000}"/>
            </a:ext>
          </a:extLst>
        </xdr:cNvPr>
        <xdr:cNvSpPr txBox="1"/>
      </xdr:nvSpPr>
      <xdr:spPr bwMode="auto">
        <a:xfrm>
          <a:off x="1093909" y="8323243"/>
          <a:ext cx="248902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4" name="TextBox 121">
          <a:hlinkClick xmlns:r="http://schemas.openxmlformats.org/officeDocument/2006/relationships" r:id="rId7"/>
          <a:extLst>
            <a:ext uri="{FF2B5EF4-FFF2-40B4-BE49-F238E27FC236}">
              <a16:creationId xmlns:a16="http://schemas.microsoft.com/office/drawing/2014/main" id="{00000000-0008-0000-0000-000018000000}"/>
            </a:ext>
          </a:extLst>
        </xdr:cNvPr>
        <xdr:cNvSpPr txBox="1"/>
      </xdr:nvSpPr>
      <xdr:spPr bwMode="auto">
        <a:xfrm>
          <a:off x="1653422" y="10512998"/>
          <a:ext cx="248478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5" name="TextBox 121">
          <a:hlinkClick xmlns:r="http://schemas.openxmlformats.org/officeDocument/2006/relationships" r:id="rId8"/>
          <a:extLst>
            <a:ext uri="{FF2B5EF4-FFF2-40B4-BE49-F238E27FC236}">
              <a16:creationId xmlns:a16="http://schemas.microsoft.com/office/drawing/2014/main" id="{00000000-0008-0000-0000-000019000000}"/>
            </a:ext>
          </a:extLst>
        </xdr:cNvPr>
        <xdr:cNvSpPr txBox="1"/>
      </xdr:nvSpPr>
      <xdr:spPr bwMode="auto">
        <a:xfrm>
          <a:off x="6498039" y="11442216"/>
          <a:ext cx="20997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6" name="TextBox 121">
          <a:hlinkClick xmlns:r="http://schemas.openxmlformats.org/officeDocument/2006/relationships" r:id="rId9"/>
          <a:extLst>
            <a:ext uri="{FF2B5EF4-FFF2-40B4-BE49-F238E27FC236}">
              <a16:creationId xmlns:a16="http://schemas.microsoft.com/office/drawing/2014/main" id="{00000000-0008-0000-0000-00001A000000}"/>
            </a:ext>
          </a:extLst>
        </xdr:cNvPr>
        <xdr:cNvSpPr txBox="1"/>
      </xdr:nvSpPr>
      <xdr:spPr bwMode="auto">
        <a:xfrm>
          <a:off x="8654539" y="10390361"/>
          <a:ext cx="183091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7" name="TextBox 121">
          <a:extLst>
            <a:ext uri="{FF2B5EF4-FFF2-40B4-BE49-F238E27FC236}">
              <a16:creationId xmlns:a16="http://schemas.microsoft.com/office/drawing/2014/main" id="{00000000-0008-0000-0000-00001B000000}"/>
            </a:ext>
          </a:extLst>
        </xdr:cNvPr>
        <xdr:cNvSpPr txBox="1"/>
      </xdr:nvSpPr>
      <xdr:spPr bwMode="auto">
        <a:xfrm>
          <a:off x="9458464" y="8425455"/>
          <a:ext cx="24008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8" name="TextBox 121">
          <a:extLst>
            <a:ext uri="{FF2B5EF4-FFF2-40B4-BE49-F238E27FC236}">
              <a16:creationId xmlns:a16="http://schemas.microsoft.com/office/drawing/2014/main" id="{00000000-0008-0000-0000-00001C000000}"/>
            </a:ext>
          </a:extLst>
        </xdr:cNvPr>
        <xdr:cNvSpPr txBox="1"/>
      </xdr:nvSpPr>
      <xdr:spPr bwMode="auto">
        <a:xfrm>
          <a:off x="10305693" y="6126603"/>
          <a:ext cx="172641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9" name="TextBox 121">
          <a:hlinkClick xmlns:r="http://schemas.openxmlformats.org/officeDocument/2006/relationships" r:id="rId10"/>
          <a:extLst>
            <a:ext uri="{FF2B5EF4-FFF2-40B4-BE49-F238E27FC236}">
              <a16:creationId xmlns:a16="http://schemas.microsoft.com/office/drawing/2014/main" id="{00000000-0008-0000-0000-00001D000000}"/>
            </a:ext>
          </a:extLst>
        </xdr:cNvPr>
        <xdr:cNvSpPr txBox="1"/>
      </xdr:nvSpPr>
      <xdr:spPr bwMode="auto">
        <a:xfrm>
          <a:off x="9712618" y="3778250"/>
          <a:ext cx="19401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30" name="Straight Connector 72">
          <a:extLst>
            <a:ext uri="{FF2B5EF4-FFF2-40B4-BE49-F238E27FC236}">
              <a16:creationId xmlns:a16="http://schemas.microsoft.com/office/drawing/2014/main" id="{00000000-0008-0000-0000-00001E000000}"/>
            </a:ext>
          </a:extLst>
        </xdr:cNvPr>
        <xdr:cNvCxnSpPr/>
      </xdr:nvCxnSpPr>
      <xdr:spPr bwMode="auto">
        <a:xfrm>
          <a:off x="8321008" y="220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1" name="Straight Connector 72">
          <a:extLst>
            <a:ext uri="{FF2B5EF4-FFF2-40B4-BE49-F238E27FC236}">
              <a16:creationId xmlns:a16="http://schemas.microsoft.com/office/drawing/2014/main" id="{00000000-0008-0000-0000-00001F000000}"/>
            </a:ext>
          </a:extLst>
        </xdr:cNvPr>
        <xdr:cNvCxnSpPr/>
      </xdr:nvCxnSpPr>
      <xdr:spPr bwMode="auto">
        <a:xfrm>
          <a:off x="10236259" y="3750554"/>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2" name="Straight Connector 72">
          <a:extLst>
            <a:ext uri="{FF2B5EF4-FFF2-40B4-BE49-F238E27FC236}">
              <a16:creationId xmlns:a16="http://schemas.microsoft.com/office/drawing/2014/main" id="{00000000-0008-0000-0000-000020000000}"/>
            </a:ext>
          </a:extLst>
        </xdr:cNvPr>
        <xdr:cNvCxnSpPr/>
      </xdr:nvCxnSpPr>
      <xdr:spPr bwMode="auto">
        <a:xfrm>
          <a:off x="10680760" y="6098755"/>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3" name="Straight Connector 72">
          <a:extLst>
            <a:ext uri="{FF2B5EF4-FFF2-40B4-BE49-F238E27FC236}">
              <a16:creationId xmlns:a16="http://schemas.microsoft.com/office/drawing/2014/main" id="{00000000-0008-0000-0000-000021000000}"/>
            </a:ext>
          </a:extLst>
        </xdr:cNvPr>
        <xdr:cNvCxnSpPr/>
      </xdr:nvCxnSpPr>
      <xdr:spPr bwMode="auto">
        <a:xfrm>
          <a:off x="10165110" y="8387356"/>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4" name="Straight Connector 72">
          <a:hlinkClick xmlns:r="http://schemas.openxmlformats.org/officeDocument/2006/relationships" r:id="rId11"/>
          <a:extLst>
            <a:ext uri="{FF2B5EF4-FFF2-40B4-BE49-F238E27FC236}">
              <a16:creationId xmlns:a16="http://schemas.microsoft.com/office/drawing/2014/main" id="{00000000-0008-0000-0000-000022000000}"/>
            </a:ext>
          </a:extLst>
        </xdr:cNvPr>
        <xdr:cNvCxnSpPr/>
      </xdr:nvCxnSpPr>
      <xdr:spPr bwMode="auto">
        <a:xfrm>
          <a:off x="9074540" y="10365317"/>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5" name="Straight Connector 72">
          <a:hlinkClick xmlns:r="http://schemas.openxmlformats.org/officeDocument/2006/relationships" r:id="rId12"/>
          <a:extLst>
            <a:ext uri="{FF2B5EF4-FFF2-40B4-BE49-F238E27FC236}">
              <a16:creationId xmlns:a16="http://schemas.microsoft.com/office/drawing/2014/main" id="{00000000-0008-0000-0000-000023000000}"/>
            </a:ext>
          </a:extLst>
        </xdr:cNvPr>
        <xdr:cNvCxnSpPr/>
      </xdr:nvCxnSpPr>
      <xdr:spPr bwMode="auto">
        <a:xfrm>
          <a:off x="7071970" y="11438288"/>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6" name="Straight Connector 72">
          <a:extLst>
            <a:ext uri="{FF2B5EF4-FFF2-40B4-BE49-F238E27FC236}">
              <a16:creationId xmlns:a16="http://schemas.microsoft.com/office/drawing/2014/main" id="{00000000-0008-0000-0000-000024000000}"/>
            </a:ext>
          </a:extLst>
        </xdr:cNvPr>
        <xdr:cNvCxnSpPr/>
      </xdr:nvCxnSpPr>
      <xdr:spPr bwMode="auto">
        <a:xfrm>
          <a:off x="2414232" y="10504533"/>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7" name="Straight Connector 72">
          <a:extLst>
            <a:ext uri="{FF2B5EF4-FFF2-40B4-BE49-F238E27FC236}">
              <a16:creationId xmlns:a16="http://schemas.microsoft.com/office/drawing/2014/main" id="{00000000-0008-0000-0000-000025000000}"/>
            </a:ext>
          </a:extLst>
        </xdr:cNvPr>
        <xdr:cNvCxnSpPr/>
      </xdr:nvCxnSpPr>
      <xdr:spPr bwMode="auto">
        <a:xfrm>
          <a:off x="1869408" y="8280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8" name="Straight Connector 72">
          <a:extLst>
            <a:ext uri="{FF2B5EF4-FFF2-40B4-BE49-F238E27FC236}">
              <a16:creationId xmlns:a16="http://schemas.microsoft.com/office/drawing/2014/main" id="{00000000-0008-0000-0000-000026000000}"/>
            </a:ext>
          </a:extLst>
        </xdr:cNvPr>
        <xdr:cNvCxnSpPr/>
      </xdr:nvCxnSpPr>
      <xdr:spPr bwMode="auto">
        <a:xfrm>
          <a:off x="1183608" y="6113902"/>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9" name="Straight Connector 72">
          <a:extLst>
            <a:ext uri="{FF2B5EF4-FFF2-40B4-BE49-F238E27FC236}">
              <a16:creationId xmlns:a16="http://schemas.microsoft.com/office/drawing/2014/main" id="{00000000-0008-0000-0000-000027000000}"/>
            </a:ext>
          </a:extLst>
        </xdr:cNvPr>
        <xdr:cNvCxnSpPr/>
      </xdr:nvCxnSpPr>
      <xdr:spPr bwMode="auto">
        <a:xfrm>
          <a:off x="1740113" y="3428311"/>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40" name="Straight Connector 72">
          <a:extLst>
            <a:ext uri="{FF2B5EF4-FFF2-40B4-BE49-F238E27FC236}">
              <a16:creationId xmlns:a16="http://schemas.microsoft.com/office/drawing/2014/main" id="{00000000-0008-0000-0000-000028000000}"/>
            </a:ext>
          </a:extLst>
        </xdr:cNvPr>
        <xdr:cNvCxnSpPr/>
      </xdr:nvCxnSpPr>
      <xdr:spPr bwMode="auto">
        <a:xfrm>
          <a:off x="3710908" y="2184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1" name="TextBox 70">
          <a:extLst>
            <a:ext uri="{FF2B5EF4-FFF2-40B4-BE49-F238E27FC236}">
              <a16:creationId xmlns:a16="http://schemas.microsoft.com/office/drawing/2014/main" id="{00000000-0008-0000-0000-000029000000}"/>
            </a:ext>
          </a:extLst>
        </xdr:cNvPr>
        <xdr:cNvSpPr txBox="1"/>
      </xdr:nvSpPr>
      <xdr:spPr bwMode="auto">
        <a:xfrm>
          <a:off x="8453652" y="15324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2" name="TextBox 70">
          <a:extLst>
            <a:ext uri="{FF2B5EF4-FFF2-40B4-BE49-F238E27FC236}">
              <a16:creationId xmlns:a16="http://schemas.microsoft.com/office/drawing/2014/main" id="{00000000-0008-0000-0000-00002A000000}"/>
            </a:ext>
          </a:extLst>
        </xdr:cNvPr>
        <xdr:cNvSpPr txBox="1"/>
      </xdr:nvSpPr>
      <xdr:spPr bwMode="auto">
        <a:xfrm>
          <a:off x="10292550" y="3079416"/>
          <a:ext cx="86814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3" name="TextBox 70">
          <a:extLst>
            <a:ext uri="{FF2B5EF4-FFF2-40B4-BE49-F238E27FC236}">
              <a16:creationId xmlns:a16="http://schemas.microsoft.com/office/drawing/2014/main" id="{00000000-0008-0000-0000-00002B000000}"/>
            </a:ext>
          </a:extLst>
        </xdr:cNvPr>
        <xdr:cNvSpPr txBox="1"/>
      </xdr:nvSpPr>
      <xdr:spPr bwMode="auto">
        <a:xfrm>
          <a:off x="10765052" y="54377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4" name="TextBox 70">
          <a:extLst>
            <a:ext uri="{FF2B5EF4-FFF2-40B4-BE49-F238E27FC236}">
              <a16:creationId xmlns:a16="http://schemas.microsoft.com/office/drawing/2014/main" id="{00000000-0008-0000-0000-00002C000000}"/>
            </a:ext>
          </a:extLst>
        </xdr:cNvPr>
        <xdr:cNvSpPr txBox="1"/>
      </xdr:nvSpPr>
      <xdr:spPr bwMode="auto">
        <a:xfrm>
          <a:off x="10257206" y="7701450"/>
          <a:ext cx="86814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5" name="TextBox 70">
          <a:extLst>
            <a:ext uri="{FF2B5EF4-FFF2-40B4-BE49-F238E27FC236}">
              <a16:creationId xmlns:a16="http://schemas.microsoft.com/office/drawing/2014/main" id="{00000000-0008-0000-0000-00002D000000}"/>
            </a:ext>
          </a:extLst>
        </xdr:cNvPr>
        <xdr:cNvSpPr txBox="1"/>
      </xdr:nvSpPr>
      <xdr:spPr bwMode="auto">
        <a:xfrm>
          <a:off x="9177552" y="9730314"/>
          <a:ext cx="86814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6" name="TextBox 70">
          <a:extLst>
            <a:ext uri="{FF2B5EF4-FFF2-40B4-BE49-F238E27FC236}">
              <a16:creationId xmlns:a16="http://schemas.microsoft.com/office/drawing/2014/main" id="{00000000-0008-0000-0000-00002E000000}"/>
            </a:ext>
          </a:extLst>
        </xdr:cNvPr>
        <xdr:cNvSpPr txBox="1"/>
      </xdr:nvSpPr>
      <xdr:spPr bwMode="auto">
        <a:xfrm>
          <a:off x="7174011" y="10785052"/>
          <a:ext cx="8649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7" name="TextBox 70">
          <a:extLst>
            <a:ext uri="{FF2B5EF4-FFF2-40B4-BE49-F238E27FC236}">
              <a16:creationId xmlns:a16="http://schemas.microsoft.com/office/drawing/2014/main" id="{00000000-0008-0000-0000-00002F000000}"/>
            </a:ext>
          </a:extLst>
        </xdr:cNvPr>
        <xdr:cNvSpPr txBox="1"/>
      </xdr:nvSpPr>
      <xdr:spPr bwMode="auto">
        <a:xfrm>
          <a:off x="2487304" y="9845429"/>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8" name="TextBox 70">
          <a:extLst>
            <a:ext uri="{FF2B5EF4-FFF2-40B4-BE49-F238E27FC236}">
              <a16:creationId xmlns:a16="http://schemas.microsoft.com/office/drawing/2014/main" id="{00000000-0008-0000-0000-000030000000}"/>
            </a:ext>
          </a:extLst>
        </xdr:cNvPr>
        <xdr:cNvSpPr txBox="1"/>
      </xdr:nvSpPr>
      <xdr:spPr bwMode="auto">
        <a:xfrm>
          <a:off x="1976652" y="76221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9" name="TextBox 70">
          <a:extLst>
            <a:ext uri="{FF2B5EF4-FFF2-40B4-BE49-F238E27FC236}">
              <a16:creationId xmlns:a16="http://schemas.microsoft.com/office/drawing/2014/main" id="{00000000-0008-0000-0000-000031000000}"/>
            </a:ext>
          </a:extLst>
        </xdr:cNvPr>
        <xdr:cNvSpPr txBox="1"/>
      </xdr:nvSpPr>
      <xdr:spPr bwMode="auto">
        <a:xfrm>
          <a:off x="1303552" y="54821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50" name="TextBox 70">
          <a:extLst>
            <a:ext uri="{FF2B5EF4-FFF2-40B4-BE49-F238E27FC236}">
              <a16:creationId xmlns:a16="http://schemas.microsoft.com/office/drawing/2014/main" id="{00000000-0008-0000-0000-000032000000}"/>
            </a:ext>
          </a:extLst>
        </xdr:cNvPr>
        <xdr:cNvSpPr txBox="1"/>
      </xdr:nvSpPr>
      <xdr:spPr bwMode="auto">
        <a:xfrm>
          <a:off x="1768249" y="2767424"/>
          <a:ext cx="86814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1" name="TextBox 70">
          <a:extLst>
            <a:ext uri="{FF2B5EF4-FFF2-40B4-BE49-F238E27FC236}">
              <a16:creationId xmlns:a16="http://schemas.microsoft.com/office/drawing/2014/main" id="{00000000-0008-0000-0000-000033000000}"/>
            </a:ext>
          </a:extLst>
        </xdr:cNvPr>
        <xdr:cNvSpPr txBox="1"/>
      </xdr:nvSpPr>
      <xdr:spPr bwMode="auto">
        <a:xfrm>
          <a:off x="3780052" y="15705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2" name="Lágrima 184">
          <a:extLst>
            <a:ext uri="{FF2B5EF4-FFF2-40B4-BE49-F238E27FC236}">
              <a16:creationId xmlns:a16="http://schemas.microsoft.com/office/drawing/2014/main" id="{00000000-0008-0000-0000-000034000000}"/>
            </a:ext>
          </a:extLst>
        </xdr:cNvPr>
        <xdr:cNvSpPr/>
      </xdr:nvSpPr>
      <xdr:spPr>
        <a:xfrm rot="9157431">
          <a:off x="3978259" y="10333352"/>
          <a:ext cx="2400892" cy="241589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3" name="TextBox 70">
          <a:extLst>
            <a:ext uri="{FF2B5EF4-FFF2-40B4-BE49-F238E27FC236}">
              <a16:creationId xmlns:a16="http://schemas.microsoft.com/office/drawing/2014/main" id="{00000000-0008-0000-0000-000035000000}"/>
            </a:ext>
          </a:extLst>
        </xdr:cNvPr>
        <xdr:cNvSpPr txBox="1"/>
      </xdr:nvSpPr>
      <xdr:spPr bwMode="auto">
        <a:xfrm>
          <a:off x="4818137" y="10803820"/>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4" name="Straight Connector 72">
          <a:extLst>
            <a:ext uri="{FF2B5EF4-FFF2-40B4-BE49-F238E27FC236}">
              <a16:creationId xmlns:a16="http://schemas.microsoft.com/office/drawing/2014/main" id="{00000000-0008-0000-0000-000036000000}"/>
            </a:ext>
          </a:extLst>
        </xdr:cNvPr>
        <xdr:cNvCxnSpPr/>
      </xdr:nvCxnSpPr>
      <xdr:spPr bwMode="auto">
        <a:xfrm>
          <a:off x="4702375" y="11439971"/>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5" name="TextBox 121">
          <a:hlinkClick xmlns:r="http://schemas.openxmlformats.org/officeDocument/2006/relationships" r:id="rId13"/>
          <a:extLst>
            <a:ext uri="{FF2B5EF4-FFF2-40B4-BE49-F238E27FC236}">
              <a16:creationId xmlns:a16="http://schemas.microsoft.com/office/drawing/2014/main" id="{00000000-0008-0000-0000-000037000000}"/>
            </a:ext>
          </a:extLst>
        </xdr:cNvPr>
        <xdr:cNvSpPr txBox="1"/>
      </xdr:nvSpPr>
      <xdr:spPr bwMode="auto">
        <a:xfrm>
          <a:off x="4167869" y="11448436"/>
          <a:ext cx="19989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twoCellAnchor>
    <xdr:from>
      <xdr:col>16384</xdr:col>
      <xdr:colOff>333762</xdr:colOff>
      <xdr:row>12</xdr:row>
      <xdr:rowOff>128297</xdr:rowOff>
    </xdr:from>
    <xdr:to>
      <xdr:col>16384</xdr:col>
      <xdr:colOff>913273</xdr:colOff>
      <xdr:row>14</xdr:row>
      <xdr:rowOff>12576</xdr:rowOff>
    </xdr:to>
    <xdr:sp macro="" textlink="">
      <xdr:nvSpPr>
        <xdr:cNvPr id="59" name="Rectángulo redondeado 20">
          <a:extLst>
            <a:ext uri="{FF2B5EF4-FFF2-40B4-BE49-F238E27FC236}">
              <a16:creationId xmlns:a16="http://schemas.microsoft.com/office/drawing/2014/main" id="{00000000-0008-0000-0000-00003B000000}"/>
            </a:ext>
          </a:extLst>
        </xdr:cNvPr>
        <xdr:cNvSpPr/>
      </xdr:nvSpPr>
      <xdr:spPr>
        <a:xfrm>
          <a:off x="13144197" y="2157536"/>
          <a:ext cx="579511" cy="243192"/>
        </a:xfrm>
        <a:prstGeom prst="roundRect">
          <a:avLst/>
        </a:prstGeom>
        <a:solidFill>
          <a:srgbClr val="E6399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xdr:from>
      <xdr:col>16384</xdr:col>
      <xdr:colOff>144352</xdr:colOff>
      <xdr:row>17</xdr:row>
      <xdr:rowOff>17048</xdr:rowOff>
    </xdr:from>
    <xdr:to>
      <xdr:col>16384</xdr:col>
      <xdr:colOff>723863</xdr:colOff>
      <xdr:row>17</xdr:row>
      <xdr:rowOff>260240</xdr:rowOff>
    </xdr:to>
    <xdr:sp macro="" textlink="">
      <xdr:nvSpPr>
        <xdr:cNvPr id="63" name="Rectángulo redondeado 24">
          <a:extLst>
            <a:ext uri="{FF2B5EF4-FFF2-40B4-BE49-F238E27FC236}">
              <a16:creationId xmlns:a16="http://schemas.microsoft.com/office/drawing/2014/main" id="{00000000-0008-0000-0000-00003F000000}"/>
            </a:ext>
          </a:extLst>
        </xdr:cNvPr>
        <xdr:cNvSpPr/>
      </xdr:nvSpPr>
      <xdr:spPr>
        <a:xfrm>
          <a:off x="12954787" y="2943570"/>
          <a:ext cx="579511" cy="243192"/>
        </a:xfrm>
        <a:prstGeom prst="roundRect">
          <a:avLst/>
        </a:prstGeom>
        <a:solidFill>
          <a:srgbClr val="C3FF9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editAs="oneCell">
    <xdr:from>
      <xdr:col>7</xdr:col>
      <xdr:colOff>0</xdr:colOff>
      <xdr:row>35</xdr:row>
      <xdr:rowOff>42331</xdr:rowOff>
    </xdr:from>
    <xdr:to>
      <xdr:col>9</xdr:col>
      <xdr:colOff>0</xdr:colOff>
      <xdr:row>42</xdr:row>
      <xdr:rowOff>1043</xdr:rowOff>
    </xdr:to>
    <xdr:pic>
      <xdr:nvPicPr>
        <xdr:cNvPr id="69" name="Imagen 68">
          <a:extLst>
            <a:ext uri="{FF2B5EF4-FFF2-40B4-BE49-F238E27FC236}">
              <a16:creationId xmlns:a16="http://schemas.microsoft.com/office/drawing/2014/main" id="{00000000-0008-0000-0000-000045000000}"/>
            </a:ext>
          </a:extLst>
        </xdr:cNvPr>
        <xdr:cNvPicPr>
          <a:picLocks noChangeAspect="1"/>
        </xdr:cNvPicPr>
      </xdr:nvPicPr>
      <xdr:blipFill rotWithShape="1">
        <a:blip xmlns:r="http://schemas.openxmlformats.org/officeDocument/2006/relationships" r:embed="rId14"/>
        <a:srcRect t="1" r="78791" b="-8889"/>
        <a:stretch/>
      </xdr:blipFill>
      <xdr:spPr>
        <a:xfrm>
          <a:off x="5630333" y="6667498"/>
          <a:ext cx="1608667" cy="1292212"/>
        </a:xfrm>
        <a:prstGeom prst="rect">
          <a:avLst/>
        </a:prstGeom>
      </xdr:spPr>
    </xdr:pic>
    <xdr:clientData/>
  </xdr:twoCellAnchor>
  <xdr:twoCellAnchor editAs="oneCell">
    <xdr:from>
      <xdr:col>5</xdr:col>
      <xdr:colOff>169332</xdr:colOff>
      <xdr:row>41</xdr:row>
      <xdr:rowOff>148167</xdr:rowOff>
    </xdr:from>
    <xdr:to>
      <xdr:col>10</xdr:col>
      <xdr:colOff>571500</xdr:colOff>
      <xdr:row>47</xdr:row>
      <xdr:rowOff>11372</xdr:rowOff>
    </xdr:to>
    <xdr:pic>
      <xdr:nvPicPr>
        <xdr:cNvPr id="70" name="Gráfico 17">
          <a:extLst>
            <a:ext uri="{FF2B5EF4-FFF2-40B4-BE49-F238E27FC236}">
              <a16:creationId xmlns:a16="http://schemas.microsoft.com/office/drawing/2014/main" id="{00000000-0008-0000-0000-000046000000}"/>
            </a:ext>
          </a:extLst>
        </xdr:cNvPr>
        <xdr:cNvPicPr>
          <a:picLocks noChangeAspect="1"/>
        </xdr:cNvPicPr>
      </xdr:nvPicPr>
      <xdr:blipFill rotWithShape="1">
        <a:blip xmlns:r="http://schemas.openxmlformats.org/officeDocument/2006/relationships" r:embed="rId15">
          <a:extLst>
            <a:ext uri="{96DAC541-7B7A-43D3-8B79-37D633B846F1}">
              <asvg:svgBlip xmlns:asvg="http://schemas.microsoft.com/office/drawing/2016/SVG/main" r:embed="rId16"/>
            </a:ext>
          </a:extLst>
        </a:blip>
        <a:srcRect l="24104" t="3226"/>
        <a:stretch/>
      </xdr:blipFill>
      <xdr:spPr>
        <a:xfrm>
          <a:off x="4190999" y="7916334"/>
          <a:ext cx="4423834" cy="983073"/>
        </a:xfrm>
        <a:prstGeom prst="rect">
          <a:avLst/>
        </a:prstGeom>
      </xdr:spPr>
    </xdr:pic>
    <xdr:clientData/>
  </xdr:twoCellAnchor>
  <xdr:twoCellAnchor editAs="oneCell">
    <xdr:from>
      <xdr:col>0</xdr:col>
      <xdr:colOff>293686</xdr:colOff>
      <xdr:row>1</xdr:row>
      <xdr:rowOff>111124</xdr:rowOff>
    </xdr:from>
    <xdr:to>
      <xdr:col>2</xdr:col>
      <xdr:colOff>725239</xdr:colOff>
      <xdr:row>10</xdr:row>
      <xdr:rowOff>63499</xdr:rowOff>
    </xdr:to>
    <xdr:pic>
      <xdr:nvPicPr>
        <xdr:cNvPr id="3" name="Imagen 2" descr="Logo Image Minhacienda w-100">
          <a:extLst>
            <a:ext uri="{FF2B5EF4-FFF2-40B4-BE49-F238E27FC236}">
              <a16:creationId xmlns:a16="http://schemas.microsoft.com/office/drawing/2014/main" id="{600FBCCC-F5E4-B5D6-5E31-6EC84C37802B}"/>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93686" y="166687"/>
          <a:ext cx="2273053" cy="15954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290594</xdr:colOff>
      <xdr:row>0</xdr:row>
      <xdr:rowOff>32287</xdr:rowOff>
    </xdr:from>
    <xdr:to>
      <xdr:col>2</xdr:col>
      <xdr:colOff>1879682</xdr:colOff>
      <xdr:row>10</xdr:row>
      <xdr:rowOff>20990</xdr:rowOff>
    </xdr:to>
    <xdr:pic>
      <xdr:nvPicPr>
        <xdr:cNvPr id="3" name="Imagen 2">
          <a:hlinkClick xmlns:r="http://schemas.openxmlformats.org/officeDocument/2006/relationships" r:id="rId1"/>
          <a:extLst>
            <a:ext uri="{FF2B5EF4-FFF2-40B4-BE49-F238E27FC236}">
              <a16:creationId xmlns:a16="http://schemas.microsoft.com/office/drawing/2014/main" id="{2ECB222B-2846-4522-8E99-6129B261374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018941" y="32287"/>
          <a:ext cx="1589088" cy="1199508"/>
        </a:xfrm>
        <a:prstGeom prst="rect">
          <a:avLst/>
        </a:prstGeom>
      </xdr:spPr>
    </xdr:pic>
    <xdr:clientData/>
  </xdr:twoCellAnchor>
  <xdr:twoCellAnchor editAs="oneCell">
    <xdr:from>
      <xdr:col>0</xdr:col>
      <xdr:colOff>172204</xdr:colOff>
      <xdr:row>1</xdr:row>
      <xdr:rowOff>63500</xdr:rowOff>
    </xdr:from>
    <xdr:to>
      <xdr:col>1</xdr:col>
      <xdr:colOff>639285</xdr:colOff>
      <xdr:row>2</xdr:row>
      <xdr:rowOff>585201</xdr:rowOff>
    </xdr:to>
    <xdr:pic>
      <xdr:nvPicPr>
        <xdr:cNvPr id="5" name="Imagen 4" descr="Logo Image Minhacienda w-100">
          <a:extLst>
            <a:ext uri="{FF2B5EF4-FFF2-40B4-BE49-F238E27FC236}">
              <a16:creationId xmlns:a16="http://schemas.microsoft.com/office/drawing/2014/main" id="{6D7C1172-3C9C-47E7-A3F8-8E4B2B8CE9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204" y="257229"/>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812273</xdr:colOff>
      <xdr:row>1</xdr:row>
      <xdr:rowOff>45358</xdr:rowOff>
    </xdr:from>
    <xdr:to>
      <xdr:col>2</xdr:col>
      <xdr:colOff>205252</xdr:colOff>
      <xdr:row>2</xdr:row>
      <xdr:rowOff>567194</xdr:rowOff>
    </xdr:to>
    <xdr:pic>
      <xdr:nvPicPr>
        <xdr:cNvPr id="6" name="Imagen 5" descr="Logotipo, nombre de la empresa&#10;&#10;Descripción generada automáticamente">
          <a:extLst>
            <a:ext uri="{FF2B5EF4-FFF2-40B4-BE49-F238E27FC236}">
              <a16:creationId xmlns:a16="http://schemas.microsoft.com/office/drawing/2014/main" id="{60540E06-E076-4EC6-ABE5-BFE71A7885C5}"/>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414985" y="239087"/>
          <a:ext cx="1523996" cy="780141"/>
        </a:xfrm>
        <a:prstGeom prst="rect">
          <a:avLst/>
        </a:prstGeom>
      </xdr:spPr>
    </xdr:pic>
    <xdr:clientData/>
  </xdr:twoCellAnchor>
  <xdr:twoCellAnchor>
    <xdr:from>
      <xdr:col>1</xdr:col>
      <xdr:colOff>721561</xdr:colOff>
      <xdr:row>1</xdr:row>
      <xdr:rowOff>-1</xdr:rowOff>
    </xdr:from>
    <xdr:to>
      <xdr:col>1</xdr:col>
      <xdr:colOff>721561</xdr:colOff>
      <xdr:row>2</xdr:row>
      <xdr:rowOff>612551</xdr:rowOff>
    </xdr:to>
    <xdr:cxnSp macro="">
      <xdr:nvCxnSpPr>
        <xdr:cNvPr id="7" name="Conector recto 6">
          <a:extLst>
            <a:ext uri="{FF2B5EF4-FFF2-40B4-BE49-F238E27FC236}">
              <a16:creationId xmlns:a16="http://schemas.microsoft.com/office/drawing/2014/main" id="{3A72C09B-7126-46E3-AEB5-184AA163F111}"/>
            </a:ext>
          </a:extLst>
        </xdr:cNvPr>
        <xdr:cNvCxnSpPr/>
      </xdr:nvCxnSpPr>
      <xdr:spPr>
        <a:xfrm>
          <a:off x="1324273" y="193728"/>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20</xdr:col>
      <xdr:colOff>57150</xdr:colOff>
      <xdr:row>27</xdr:row>
      <xdr:rowOff>0</xdr:rowOff>
    </xdr:to>
    <xdr:sp macro="" textlink="">
      <xdr:nvSpPr>
        <xdr:cNvPr id="2" name="AutoShape 3">
          <a:extLst>
            <a:ext uri="{FF2B5EF4-FFF2-40B4-BE49-F238E27FC236}">
              <a16:creationId xmlns:a16="http://schemas.microsoft.com/office/drawing/2014/main" id="{00000000-0008-0000-0A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315936</xdr:colOff>
      <xdr:row>0</xdr:row>
      <xdr:rowOff>52175</xdr:rowOff>
    </xdr:from>
    <xdr:to>
      <xdr:col>2</xdr:col>
      <xdr:colOff>1901849</xdr:colOff>
      <xdr:row>10</xdr:row>
      <xdr:rowOff>14216</xdr:rowOff>
    </xdr:to>
    <xdr:pic>
      <xdr:nvPicPr>
        <xdr:cNvPr id="4" name="Imagen 3">
          <a:hlinkClick xmlns:r="http://schemas.openxmlformats.org/officeDocument/2006/relationships" r:id="rId1"/>
          <a:extLst>
            <a:ext uri="{FF2B5EF4-FFF2-40B4-BE49-F238E27FC236}">
              <a16:creationId xmlns:a16="http://schemas.microsoft.com/office/drawing/2014/main" id="{DBDD4257-A6E2-4286-97E8-CEC32645A939}"/>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18026" y="52175"/>
          <a:ext cx="1585913" cy="1170437"/>
        </a:xfrm>
        <a:prstGeom prst="rect">
          <a:avLst/>
        </a:prstGeom>
      </xdr:spPr>
    </xdr:pic>
    <xdr:clientData/>
  </xdr:twoCellAnchor>
  <xdr:twoCellAnchor editAs="oneCell">
    <xdr:from>
      <xdr:col>0</xdr:col>
      <xdr:colOff>94776</xdr:colOff>
      <xdr:row>1</xdr:row>
      <xdr:rowOff>54023</xdr:rowOff>
    </xdr:from>
    <xdr:to>
      <xdr:col>1</xdr:col>
      <xdr:colOff>652778</xdr:colOff>
      <xdr:row>2</xdr:row>
      <xdr:rowOff>578133</xdr:rowOff>
    </xdr:to>
    <xdr:pic>
      <xdr:nvPicPr>
        <xdr:cNvPr id="6" name="Imagen 5" descr="Logo Image Minhacienda w-100">
          <a:extLst>
            <a:ext uri="{FF2B5EF4-FFF2-40B4-BE49-F238E27FC236}">
              <a16:creationId xmlns:a16="http://schemas.microsoft.com/office/drawing/2014/main" id="{9377C5CB-2989-4566-AA11-4FE3BDDB38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776" y="243575"/>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825766</xdr:colOff>
      <xdr:row>1</xdr:row>
      <xdr:rowOff>35881</xdr:rowOff>
    </xdr:from>
    <xdr:to>
      <xdr:col>2</xdr:col>
      <xdr:colOff>359463</xdr:colOff>
      <xdr:row>2</xdr:row>
      <xdr:rowOff>560126</xdr:rowOff>
    </xdr:to>
    <xdr:pic>
      <xdr:nvPicPr>
        <xdr:cNvPr id="7" name="Imagen 6" descr="Logotipo, nombre de la empresa&#10;&#10;Descripción generada automáticamente">
          <a:extLst>
            <a:ext uri="{FF2B5EF4-FFF2-40B4-BE49-F238E27FC236}">
              <a16:creationId xmlns:a16="http://schemas.microsoft.com/office/drawing/2014/main" id="{1E7B484A-6868-43F9-A9E9-46B9A35D5A3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7557" y="225433"/>
          <a:ext cx="1523996" cy="780141"/>
        </a:xfrm>
        <a:prstGeom prst="rect">
          <a:avLst/>
        </a:prstGeom>
      </xdr:spPr>
    </xdr:pic>
    <xdr:clientData/>
  </xdr:twoCellAnchor>
  <xdr:twoCellAnchor>
    <xdr:from>
      <xdr:col>1</xdr:col>
      <xdr:colOff>735054</xdr:colOff>
      <xdr:row>0</xdr:row>
      <xdr:rowOff>180074</xdr:rowOff>
    </xdr:from>
    <xdr:to>
      <xdr:col>1</xdr:col>
      <xdr:colOff>735054</xdr:colOff>
      <xdr:row>2</xdr:row>
      <xdr:rowOff>605483</xdr:rowOff>
    </xdr:to>
    <xdr:cxnSp macro="">
      <xdr:nvCxnSpPr>
        <xdr:cNvPr id="8" name="Conector recto 7">
          <a:extLst>
            <a:ext uri="{FF2B5EF4-FFF2-40B4-BE49-F238E27FC236}">
              <a16:creationId xmlns:a16="http://schemas.microsoft.com/office/drawing/2014/main" id="{D44C6072-7CEE-41D7-9B3D-9607105EE40B}"/>
            </a:ext>
          </a:extLst>
        </xdr:cNvPr>
        <xdr:cNvCxnSpPr/>
      </xdr:nvCxnSpPr>
      <xdr:spPr>
        <a:xfrm>
          <a:off x="1246845" y="180074"/>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46463</xdr:colOff>
      <xdr:row>13</xdr:row>
      <xdr:rowOff>15487</xdr:rowOff>
    </xdr:from>
    <xdr:to>
      <xdr:col>30</xdr:col>
      <xdr:colOff>1982438</xdr:colOff>
      <xdr:row>32</xdr:row>
      <xdr:rowOff>139390</xdr:rowOff>
    </xdr:to>
    <xdr:sp macro="" textlink="">
      <xdr:nvSpPr>
        <xdr:cNvPr id="5" name="TextBox 121">
          <a:extLst>
            <a:ext uri="{FF2B5EF4-FFF2-40B4-BE49-F238E27FC236}">
              <a16:creationId xmlns:a16="http://schemas.microsoft.com/office/drawing/2014/main" id="{00000000-0008-0000-0B00-000005000000}"/>
            </a:ext>
          </a:extLst>
        </xdr:cNvPr>
        <xdr:cNvSpPr txBox="1"/>
      </xdr:nvSpPr>
      <xdr:spPr>
        <a:xfrm>
          <a:off x="6428213" y="2574537"/>
          <a:ext cx="42353725" cy="4587953"/>
        </a:xfrm>
        <a:prstGeom prst="rect">
          <a:avLst/>
        </a:prstGeom>
        <a:noFill/>
        <a:ln>
          <a:solidFill>
            <a:schemeClr val="bg1"/>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4000" kern="0">
            <a:solidFill>
              <a:schemeClr val="tx1">
                <a:lumMod val="50000"/>
                <a:lumOff val="50000"/>
              </a:schemeClr>
            </a:solidFill>
            <a:latin typeface="Arial" pitchFamily="34" charset="0"/>
            <a:cs typeface="Arial" pitchFamily="34" charset="0"/>
          </a:endParaRPr>
        </a:p>
        <a:p>
          <a:pPr algn="ctr"/>
          <a:r>
            <a:rPr lang="en-US" sz="4000" kern="0">
              <a:solidFill>
                <a:schemeClr val="tx1">
                  <a:lumMod val="50000"/>
                  <a:lumOff val="50000"/>
                </a:schemeClr>
              </a:solidFill>
              <a:latin typeface="Arial" pitchFamily="34" charset="0"/>
              <a:cs typeface="Arial" pitchFamily="34" charset="0"/>
            </a:rPr>
            <a:t>Componentes </a:t>
          </a:r>
          <a:r>
            <a:rPr lang="en-US" sz="4000" kern="0" baseline="0">
              <a:solidFill>
                <a:schemeClr val="tx1">
                  <a:lumMod val="50000"/>
                  <a:lumOff val="50000"/>
                </a:schemeClr>
              </a:solidFill>
              <a:latin typeface="Arial" pitchFamily="34" charset="0"/>
              <a:cs typeface="Arial" pitchFamily="34" charset="0"/>
            </a:rPr>
            <a:t>Plan Anticorrupción y de Atención al Ciudadano</a:t>
          </a:r>
        </a:p>
        <a:p>
          <a:pPr algn="ctr"/>
          <a:endParaRPr lang="en-US" sz="4000"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1: </a:t>
          </a:r>
          <a:r>
            <a:rPr lang="en-US" sz="4000" b="0" kern="0" baseline="0">
              <a:solidFill>
                <a:schemeClr val="tx1">
                  <a:lumMod val="50000"/>
                  <a:lumOff val="50000"/>
                </a:schemeClr>
              </a:solidFill>
              <a:latin typeface="Arial" pitchFamily="34" charset="0"/>
              <a:cs typeface="Arial" pitchFamily="34" charset="0"/>
            </a:rPr>
            <a: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a:t>
          </a:r>
        </a:p>
        <a:p>
          <a:pPr algn="ctr"/>
          <a:endParaRPr lang="en-US" sz="4000" b="1"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a:t>
          </a:r>
          <a:r>
            <a:rPr lang="en-US" sz="4000" kern="0" baseline="0">
              <a:solidFill>
                <a:schemeClr val="tx1">
                  <a:lumMod val="50000"/>
                  <a:lumOff val="50000"/>
                </a:schemeClr>
              </a:solidFill>
              <a:latin typeface="Arial" pitchFamily="34" charset="0"/>
              <a:cs typeface="Arial" pitchFamily="34" charset="0"/>
            </a:rPr>
            <a:t>el componente 02. Racionalización de Trámites no aplica a La Previsora.</a:t>
          </a:r>
        </a:p>
      </xdr:txBody>
    </xdr:sp>
    <xdr:clientData/>
  </xdr:twoCellAnchor>
  <xdr:twoCellAnchor editAs="oneCell">
    <xdr:from>
      <xdr:col>4</xdr:col>
      <xdr:colOff>2709334</xdr:colOff>
      <xdr:row>1</xdr:row>
      <xdr:rowOff>102659</xdr:rowOff>
    </xdr:from>
    <xdr:to>
      <xdr:col>5</xdr:col>
      <xdr:colOff>48683</xdr:colOff>
      <xdr:row>9</xdr:row>
      <xdr:rowOff>0</xdr:rowOff>
    </xdr:to>
    <xdr:pic>
      <xdr:nvPicPr>
        <xdr:cNvPr id="3" name="Imagen 2">
          <a:hlinkClick xmlns:r="http://schemas.openxmlformats.org/officeDocument/2006/relationships" r:id="rId1"/>
          <a:extLst>
            <a:ext uri="{FF2B5EF4-FFF2-40B4-BE49-F238E27FC236}">
              <a16:creationId xmlns:a16="http://schemas.microsoft.com/office/drawing/2014/main" id="{B9E045A7-C884-480D-BF5F-D7DD13B60CC7}"/>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513667" y="102659"/>
          <a:ext cx="1911349" cy="1430083"/>
        </a:xfrm>
        <a:prstGeom prst="rect">
          <a:avLst/>
        </a:prstGeom>
      </xdr:spPr>
    </xdr:pic>
    <xdr:clientData/>
  </xdr:twoCellAnchor>
  <xdr:twoCellAnchor editAs="oneCell">
    <xdr:from>
      <xdr:col>3</xdr:col>
      <xdr:colOff>268112</xdr:colOff>
      <xdr:row>3</xdr:row>
      <xdr:rowOff>21168</xdr:rowOff>
    </xdr:from>
    <xdr:to>
      <xdr:col>4</xdr:col>
      <xdr:colOff>533572</xdr:colOff>
      <xdr:row>7</xdr:row>
      <xdr:rowOff>67396</xdr:rowOff>
    </xdr:to>
    <xdr:pic>
      <xdr:nvPicPr>
        <xdr:cNvPr id="4" name="Imagen 3" descr="Logo Image Minhacienda w-100">
          <a:extLst>
            <a:ext uri="{FF2B5EF4-FFF2-40B4-BE49-F238E27FC236}">
              <a16:creationId xmlns:a16="http://schemas.microsoft.com/office/drawing/2014/main" id="{88D1E72A-86F0-41DE-AA15-59497530DB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112" y="388057"/>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706560</xdr:colOff>
      <xdr:row>3</xdr:row>
      <xdr:rowOff>3026</xdr:rowOff>
    </xdr:from>
    <xdr:to>
      <xdr:col>4</xdr:col>
      <xdr:colOff>2230556</xdr:colOff>
      <xdr:row>7</xdr:row>
      <xdr:rowOff>49389</xdr:rowOff>
    </xdr:to>
    <xdr:pic>
      <xdr:nvPicPr>
        <xdr:cNvPr id="7" name="Imagen 6" descr="Logotipo, nombre de la empresa&#10;&#10;Descripción generada automáticamente">
          <a:extLst>
            <a:ext uri="{FF2B5EF4-FFF2-40B4-BE49-F238E27FC236}">
              <a16:creationId xmlns:a16="http://schemas.microsoft.com/office/drawing/2014/main" id="{918176BA-B293-4DF1-8414-81C873015661}"/>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10893" y="369915"/>
          <a:ext cx="1523996" cy="780141"/>
        </a:xfrm>
        <a:prstGeom prst="rect">
          <a:avLst/>
        </a:prstGeom>
      </xdr:spPr>
    </xdr:pic>
    <xdr:clientData/>
  </xdr:twoCellAnchor>
  <xdr:twoCellAnchor>
    <xdr:from>
      <xdr:col>4</xdr:col>
      <xdr:colOff>615848</xdr:colOff>
      <xdr:row>2</xdr:row>
      <xdr:rowOff>141112</xdr:rowOff>
    </xdr:from>
    <xdr:to>
      <xdr:col>4</xdr:col>
      <xdr:colOff>615848</xdr:colOff>
      <xdr:row>7</xdr:row>
      <xdr:rowOff>94746</xdr:rowOff>
    </xdr:to>
    <xdr:cxnSp macro="">
      <xdr:nvCxnSpPr>
        <xdr:cNvPr id="8" name="Conector recto 7">
          <a:extLst>
            <a:ext uri="{FF2B5EF4-FFF2-40B4-BE49-F238E27FC236}">
              <a16:creationId xmlns:a16="http://schemas.microsoft.com/office/drawing/2014/main" id="{B2DE352C-0AFC-43BD-A8C7-49C393643A4D}"/>
            </a:ext>
          </a:extLst>
        </xdr:cNvPr>
        <xdr:cNvCxnSpPr/>
      </xdr:nvCxnSpPr>
      <xdr:spPr>
        <a:xfrm>
          <a:off x="1420181" y="324556"/>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23</xdr:row>
      <xdr:rowOff>0</xdr:rowOff>
    </xdr:to>
    <xdr:sp macro="" textlink="">
      <xdr:nvSpPr>
        <xdr:cNvPr id="2" name="AutoShape 3">
          <a:extLst>
            <a:ext uri="{FF2B5EF4-FFF2-40B4-BE49-F238E27FC236}">
              <a16:creationId xmlns:a16="http://schemas.microsoft.com/office/drawing/2014/main" id="{72CA333C-7A3E-46B6-8869-96CF53BFF850}"/>
            </a:ext>
          </a:extLst>
        </xdr:cNvPr>
        <xdr:cNvSpPr>
          <a:spLocks noChangeArrowheads="1"/>
        </xdr:cNvSpPr>
      </xdr:nvSpPr>
      <xdr:spPr bwMode="auto">
        <a:xfrm>
          <a:off x="508000" y="0"/>
          <a:ext cx="27813000" cy="113474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114300</xdr:colOff>
      <xdr:row>0</xdr:row>
      <xdr:rowOff>184856</xdr:rowOff>
    </xdr:from>
    <xdr:to>
      <xdr:col>1</xdr:col>
      <xdr:colOff>684560</xdr:colOff>
      <xdr:row>2</xdr:row>
      <xdr:rowOff>548584</xdr:rowOff>
    </xdr:to>
    <xdr:pic>
      <xdr:nvPicPr>
        <xdr:cNvPr id="5" name="Imagen 4" descr="Logo Image Minhacienda w-100">
          <a:extLst>
            <a:ext uri="{FF2B5EF4-FFF2-40B4-BE49-F238E27FC236}">
              <a16:creationId xmlns:a16="http://schemas.microsoft.com/office/drawing/2014/main" id="{D1AAC488-6437-4DCC-A7D8-AD1264F31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84856"/>
          <a:ext cx="1078260" cy="808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857548</xdr:colOff>
      <xdr:row>0</xdr:row>
      <xdr:rowOff>166714</xdr:rowOff>
    </xdr:from>
    <xdr:to>
      <xdr:col>2</xdr:col>
      <xdr:colOff>387644</xdr:colOff>
      <xdr:row>2</xdr:row>
      <xdr:rowOff>530577</xdr:rowOff>
    </xdr:to>
    <xdr:pic>
      <xdr:nvPicPr>
        <xdr:cNvPr id="6" name="Imagen 5" descr="Logotipo, nombre de la empresa&#10;&#10;Descripción generada automáticamente">
          <a:extLst>
            <a:ext uri="{FF2B5EF4-FFF2-40B4-BE49-F238E27FC236}">
              <a16:creationId xmlns:a16="http://schemas.microsoft.com/office/drawing/2014/main" id="{40ED2429-FF39-4DB9-B7ED-B4841DD61F32}"/>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65548" y="166714"/>
          <a:ext cx="1523996" cy="808363"/>
        </a:xfrm>
        <a:prstGeom prst="rect">
          <a:avLst/>
        </a:prstGeom>
      </xdr:spPr>
    </xdr:pic>
    <xdr:clientData/>
  </xdr:twoCellAnchor>
  <xdr:twoCellAnchor>
    <xdr:from>
      <xdr:col>1</xdr:col>
      <xdr:colOff>766836</xdr:colOff>
      <xdr:row>0</xdr:row>
      <xdr:rowOff>114300</xdr:rowOff>
    </xdr:from>
    <xdr:to>
      <xdr:col>1</xdr:col>
      <xdr:colOff>766836</xdr:colOff>
      <xdr:row>2</xdr:row>
      <xdr:rowOff>575934</xdr:rowOff>
    </xdr:to>
    <xdr:cxnSp macro="">
      <xdr:nvCxnSpPr>
        <xdr:cNvPr id="7" name="Conector recto 6">
          <a:extLst>
            <a:ext uri="{FF2B5EF4-FFF2-40B4-BE49-F238E27FC236}">
              <a16:creationId xmlns:a16="http://schemas.microsoft.com/office/drawing/2014/main" id="{B8C4C461-3CCC-4B11-874A-3D35E86306D9}"/>
            </a:ext>
          </a:extLst>
        </xdr:cNvPr>
        <xdr:cNvCxnSpPr/>
      </xdr:nvCxnSpPr>
      <xdr:spPr>
        <a:xfrm>
          <a:off x="1274836" y="114300"/>
          <a:ext cx="0" cy="906134"/>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2</xdr:col>
      <xdr:colOff>444500</xdr:colOff>
      <xdr:row>0</xdr:row>
      <xdr:rowOff>38100</xdr:rowOff>
    </xdr:from>
    <xdr:to>
      <xdr:col>3</xdr:col>
      <xdr:colOff>39688</xdr:colOff>
      <xdr:row>10</xdr:row>
      <xdr:rowOff>13034</xdr:rowOff>
    </xdr:to>
    <xdr:pic>
      <xdr:nvPicPr>
        <xdr:cNvPr id="12" name="Imagen 11">
          <a:hlinkClick xmlns:r="http://schemas.openxmlformats.org/officeDocument/2006/relationships" r:id="rId3"/>
          <a:extLst>
            <a:ext uri="{FF2B5EF4-FFF2-40B4-BE49-F238E27FC236}">
              <a16:creationId xmlns:a16="http://schemas.microsoft.com/office/drawing/2014/main" id="{8640B5CA-DCDA-4330-BD79-A6F2C1063A0F}"/>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946400" y="38100"/>
          <a:ext cx="1589088" cy="11814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19</xdr:row>
      <xdr:rowOff>0</xdr:rowOff>
    </xdr:to>
    <xdr:sp macro="" textlink="">
      <xdr:nvSpPr>
        <xdr:cNvPr id="2" name="AutoShape 3">
          <a:extLst>
            <a:ext uri="{FF2B5EF4-FFF2-40B4-BE49-F238E27FC236}">
              <a16:creationId xmlns:a16="http://schemas.microsoft.com/office/drawing/2014/main" id="{00000000-0008-0000-0D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354013</xdr:colOff>
      <xdr:row>0</xdr:row>
      <xdr:rowOff>39688</xdr:rowOff>
    </xdr:from>
    <xdr:to>
      <xdr:col>2</xdr:col>
      <xdr:colOff>1949451</xdr:colOff>
      <xdr:row>10</xdr:row>
      <xdr:rowOff>23283</xdr:rowOff>
    </xdr:to>
    <xdr:pic>
      <xdr:nvPicPr>
        <xdr:cNvPr id="4" name="Imagen 3">
          <a:hlinkClick xmlns:r="http://schemas.openxmlformats.org/officeDocument/2006/relationships" r:id="rId1"/>
          <a:extLst>
            <a:ext uri="{FF2B5EF4-FFF2-40B4-BE49-F238E27FC236}">
              <a16:creationId xmlns:a16="http://schemas.microsoft.com/office/drawing/2014/main" id="{F7EA23C3-76FC-4715-8A8E-86C3A6E4FFF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41096" y="39688"/>
          <a:ext cx="1595438" cy="1187449"/>
        </a:xfrm>
        <a:prstGeom prst="rect">
          <a:avLst/>
        </a:prstGeom>
      </xdr:spPr>
    </xdr:pic>
    <xdr:clientData/>
  </xdr:twoCellAnchor>
  <xdr:twoCellAnchor editAs="oneCell">
    <xdr:from>
      <xdr:col>0</xdr:col>
      <xdr:colOff>88194</xdr:colOff>
      <xdr:row>1</xdr:row>
      <xdr:rowOff>37042</xdr:rowOff>
    </xdr:from>
    <xdr:to>
      <xdr:col>1</xdr:col>
      <xdr:colOff>646459</xdr:colOff>
      <xdr:row>2</xdr:row>
      <xdr:rowOff>561284</xdr:rowOff>
    </xdr:to>
    <xdr:pic>
      <xdr:nvPicPr>
        <xdr:cNvPr id="6" name="Imagen 5" descr="Logo Image Minhacienda w-100">
          <a:extLst>
            <a:ext uri="{FF2B5EF4-FFF2-40B4-BE49-F238E27FC236}">
              <a16:creationId xmlns:a16="http://schemas.microsoft.com/office/drawing/2014/main" id="{2D96C8C6-FF60-4A57-A17B-2A4C9BA0F9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194" y="231070"/>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819447</xdr:colOff>
      <xdr:row>1</xdr:row>
      <xdr:rowOff>18900</xdr:rowOff>
    </xdr:from>
    <xdr:to>
      <xdr:col>2</xdr:col>
      <xdr:colOff>350249</xdr:colOff>
      <xdr:row>2</xdr:row>
      <xdr:rowOff>543277</xdr:rowOff>
    </xdr:to>
    <xdr:pic>
      <xdr:nvPicPr>
        <xdr:cNvPr id="7" name="Imagen 6" descr="Logotipo, nombre de la empresa&#10;&#10;Descripción generada automáticamente">
          <a:extLst>
            <a:ext uri="{FF2B5EF4-FFF2-40B4-BE49-F238E27FC236}">
              <a16:creationId xmlns:a16="http://schemas.microsoft.com/office/drawing/2014/main" id="{7385ACEF-D7F4-44A3-BC09-00B81AAA9894}"/>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0975" y="212928"/>
          <a:ext cx="1523996" cy="780141"/>
        </a:xfrm>
        <a:prstGeom prst="rect">
          <a:avLst/>
        </a:prstGeom>
      </xdr:spPr>
    </xdr:pic>
    <xdr:clientData/>
  </xdr:twoCellAnchor>
  <xdr:twoCellAnchor>
    <xdr:from>
      <xdr:col>1</xdr:col>
      <xdr:colOff>728735</xdr:colOff>
      <xdr:row>0</xdr:row>
      <xdr:rowOff>167569</xdr:rowOff>
    </xdr:from>
    <xdr:to>
      <xdr:col>1</xdr:col>
      <xdr:colOff>728735</xdr:colOff>
      <xdr:row>2</xdr:row>
      <xdr:rowOff>588634</xdr:rowOff>
    </xdr:to>
    <xdr:cxnSp macro="">
      <xdr:nvCxnSpPr>
        <xdr:cNvPr id="8" name="Conector recto 7">
          <a:extLst>
            <a:ext uri="{FF2B5EF4-FFF2-40B4-BE49-F238E27FC236}">
              <a16:creationId xmlns:a16="http://schemas.microsoft.com/office/drawing/2014/main" id="{339568CB-C686-4275-9FC4-420DEF5A4D45}"/>
            </a:ext>
          </a:extLst>
        </xdr:cNvPr>
        <xdr:cNvCxnSpPr/>
      </xdr:nvCxnSpPr>
      <xdr:spPr>
        <a:xfrm>
          <a:off x="1240263" y="167569"/>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00000000-0008-0000-0F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395674</xdr:colOff>
      <xdr:row>0</xdr:row>
      <xdr:rowOff>67363</xdr:rowOff>
    </xdr:from>
    <xdr:to>
      <xdr:col>2</xdr:col>
      <xdr:colOff>1968887</xdr:colOff>
      <xdr:row>10</xdr:row>
      <xdr:rowOff>28919</xdr:rowOff>
    </xdr:to>
    <xdr:pic>
      <xdr:nvPicPr>
        <xdr:cNvPr id="4" name="Imagen 3">
          <a:hlinkClick xmlns:r="http://schemas.openxmlformats.org/officeDocument/2006/relationships" r:id="rId1"/>
          <a:extLst>
            <a:ext uri="{FF2B5EF4-FFF2-40B4-BE49-F238E27FC236}">
              <a16:creationId xmlns:a16="http://schemas.microsoft.com/office/drawing/2014/main" id="{0A3A6387-4726-4113-B5B1-F4A36A2C66E8}"/>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92769" y="67363"/>
          <a:ext cx="1573213" cy="1171488"/>
        </a:xfrm>
        <a:prstGeom prst="rect">
          <a:avLst/>
        </a:prstGeom>
      </xdr:spPr>
    </xdr:pic>
    <xdr:clientData/>
  </xdr:twoCellAnchor>
  <xdr:twoCellAnchor editAs="oneCell">
    <xdr:from>
      <xdr:col>0</xdr:col>
      <xdr:colOff>111554</xdr:colOff>
      <xdr:row>1</xdr:row>
      <xdr:rowOff>46339</xdr:rowOff>
    </xdr:from>
    <xdr:to>
      <xdr:col>1</xdr:col>
      <xdr:colOff>675063</xdr:colOff>
      <xdr:row>2</xdr:row>
      <xdr:rowOff>568913</xdr:rowOff>
    </xdr:to>
    <xdr:pic>
      <xdr:nvPicPr>
        <xdr:cNvPr id="6" name="Imagen 5" descr="Logo Image Minhacienda w-100">
          <a:extLst>
            <a:ext uri="{FF2B5EF4-FFF2-40B4-BE49-F238E27FC236}">
              <a16:creationId xmlns:a16="http://schemas.microsoft.com/office/drawing/2014/main" id="{B2307E68-04CB-4D9A-AA10-9B157BEA11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1554" y="235123"/>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848051</xdr:colOff>
      <xdr:row>1</xdr:row>
      <xdr:rowOff>28197</xdr:rowOff>
    </xdr:from>
    <xdr:to>
      <xdr:col>2</xdr:col>
      <xdr:colOff>381236</xdr:colOff>
      <xdr:row>2</xdr:row>
      <xdr:rowOff>550906</xdr:rowOff>
    </xdr:to>
    <xdr:pic>
      <xdr:nvPicPr>
        <xdr:cNvPr id="7" name="Imagen 6" descr="Logotipo, nombre de la empresa&#10;&#10;Descripción generada automáticamente">
          <a:extLst>
            <a:ext uri="{FF2B5EF4-FFF2-40B4-BE49-F238E27FC236}">
              <a16:creationId xmlns:a16="http://schemas.microsoft.com/office/drawing/2014/main" id="{C7D6F84E-C4FF-4156-B55B-0B017A95C98A}"/>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54335" y="216981"/>
          <a:ext cx="1523996" cy="780141"/>
        </a:xfrm>
        <a:prstGeom prst="rect">
          <a:avLst/>
        </a:prstGeom>
      </xdr:spPr>
    </xdr:pic>
    <xdr:clientData/>
  </xdr:twoCellAnchor>
  <xdr:twoCellAnchor>
    <xdr:from>
      <xdr:col>1</xdr:col>
      <xdr:colOff>757339</xdr:colOff>
      <xdr:row>0</xdr:row>
      <xdr:rowOff>171622</xdr:rowOff>
    </xdr:from>
    <xdr:to>
      <xdr:col>1</xdr:col>
      <xdr:colOff>757339</xdr:colOff>
      <xdr:row>2</xdr:row>
      <xdr:rowOff>596263</xdr:rowOff>
    </xdr:to>
    <xdr:cxnSp macro="">
      <xdr:nvCxnSpPr>
        <xdr:cNvPr id="8" name="Conector recto 7">
          <a:extLst>
            <a:ext uri="{FF2B5EF4-FFF2-40B4-BE49-F238E27FC236}">
              <a16:creationId xmlns:a16="http://schemas.microsoft.com/office/drawing/2014/main" id="{E9F2B299-9916-4508-8D76-636CBB57A7CE}"/>
            </a:ext>
          </a:extLst>
        </xdr:cNvPr>
        <xdr:cNvCxnSpPr/>
      </xdr:nvCxnSpPr>
      <xdr:spPr>
        <a:xfrm>
          <a:off x="1263623" y="171622"/>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66675</xdr:colOff>
      <xdr:row>3</xdr:row>
      <xdr:rowOff>66675</xdr:rowOff>
    </xdr:from>
    <xdr:to>
      <xdr:col>11</xdr:col>
      <xdr:colOff>734580</xdr:colOff>
      <xdr:row>21</xdr:row>
      <xdr:rowOff>134578</xdr:rowOff>
    </xdr:to>
    <xdr:graphicFrame macro="">
      <xdr:nvGraphicFramePr>
        <xdr:cNvPr id="7" name="Chart 1">
          <a:extLst>
            <a:ext uri="{FF2B5EF4-FFF2-40B4-BE49-F238E27FC236}">
              <a16:creationId xmlns:a16="http://schemas.microsoft.com/office/drawing/2014/main" id="{00000000-0008-0000-0100-000007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43296</xdr:colOff>
      <xdr:row>3</xdr:row>
      <xdr:rowOff>57727</xdr:rowOff>
    </xdr:from>
    <xdr:to>
      <xdr:col>23</xdr:col>
      <xdr:colOff>711201</xdr:colOff>
      <xdr:row>21</xdr:row>
      <xdr:rowOff>125630</xdr:rowOff>
    </xdr:to>
    <xdr:graphicFrame macro="">
      <xdr:nvGraphicFramePr>
        <xdr:cNvPr id="8" name="Chart 1">
          <a:extLst>
            <a:ext uri="{FF2B5EF4-FFF2-40B4-BE49-F238E27FC236}">
              <a16:creationId xmlns:a16="http://schemas.microsoft.com/office/drawing/2014/main" id="{00000000-0008-0000-0100-000008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183573</xdr:colOff>
      <xdr:row>3</xdr:row>
      <xdr:rowOff>25688</xdr:rowOff>
    </xdr:from>
    <xdr:to>
      <xdr:col>30</xdr:col>
      <xdr:colOff>50513</xdr:colOff>
      <xdr:row>21</xdr:row>
      <xdr:rowOff>96766</xdr:rowOff>
    </xdr:to>
    <xdr:graphicFrame macro="">
      <xdr:nvGraphicFramePr>
        <xdr:cNvPr id="9" name="Chart 1">
          <a:extLst>
            <a:ext uri="{FF2B5EF4-FFF2-40B4-BE49-F238E27FC236}">
              <a16:creationId xmlns:a16="http://schemas.microsoft.com/office/drawing/2014/main" id="{00000000-0008-0000-0100-000009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43296</xdr:colOff>
      <xdr:row>3</xdr:row>
      <xdr:rowOff>57727</xdr:rowOff>
    </xdr:from>
    <xdr:to>
      <xdr:col>17</xdr:col>
      <xdr:colOff>711201</xdr:colOff>
      <xdr:row>21</xdr:row>
      <xdr:rowOff>125630</xdr:rowOff>
    </xdr:to>
    <xdr:graphicFrame macro="">
      <xdr:nvGraphicFramePr>
        <xdr:cNvPr id="10" name="Chart 1">
          <a:extLst>
            <a:ext uri="{FF2B5EF4-FFF2-40B4-BE49-F238E27FC236}">
              <a16:creationId xmlns:a16="http://schemas.microsoft.com/office/drawing/2014/main" id="{00000000-0008-0000-0100-00000A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75767</xdr:colOff>
      <xdr:row>3</xdr:row>
      <xdr:rowOff>97415</xdr:rowOff>
    </xdr:from>
    <xdr:to>
      <xdr:col>5</xdr:col>
      <xdr:colOff>695902</xdr:colOff>
      <xdr:row>21</xdr:row>
      <xdr:rowOff>68118</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152683</xdr:rowOff>
    </xdr:from>
    <xdr:to>
      <xdr:col>3</xdr:col>
      <xdr:colOff>4586</xdr:colOff>
      <xdr:row>3</xdr:row>
      <xdr:rowOff>136810</xdr:rowOff>
    </xdr:to>
    <xdr:pic>
      <xdr:nvPicPr>
        <xdr:cNvPr id="56" name="Imagen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
        <a:stretch>
          <a:fillRect/>
        </a:stretch>
      </xdr:blipFill>
      <xdr:spPr>
        <a:xfrm>
          <a:off x="0" y="214634"/>
          <a:ext cx="2386843" cy="402298"/>
        </a:xfrm>
        <a:prstGeom prst="rect">
          <a:avLst/>
        </a:prstGeom>
      </xdr:spPr>
    </xdr:pic>
    <xdr:clientData/>
  </xdr:twoCellAnchor>
  <xdr:oneCellAnchor>
    <xdr:from>
      <xdr:col>0</xdr:col>
      <xdr:colOff>15488</xdr:colOff>
      <xdr:row>3</xdr:row>
      <xdr:rowOff>198544</xdr:rowOff>
    </xdr:from>
    <xdr:ext cx="2341611" cy="388056"/>
    <xdr:pic>
      <xdr:nvPicPr>
        <xdr:cNvPr id="57" name="Imagen 56">
          <a:extLst>
            <a:ext uri="{FF2B5EF4-FFF2-40B4-BE49-F238E27FC236}">
              <a16:creationId xmlns:a16="http://schemas.microsoft.com/office/drawing/2014/main" id="{00000000-0008-0000-0200-000039000000}"/>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15488" y="678666"/>
          <a:ext cx="2341611" cy="388056"/>
        </a:xfrm>
        <a:prstGeom prst="rect">
          <a:avLst/>
        </a:prstGeom>
      </xdr:spPr>
    </xdr:pic>
    <xdr:clientData/>
  </xdr:oneCellAnchor>
  <xdr:twoCellAnchor editAs="oneCell">
    <xdr:from>
      <xdr:col>0</xdr:col>
      <xdr:colOff>696951</xdr:colOff>
      <xdr:row>6</xdr:row>
      <xdr:rowOff>665720</xdr:rowOff>
    </xdr:from>
    <xdr:to>
      <xdr:col>14</xdr:col>
      <xdr:colOff>696951</xdr:colOff>
      <xdr:row>71</xdr:row>
      <xdr:rowOff>44446</xdr:rowOff>
    </xdr:to>
    <xdr:pic>
      <xdr:nvPicPr>
        <xdr:cNvPr id="58" name="Imagen 57">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96951" y="1889257"/>
          <a:ext cx="11275122" cy="11923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29</xdr:row>
      <xdr:rowOff>0</xdr:rowOff>
    </xdr:to>
    <xdr:sp macro="" textlink="">
      <xdr:nvSpPr>
        <xdr:cNvPr id="3" name="AutoShape 3">
          <a:extLst>
            <a:ext uri="{FF2B5EF4-FFF2-40B4-BE49-F238E27FC236}">
              <a16:creationId xmlns:a16="http://schemas.microsoft.com/office/drawing/2014/main" id="{00000000-0008-0000-0300-000003000000}"/>
            </a:ext>
          </a:extLst>
        </xdr:cNvPr>
        <xdr:cNvSpPr>
          <a:spLocks noChangeArrowheads="1"/>
        </xdr:cNvSpPr>
      </xdr:nvSpPr>
      <xdr:spPr bwMode="auto">
        <a:xfrm>
          <a:off x="0" y="0"/>
          <a:ext cx="13335000" cy="85344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xdr:from>
      <xdr:col>0</xdr:col>
      <xdr:colOff>0</xdr:colOff>
      <xdr:row>0</xdr:row>
      <xdr:rowOff>0</xdr:rowOff>
    </xdr:from>
    <xdr:to>
      <xdr:col>9</xdr:col>
      <xdr:colOff>0</xdr:colOff>
      <xdr:row>29</xdr:row>
      <xdr:rowOff>0</xdr:rowOff>
    </xdr:to>
    <xdr:sp macro="" textlink="">
      <xdr:nvSpPr>
        <xdr:cNvPr id="2050" name="Text Box 2" hidden="1">
          <a:extLst>
            <a:ext uri="{FF2B5EF4-FFF2-40B4-BE49-F238E27FC236}">
              <a16:creationId xmlns:a16="http://schemas.microsoft.com/office/drawing/2014/main" id="{00000000-0008-0000-0300-00000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2</xdr:col>
      <xdr:colOff>345281</xdr:colOff>
      <xdr:row>0</xdr:row>
      <xdr:rowOff>0</xdr:rowOff>
    </xdr:from>
    <xdr:to>
      <xdr:col>2</xdr:col>
      <xdr:colOff>1940719</xdr:colOff>
      <xdr:row>2</xdr:row>
      <xdr:rowOff>752627</xdr:rowOff>
    </xdr:to>
    <xdr:pic>
      <xdr:nvPicPr>
        <xdr:cNvPr id="9" name="Imagen 8">
          <a:hlinkClick xmlns:r="http://schemas.openxmlformats.org/officeDocument/2006/relationships" r:id="rId1"/>
          <a:extLst>
            <a:ext uri="{FF2B5EF4-FFF2-40B4-BE49-F238E27FC236}">
              <a16:creationId xmlns:a16="http://schemas.microsoft.com/office/drawing/2014/main" id="{1BF9488E-8CE4-20E0-4CD7-F46AA044F6C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33687" y="0"/>
          <a:ext cx="1595438" cy="1193158"/>
        </a:xfrm>
        <a:prstGeom prst="rect">
          <a:avLst/>
        </a:prstGeom>
      </xdr:spPr>
    </xdr:pic>
    <xdr:clientData/>
  </xdr:twoCellAnchor>
  <xdr:twoCellAnchor editAs="oneCell">
    <xdr:from>
      <xdr:col>0</xdr:col>
      <xdr:colOff>81646</xdr:colOff>
      <xdr:row>1</xdr:row>
      <xdr:rowOff>18143</xdr:rowOff>
    </xdr:from>
    <xdr:to>
      <xdr:col>1</xdr:col>
      <xdr:colOff>643439</xdr:colOff>
      <xdr:row>2</xdr:row>
      <xdr:rowOff>544285</xdr:rowOff>
    </xdr:to>
    <xdr:pic>
      <xdr:nvPicPr>
        <xdr:cNvPr id="4" name="Imagen 3" descr="Logo Image Minhacienda w-100">
          <a:extLst>
            <a:ext uri="{FF2B5EF4-FFF2-40B4-BE49-F238E27FC236}">
              <a16:creationId xmlns:a16="http://schemas.microsoft.com/office/drawing/2014/main" id="{87E49D35-0259-4986-BF5C-219EE489E2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646" y="199572"/>
          <a:ext cx="1069793" cy="7801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816427</xdr:colOff>
      <xdr:row>1</xdr:row>
      <xdr:rowOff>1</xdr:rowOff>
    </xdr:from>
    <xdr:to>
      <xdr:col>1</xdr:col>
      <xdr:colOff>2338609</xdr:colOff>
      <xdr:row>2</xdr:row>
      <xdr:rowOff>526142</xdr:rowOff>
    </xdr:to>
    <xdr:pic>
      <xdr:nvPicPr>
        <xdr:cNvPr id="6" name="Imagen 5" descr="Logotipo, nombre de la empresa&#10;&#10;Descripción generada automáticamente">
          <a:extLst>
            <a:ext uri="{FF2B5EF4-FFF2-40B4-BE49-F238E27FC236}">
              <a16:creationId xmlns:a16="http://schemas.microsoft.com/office/drawing/2014/main" id="{420D194B-E9BF-26AA-D5D2-DEFABBA73FB2}"/>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24427" y="181430"/>
          <a:ext cx="1523996" cy="780141"/>
        </a:xfrm>
        <a:prstGeom prst="rect">
          <a:avLst/>
        </a:prstGeom>
      </xdr:spPr>
    </xdr:pic>
    <xdr:clientData/>
  </xdr:twoCellAnchor>
  <xdr:twoCellAnchor>
    <xdr:from>
      <xdr:col>1</xdr:col>
      <xdr:colOff>725715</xdr:colOff>
      <xdr:row>0</xdr:row>
      <xdr:rowOff>136071</xdr:rowOff>
    </xdr:from>
    <xdr:to>
      <xdr:col>1</xdr:col>
      <xdr:colOff>725715</xdr:colOff>
      <xdr:row>2</xdr:row>
      <xdr:rowOff>571499</xdr:rowOff>
    </xdr:to>
    <xdr:cxnSp macro="">
      <xdr:nvCxnSpPr>
        <xdr:cNvPr id="8" name="Conector recto 7">
          <a:extLst>
            <a:ext uri="{FF2B5EF4-FFF2-40B4-BE49-F238E27FC236}">
              <a16:creationId xmlns:a16="http://schemas.microsoft.com/office/drawing/2014/main" id="{98BB249E-7321-D1AF-19F8-C53B5C8DEC62}"/>
            </a:ext>
          </a:extLst>
        </xdr:cNvPr>
        <xdr:cNvCxnSpPr/>
      </xdr:nvCxnSpPr>
      <xdr:spPr>
        <a:xfrm>
          <a:off x="1233715" y="136071"/>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53</xdr:row>
      <xdr:rowOff>0</xdr:rowOff>
    </xdr:to>
    <xdr:sp macro="" textlink="">
      <xdr:nvSpPr>
        <xdr:cNvPr id="2" name="AutoShape 3">
          <a:extLst>
            <a:ext uri="{FF2B5EF4-FFF2-40B4-BE49-F238E27FC236}">
              <a16:creationId xmlns:a16="http://schemas.microsoft.com/office/drawing/2014/main" id="{00000000-0008-0000-04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355410</xdr:colOff>
      <xdr:row>0</xdr:row>
      <xdr:rowOff>14217</xdr:rowOff>
    </xdr:from>
    <xdr:to>
      <xdr:col>2</xdr:col>
      <xdr:colOff>1947673</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3F16AE2B-5D3B-49F2-B0E7-7B275E33454D}"/>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57500" y="14217"/>
          <a:ext cx="1592263" cy="1189983"/>
        </a:xfrm>
        <a:prstGeom prst="rect">
          <a:avLst/>
        </a:prstGeom>
      </xdr:spPr>
    </xdr:pic>
    <xdr:clientData/>
  </xdr:twoCellAnchor>
  <xdr:twoCellAnchor editAs="oneCell">
    <xdr:from>
      <xdr:col>0</xdr:col>
      <xdr:colOff>94786</xdr:colOff>
      <xdr:row>1</xdr:row>
      <xdr:rowOff>72977</xdr:rowOff>
    </xdr:from>
    <xdr:to>
      <xdr:col>1</xdr:col>
      <xdr:colOff>652788</xdr:colOff>
      <xdr:row>2</xdr:row>
      <xdr:rowOff>597087</xdr:rowOff>
    </xdr:to>
    <xdr:pic>
      <xdr:nvPicPr>
        <xdr:cNvPr id="6" name="Imagen 5" descr="Logo Image Minhacienda w-100">
          <a:extLst>
            <a:ext uri="{FF2B5EF4-FFF2-40B4-BE49-F238E27FC236}">
              <a16:creationId xmlns:a16="http://schemas.microsoft.com/office/drawing/2014/main" id="{2D83118D-1415-4F42-A107-5BD103F7BE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786" y="262529"/>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825776</xdr:colOff>
      <xdr:row>1</xdr:row>
      <xdr:rowOff>54835</xdr:rowOff>
    </xdr:from>
    <xdr:to>
      <xdr:col>2</xdr:col>
      <xdr:colOff>359473</xdr:colOff>
      <xdr:row>2</xdr:row>
      <xdr:rowOff>579080</xdr:rowOff>
    </xdr:to>
    <xdr:pic>
      <xdr:nvPicPr>
        <xdr:cNvPr id="7" name="Imagen 6" descr="Logotipo, nombre de la empresa&#10;&#10;Descripción generada automáticamente">
          <a:extLst>
            <a:ext uri="{FF2B5EF4-FFF2-40B4-BE49-F238E27FC236}">
              <a16:creationId xmlns:a16="http://schemas.microsoft.com/office/drawing/2014/main" id="{68C57365-4A9F-41A9-A67D-5BA2CEEDD4B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7567" y="244387"/>
          <a:ext cx="1523996" cy="780141"/>
        </a:xfrm>
        <a:prstGeom prst="rect">
          <a:avLst/>
        </a:prstGeom>
      </xdr:spPr>
    </xdr:pic>
    <xdr:clientData/>
  </xdr:twoCellAnchor>
  <xdr:twoCellAnchor>
    <xdr:from>
      <xdr:col>1</xdr:col>
      <xdr:colOff>735064</xdr:colOff>
      <xdr:row>1</xdr:row>
      <xdr:rowOff>9476</xdr:rowOff>
    </xdr:from>
    <xdr:to>
      <xdr:col>1</xdr:col>
      <xdr:colOff>735064</xdr:colOff>
      <xdr:row>2</xdr:row>
      <xdr:rowOff>624437</xdr:rowOff>
    </xdr:to>
    <xdr:cxnSp macro="">
      <xdr:nvCxnSpPr>
        <xdr:cNvPr id="8" name="Conector recto 7">
          <a:extLst>
            <a:ext uri="{FF2B5EF4-FFF2-40B4-BE49-F238E27FC236}">
              <a16:creationId xmlns:a16="http://schemas.microsoft.com/office/drawing/2014/main" id="{BF7B91EB-ABBD-470D-8596-0F9322B2CE35}"/>
            </a:ext>
          </a:extLst>
        </xdr:cNvPr>
        <xdr:cNvCxnSpPr/>
      </xdr:nvCxnSpPr>
      <xdr:spPr>
        <a:xfrm>
          <a:off x="1246855" y="199028"/>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25</xdr:row>
      <xdr:rowOff>0</xdr:rowOff>
    </xdr:to>
    <xdr:sp macro="" textlink="">
      <xdr:nvSpPr>
        <xdr:cNvPr id="2" name="AutoShape 3">
          <a:extLst>
            <a:ext uri="{FF2B5EF4-FFF2-40B4-BE49-F238E27FC236}">
              <a16:creationId xmlns:a16="http://schemas.microsoft.com/office/drawing/2014/main" id="{00000000-0008-0000-05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352295</xdr:colOff>
      <xdr:row>0</xdr:row>
      <xdr:rowOff>52192</xdr:rowOff>
    </xdr:from>
    <xdr:to>
      <xdr:col>2</xdr:col>
      <xdr:colOff>1944558</xdr:colOff>
      <xdr:row>10</xdr:row>
      <xdr:rowOff>28716</xdr:rowOff>
    </xdr:to>
    <xdr:pic>
      <xdr:nvPicPr>
        <xdr:cNvPr id="4" name="Imagen 3">
          <a:hlinkClick xmlns:r="http://schemas.openxmlformats.org/officeDocument/2006/relationships" r:id="rId1"/>
          <a:extLst>
            <a:ext uri="{FF2B5EF4-FFF2-40B4-BE49-F238E27FC236}">
              <a16:creationId xmlns:a16="http://schemas.microsoft.com/office/drawing/2014/main" id="{6A2FA6B9-102A-4738-9389-79725B2254A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57500" y="52192"/>
          <a:ext cx="1592263" cy="1189983"/>
        </a:xfrm>
        <a:prstGeom prst="rect">
          <a:avLst/>
        </a:prstGeom>
      </xdr:spPr>
    </xdr:pic>
    <xdr:clientData/>
  </xdr:twoCellAnchor>
  <xdr:twoCellAnchor editAs="oneCell">
    <xdr:from>
      <xdr:col>0</xdr:col>
      <xdr:colOff>72572</xdr:colOff>
      <xdr:row>1</xdr:row>
      <xdr:rowOff>63502</xdr:rowOff>
    </xdr:from>
    <xdr:to>
      <xdr:col>1</xdr:col>
      <xdr:colOff>634365</xdr:colOff>
      <xdr:row>2</xdr:row>
      <xdr:rowOff>589508</xdr:rowOff>
    </xdr:to>
    <xdr:pic>
      <xdr:nvPicPr>
        <xdr:cNvPr id="6" name="Imagen 5" descr="Logo Image Minhacienda w-100">
          <a:extLst>
            <a:ext uri="{FF2B5EF4-FFF2-40B4-BE49-F238E27FC236}">
              <a16:creationId xmlns:a16="http://schemas.microsoft.com/office/drawing/2014/main" id="{F40F521A-D48E-415C-95A9-0745AF92A3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572" y="254002"/>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807353</xdr:colOff>
      <xdr:row>1</xdr:row>
      <xdr:rowOff>45360</xdr:rowOff>
    </xdr:from>
    <xdr:to>
      <xdr:col>2</xdr:col>
      <xdr:colOff>335635</xdr:colOff>
      <xdr:row>2</xdr:row>
      <xdr:rowOff>571501</xdr:rowOff>
    </xdr:to>
    <xdr:pic>
      <xdr:nvPicPr>
        <xdr:cNvPr id="7" name="Imagen 6" descr="Logotipo, nombre de la empresa&#10;&#10;Descripción generada automáticamente">
          <a:extLst>
            <a:ext uri="{FF2B5EF4-FFF2-40B4-BE49-F238E27FC236}">
              <a16:creationId xmlns:a16="http://schemas.microsoft.com/office/drawing/2014/main" id="{CF7D6C5E-040C-4202-B74A-A3B9A910E368}"/>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15353" y="235860"/>
          <a:ext cx="1523996" cy="780141"/>
        </a:xfrm>
        <a:prstGeom prst="rect">
          <a:avLst/>
        </a:prstGeom>
      </xdr:spPr>
    </xdr:pic>
    <xdr:clientData/>
  </xdr:twoCellAnchor>
  <xdr:twoCellAnchor>
    <xdr:from>
      <xdr:col>1</xdr:col>
      <xdr:colOff>716641</xdr:colOff>
      <xdr:row>1</xdr:row>
      <xdr:rowOff>1</xdr:rowOff>
    </xdr:from>
    <xdr:to>
      <xdr:col>1</xdr:col>
      <xdr:colOff>716641</xdr:colOff>
      <xdr:row>2</xdr:row>
      <xdr:rowOff>616858</xdr:rowOff>
    </xdr:to>
    <xdr:cxnSp macro="">
      <xdr:nvCxnSpPr>
        <xdr:cNvPr id="8" name="Conector recto 7">
          <a:extLst>
            <a:ext uri="{FF2B5EF4-FFF2-40B4-BE49-F238E27FC236}">
              <a16:creationId xmlns:a16="http://schemas.microsoft.com/office/drawing/2014/main" id="{0670A8B4-B524-4CD0-BE03-E253C247FFD5}"/>
            </a:ext>
          </a:extLst>
        </xdr:cNvPr>
        <xdr:cNvCxnSpPr/>
      </xdr:nvCxnSpPr>
      <xdr:spPr>
        <a:xfrm>
          <a:off x="1224641" y="190501"/>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3429000</xdr:colOff>
      <xdr:row>0</xdr:row>
      <xdr:rowOff>107950</xdr:rowOff>
    </xdr:from>
    <xdr:to>
      <xdr:col>0</xdr:col>
      <xdr:colOff>5257800</xdr:colOff>
      <xdr:row>2</xdr:row>
      <xdr:rowOff>442835</xdr:rowOff>
    </xdr:to>
    <xdr:pic>
      <xdr:nvPicPr>
        <xdr:cNvPr id="3" name="Imagen 2">
          <a:hlinkClick xmlns:r="http://schemas.openxmlformats.org/officeDocument/2006/relationships" r:id="rId1"/>
          <a:extLst>
            <a:ext uri="{FF2B5EF4-FFF2-40B4-BE49-F238E27FC236}">
              <a16:creationId xmlns:a16="http://schemas.microsoft.com/office/drawing/2014/main" id="{7DAE9550-5EDF-4FD9-8238-0C95956D089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429000" y="107950"/>
          <a:ext cx="1828800" cy="1350885"/>
        </a:xfrm>
        <a:prstGeom prst="rect">
          <a:avLst/>
        </a:prstGeom>
      </xdr:spPr>
    </xdr:pic>
    <xdr:clientData/>
  </xdr:twoCellAnchor>
  <xdr:twoCellAnchor editAs="oneCell">
    <xdr:from>
      <xdr:col>0</xdr:col>
      <xdr:colOff>330200</xdr:colOff>
      <xdr:row>0</xdr:row>
      <xdr:rowOff>419101</xdr:rowOff>
    </xdr:from>
    <xdr:to>
      <xdr:col>0</xdr:col>
      <xdr:colOff>1399993</xdr:colOff>
      <xdr:row>2</xdr:row>
      <xdr:rowOff>183107</xdr:rowOff>
    </xdr:to>
    <xdr:pic>
      <xdr:nvPicPr>
        <xdr:cNvPr id="5" name="Imagen 4" descr="Logo Image Minhacienda w-100">
          <a:extLst>
            <a:ext uri="{FF2B5EF4-FFF2-40B4-BE49-F238E27FC236}">
              <a16:creationId xmlns:a16="http://schemas.microsoft.com/office/drawing/2014/main" id="{0B8E8D59-F48D-4C5C-80FE-7621DA6542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0200" y="419101"/>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1572981</xdr:colOff>
      <xdr:row>0</xdr:row>
      <xdr:rowOff>400959</xdr:rowOff>
    </xdr:from>
    <xdr:to>
      <xdr:col>0</xdr:col>
      <xdr:colOff>3096977</xdr:colOff>
      <xdr:row>2</xdr:row>
      <xdr:rowOff>165100</xdr:rowOff>
    </xdr:to>
    <xdr:pic>
      <xdr:nvPicPr>
        <xdr:cNvPr id="6" name="Imagen 5" descr="Logotipo, nombre de la empresa&#10;&#10;Descripción generada automáticamente">
          <a:extLst>
            <a:ext uri="{FF2B5EF4-FFF2-40B4-BE49-F238E27FC236}">
              <a16:creationId xmlns:a16="http://schemas.microsoft.com/office/drawing/2014/main" id="{BA508112-04E9-42FE-8FDB-95D0E3D12ED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72981" y="400959"/>
          <a:ext cx="1523996" cy="780141"/>
        </a:xfrm>
        <a:prstGeom prst="rect">
          <a:avLst/>
        </a:prstGeom>
      </xdr:spPr>
    </xdr:pic>
    <xdr:clientData/>
  </xdr:twoCellAnchor>
  <xdr:twoCellAnchor>
    <xdr:from>
      <xdr:col>0</xdr:col>
      <xdr:colOff>1482269</xdr:colOff>
      <xdr:row>0</xdr:row>
      <xdr:rowOff>355600</xdr:rowOff>
    </xdr:from>
    <xdr:to>
      <xdr:col>0</xdr:col>
      <xdr:colOff>1482269</xdr:colOff>
      <xdr:row>2</xdr:row>
      <xdr:rowOff>210457</xdr:rowOff>
    </xdr:to>
    <xdr:cxnSp macro="">
      <xdr:nvCxnSpPr>
        <xdr:cNvPr id="7" name="Conector recto 6">
          <a:extLst>
            <a:ext uri="{FF2B5EF4-FFF2-40B4-BE49-F238E27FC236}">
              <a16:creationId xmlns:a16="http://schemas.microsoft.com/office/drawing/2014/main" id="{15D3E453-E2E6-4782-AAC8-1DA90742DF3A}"/>
            </a:ext>
          </a:extLst>
        </xdr:cNvPr>
        <xdr:cNvCxnSpPr/>
      </xdr:nvCxnSpPr>
      <xdr:spPr>
        <a:xfrm>
          <a:off x="1482269" y="355600"/>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00000000-0008-0000-0700-000002000000}"/>
            </a:ext>
          </a:extLst>
        </xdr:cNvPr>
        <xdr:cNvSpPr>
          <a:spLocks noChangeArrowheads="1"/>
        </xdr:cNvSpPr>
      </xdr:nvSpPr>
      <xdr:spPr bwMode="auto">
        <a:xfrm>
          <a:off x="501650" y="0"/>
          <a:ext cx="26720800" cy="93218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664243</xdr:colOff>
      <xdr:row>0</xdr:row>
      <xdr:rowOff>25066</xdr:rowOff>
    </xdr:from>
    <xdr:to>
      <xdr:col>2</xdr:col>
      <xdr:colOff>2253331</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2964F791-DD9C-40EF-A406-F27A059B9B6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158289" y="25066"/>
          <a:ext cx="1589088" cy="1199508"/>
        </a:xfrm>
        <a:prstGeom prst="rect">
          <a:avLst/>
        </a:prstGeom>
      </xdr:spPr>
    </xdr:pic>
    <xdr:clientData/>
  </xdr:twoCellAnchor>
  <xdr:twoCellAnchor editAs="oneCell">
    <xdr:from>
      <xdr:col>0</xdr:col>
      <xdr:colOff>116973</xdr:colOff>
      <xdr:row>1</xdr:row>
      <xdr:rowOff>55146</xdr:rowOff>
    </xdr:from>
    <xdr:to>
      <xdr:col>1</xdr:col>
      <xdr:colOff>677095</xdr:colOff>
      <xdr:row>2</xdr:row>
      <xdr:rowOff>584494</xdr:rowOff>
    </xdr:to>
    <xdr:pic>
      <xdr:nvPicPr>
        <xdr:cNvPr id="6" name="Imagen 5" descr="Logo Image Minhacienda w-100">
          <a:extLst>
            <a:ext uri="{FF2B5EF4-FFF2-40B4-BE49-F238E27FC236}">
              <a16:creationId xmlns:a16="http://schemas.microsoft.com/office/drawing/2014/main" id="{BD014CA3-E192-4036-BB4A-6813E26D06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6973" y="247317"/>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850083</xdr:colOff>
      <xdr:row>1</xdr:row>
      <xdr:rowOff>37004</xdr:rowOff>
    </xdr:from>
    <xdr:to>
      <xdr:col>1</xdr:col>
      <xdr:colOff>2371071</xdr:colOff>
      <xdr:row>2</xdr:row>
      <xdr:rowOff>566487</xdr:rowOff>
    </xdr:to>
    <xdr:pic>
      <xdr:nvPicPr>
        <xdr:cNvPr id="7" name="Imagen 6" descr="Logotipo, nombre de la empresa&#10;&#10;Descripción generada automáticamente">
          <a:extLst>
            <a:ext uri="{FF2B5EF4-FFF2-40B4-BE49-F238E27FC236}">
              <a16:creationId xmlns:a16="http://schemas.microsoft.com/office/drawing/2014/main" id="{B3FC58B7-E598-4B9A-84E5-C210DB44F80C}"/>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59754" y="229175"/>
          <a:ext cx="1523996" cy="780141"/>
        </a:xfrm>
        <a:prstGeom prst="rect">
          <a:avLst/>
        </a:prstGeom>
      </xdr:spPr>
    </xdr:pic>
    <xdr:clientData/>
  </xdr:twoCellAnchor>
  <xdr:twoCellAnchor>
    <xdr:from>
      <xdr:col>1</xdr:col>
      <xdr:colOff>759371</xdr:colOff>
      <xdr:row>0</xdr:row>
      <xdr:rowOff>183816</xdr:rowOff>
    </xdr:from>
    <xdr:to>
      <xdr:col>1</xdr:col>
      <xdr:colOff>759371</xdr:colOff>
      <xdr:row>2</xdr:row>
      <xdr:rowOff>611844</xdr:rowOff>
    </xdr:to>
    <xdr:cxnSp macro="">
      <xdr:nvCxnSpPr>
        <xdr:cNvPr id="8" name="Conector recto 7">
          <a:extLst>
            <a:ext uri="{FF2B5EF4-FFF2-40B4-BE49-F238E27FC236}">
              <a16:creationId xmlns:a16="http://schemas.microsoft.com/office/drawing/2014/main" id="{FD88D331-0280-4980-AAD3-44C7F3A7564A}"/>
            </a:ext>
          </a:extLst>
        </xdr:cNvPr>
        <xdr:cNvCxnSpPr/>
      </xdr:nvCxnSpPr>
      <xdr:spPr>
        <a:xfrm>
          <a:off x="1269042" y="183816"/>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24</xdr:col>
      <xdr:colOff>57150</xdr:colOff>
      <xdr:row>45</xdr:row>
      <xdr:rowOff>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317370</xdr:colOff>
      <xdr:row>0</xdr:row>
      <xdr:rowOff>58318</xdr:rowOff>
    </xdr:from>
    <xdr:to>
      <xdr:col>2</xdr:col>
      <xdr:colOff>1893758</xdr:colOff>
      <xdr:row>10</xdr:row>
      <xdr:rowOff>38878</xdr:rowOff>
    </xdr:to>
    <xdr:pic>
      <xdr:nvPicPr>
        <xdr:cNvPr id="4" name="Imagen 3">
          <a:hlinkClick xmlns:r="http://schemas.openxmlformats.org/officeDocument/2006/relationships" r:id="rId1"/>
          <a:extLst>
            <a:ext uri="{FF2B5EF4-FFF2-40B4-BE49-F238E27FC236}">
              <a16:creationId xmlns:a16="http://schemas.microsoft.com/office/drawing/2014/main" id="{027706EA-D977-4CFF-A8E1-C1F30025663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05533" y="58318"/>
          <a:ext cx="1576388" cy="1185764"/>
        </a:xfrm>
        <a:prstGeom prst="rect">
          <a:avLst/>
        </a:prstGeom>
      </xdr:spPr>
    </xdr:pic>
    <xdr:clientData/>
  </xdr:twoCellAnchor>
  <xdr:twoCellAnchor editAs="oneCell">
    <xdr:from>
      <xdr:col>0</xdr:col>
      <xdr:colOff>103674</xdr:colOff>
      <xdr:row>1</xdr:row>
      <xdr:rowOff>63502</xdr:rowOff>
    </xdr:from>
    <xdr:to>
      <xdr:col>1</xdr:col>
      <xdr:colOff>668059</xdr:colOff>
      <xdr:row>2</xdr:row>
      <xdr:rowOff>584325</xdr:rowOff>
    </xdr:to>
    <xdr:pic>
      <xdr:nvPicPr>
        <xdr:cNvPr id="6" name="Imagen 5" descr="Logo Image Minhacienda w-100">
          <a:extLst>
            <a:ext uri="{FF2B5EF4-FFF2-40B4-BE49-F238E27FC236}">
              <a16:creationId xmlns:a16="http://schemas.microsoft.com/office/drawing/2014/main" id="{301EAF88-5B73-40D1-83E7-953B128C75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674" y="257890"/>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841047</xdr:colOff>
      <xdr:row>1</xdr:row>
      <xdr:rowOff>45360</xdr:rowOff>
    </xdr:from>
    <xdr:to>
      <xdr:col>1</xdr:col>
      <xdr:colOff>2363229</xdr:colOff>
      <xdr:row>2</xdr:row>
      <xdr:rowOff>566318</xdr:rowOff>
    </xdr:to>
    <xdr:pic>
      <xdr:nvPicPr>
        <xdr:cNvPr id="7" name="Imagen 6" descr="Logotipo, nombre de la empresa&#10;&#10;Descripción generada automáticamente">
          <a:extLst>
            <a:ext uri="{FF2B5EF4-FFF2-40B4-BE49-F238E27FC236}">
              <a16:creationId xmlns:a16="http://schemas.microsoft.com/office/drawing/2014/main" id="{D97C90FA-99A7-456A-9E30-82EA7E3C5EB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46455" y="239748"/>
          <a:ext cx="1523996" cy="780141"/>
        </a:xfrm>
        <a:prstGeom prst="rect">
          <a:avLst/>
        </a:prstGeom>
      </xdr:spPr>
    </xdr:pic>
    <xdr:clientData/>
  </xdr:twoCellAnchor>
  <xdr:twoCellAnchor>
    <xdr:from>
      <xdr:col>1</xdr:col>
      <xdr:colOff>750335</xdr:colOff>
      <xdr:row>1</xdr:row>
      <xdr:rowOff>1</xdr:rowOff>
    </xdr:from>
    <xdr:to>
      <xdr:col>1</xdr:col>
      <xdr:colOff>750335</xdr:colOff>
      <xdr:row>2</xdr:row>
      <xdr:rowOff>611675</xdr:rowOff>
    </xdr:to>
    <xdr:cxnSp macro="">
      <xdr:nvCxnSpPr>
        <xdr:cNvPr id="8" name="Conector recto 7">
          <a:extLst>
            <a:ext uri="{FF2B5EF4-FFF2-40B4-BE49-F238E27FC236}">
              <a16:creationId xmlns:a16="http://schemas.microsoft.com/office/drawing/2014/main" id="{6F4363A0-F428-4019-8958-B401E05C23AE}"/>
            </a:ext>
          </a:extLst>
        </xdr:cNvPr>
        <xdr:cNvCxnSpPr/>
      </xdr:nvCxnSpPr>
      <xdr:spPr>
        <a:xfrm>
          <a:off x="1255743" y="194389"/>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MONICA NAIREL HERNANDEZ MARTINEZ" id="{C225D361-98A0-4034-9F7D-E7FBA31A098C}" userId="S::monica.hernandez@previsora.gov.co::60211d91-2e7d-4ca8-b3c5-039480b8eef5"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Z60" dT="2025-01-10T00:59:00.55" personId="{C225D361-98A0-4034-9F7D-E7FBA31A098C}" id="{A27DA2DD-2427-483E-8BBB-342EAD8039A2}">
    <text>Para la vigencia 2025, solo se proyectó presupuesto por el concepto: INSUMOS DE PAPELERÍA, FORMAS PREIMPRESAS A NIVEL NACIONAL, dado que solo es un mes de ejecución.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prdpdvwpisolap/SIPG/frmPrograma.aspx?IdPrograma=Mjc=&amp;Objeto=R2VzdGlvbkNhbWJpbw==" TargetMode="External"/><Relationship Id="rId3" Type="http://schemas.openxmlformats.org/officeDocument/2006/relationships/hyperlink" Target="https://prdpdvwpisolap/SIPG/frmPrograma.aspx?IdPrograma=MjI=&amp;Objeto=R2VzdGlvbkNhbWJpbw==" TargetMode="External"/><Relationship Id="rId7" Type="http://schemas.openxmlformats.org/officeDocument/2006/relationships/hyperlink" Target="https://prdpdvwpisolap/SIPG/frmPrograma.aspx?IdPrograma=Mjc=&amp;Objeto=R2VzdGlvbkNhbWJpbw==" TargetMode="External"/><Relationship Id="rId2" Type="http://schemas.openxmlformats.org/officeDocument/2006/relationships/hyperlink" Target="https://prdpdvwpisolap/SIPG/frmPrograma.aspx?IdPrograma=MjE=&amp;Objeto=R2VzdGlvbkNhbWJpbw==" TargetMode="External"/><Relationship Id="rId1" Type="http://schemas.openxmlformats.org/officeDocument/2006/relationships/hyperlink" Target="https://prdpdvwpisolap/SIPG/frmPrograma.aspx?IdPrograma=MjA=&amp;Objeto=R2VzdGlvbkNhbWJpbw==" TargetMode="External"/><Relationship Id="rId6" Type="http://schemas.openxmlformats.org/officeDocument/2006/relationships/hyperlink" Target="https://prdpdvwpisolap/SIPG/frmPrograma.aspx?IdPrograma=MjY=&amp;Objeto=R2VzdGlvbkNhbWJpbw==" TargetMode="External"/><Relationship Id="rId5" Type="http://schemas.openxmlformats.org/officeDocument/2006/relationships/hyperlink" Target="https://prdpdvwpisolap/SIPG/frmPrograma.aspx?IdPrograma=MjU=&amp;Objeto=R2VzdGlvbkNhbWJpbw==" TargetMode="External"/><Relationship Id="rId4" Type="http://schemas.openxmlformats.org/officeDocument/2006/relationships/hyperlink" Target="https://prdpdvwpisolap/SIPG/frmPrograma.aspx?IdPrograma=MjQ=&amp;Objeto=R2VzdGlvbkNhbWJpbw==" TargetMode="External"/><Relationship Id="rId9" Type="http://schemas.openxmlformats.org/officeDocument/2006/relationships/hyperlink" Target="https://prdpdvwpisolap/SIPG/frmPrograma.aspx?IdPrograma=Mjc=&amp;Objeto=R2VzdGlvbkNhbWJpbw=="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0FA3-811A-4695-89CC-312731AE2202}">
  <dimension ref="A1:XFC80"/>
  <sheetViews>
    <sheetView showGridLines="0" view="pageLayout" topLeftCell="A8" zoomScale="50" zoomScaleNormal="30" zoomScaleSheetLayoutView="40" zoomScalePageLayoutView="50" workbookViewId="0">
      <selection activeCell="E80" sqref="E80"/>
    </sheetView>
  </sheetViews>
  <sheetFormatPr baseColWidth="10" defaultColWidth="0" defaultRowHeight="14.5" x14ac:dyDescent="0.35"/>
  <cols>
    <col min="1" max="1" width="14.26953125" style="68" customWidth="1"/>
    <col min="2" max="16" width="11.453125" style="68" customWidth="1"/>
    <col min="17" max="4945" width="0" style="68" hidden="1" customWidth="1"/>
    <col min="4946" max="15759" width="11.453125" style="68" hidden="1"/>
    <col min="15760" max="16382" width="0" style="68" hidden="1"/>
    <col min="16383" max="16383" width="12.453125" style="68" hidden="1"/>
    <col min="16384" max="16384" width="48.1796875" style="68" hidden="1" customWidth="1"/>
  </cols>
  <sheetData>
    <row r="1" spans="14:14" ht="4.5" customHeight="1" x14ac:dyDescent="0.35"/>
    <row r="7" spans="14:14" x14ac:dyDescent="0.35">
      <c r="N7" s="175" t="s">
        <v>0</v>
      </c>
    </row>
    <row r="18" spans="8:8" ht="21" x14ac:dyDescent="0.5">
      <c r="H18" s="81"/>
    </row>
    <row r="41" spans="1:11" x14ac:dyDescent="0.35">
      <c r="A41" s="82"/>
      <c r="B41" s="82"/>
      <c r="C41" s="82"/>
      <c r="D41" s="82"/>
      <c r="E41" s="82"/>
      <c r="F41" s="82"/>
      <c r="G41" s="82"/>
      <c r="H41" s="82"/>
      <c r="I41" s="82"/>
      <c r="J41" s="82"/>
      <c r="K41" s="82"/>
    </row>
    <row r="42" spans="1:11" x14ac:dyDescent="0.35">
      <c r="A42" s="82"/>
      <c r="B42" s="82"/>
      <c r="C42" s="82"/>
      <c r="D42" s="82"/>
      <c r="E42" s="82"/>
      <c r="F42" s="82"/>
      <c r="G42" s="82"/>
      <c r="H42" s="82"/>
      <c r="I42" s="82"/>
      <c r="J42" s="82"/>
      <c r="K42" s="82"/>
    </row>
    <row r="57" hidden="1" x14ac:dyDescent="0.35"/>
    <row r="73" spans="1:16" x14ac:dyDescent="0.35">
      <c r="N73"/>
    </row>
    <row r="75" spans="1:16" ht="26" x14ac:dyDescent="0.6">
      <c r="A75" s="340" t="s">
        <v>1</v>
      </c>
      <c r="B75" s="340"/>
      <c r="C75" s="340"/>
      <c r="D75" s="340"/>
      <c r="E75" s="340"/>
      <c r="F75" s="340"/>
      <c r="G75" s="340"/>
      <c r="H75" s="340"/>
      <c r="I75" s="340"/>
      <c r="J75" s="340"/>
      <c r="K75" s="340"/>
      <c r="L75" s="340"/>
      <c r="M75" s="340"/>
      <c r="N75" s="340"/>
      <c r="O75" s="340"/>
      <c r="P75" s="340"/>
    </row>
    <row r="76" spans="1:16" ht="14.9" customHeight="1" x14ac:dyDescent="0.35">
      <c r="A76" s="341" t="s">
        <v>2</v>
      </c>
      <c r="B76" s="342"/>
      <c r="C76" s="342"/>
      <c r="D76" s="342"/>
      <c r="E76" s="342"/>
      <c r="F76" s="342"/>
      <c r="G76" s="342"/>
      <c r="H76" s="342"/>
      <c r="I76" s="342"/>
      <c r="J76" s="342"/>
      <c r="K76" s="342"/>
      <c r="L76" s="342"/>
      <c r="M76" s="342"/>
      <c r="N76" s="342"/>
      <c r="O76" s="342"/>
      <c r="P76" s="343"/>
    </row>
    <row r="77" spans="1:16" ht="15" customHeight="1" x14ac:dyDescent="0.35">
      <c r="A77" s="344"/>
      <c r="B77" s="345"/>
      <c r="C77" s="345"/>
      <c r="D77" s="345"/>
      <c r="E77" s="345"/>
      <c r="F77" s="345"/>
      <c r="G77" s="345"/>
      <c r="H77" s="345"/>
      <c r="I77" s="345"/>
      <c r="J77" s="345"/>
      <c r="K77" s="345"/>
      <c r="L77" s="345"/>
      <c r="M77" s="345"/>
      <c r="N77" s="345"/>
      <c r="O77" s="345"/>
      <c r="P77" s="346"/>
    </row>
    <row r="78" spans="1:16" ht="44.15" customHeight="1" x14ac:dyDescent="0.35">
      <c r="A78" s="83" t="s">
        <v>3</v>
      </c>
      <c r="B78" s="347" t="s">
        <v>4</v>
      </c>
      <c r="C78" s="348"/>
      <c r="D78" s="348"/>
      <c r="E78" s="348"/>
      <c r="F78" s="349"/>
      <c r="G78" s="347" t="s">
        <v>5</v>
      </c>
      <c r="H78" s="348"/>
      <c r="I78" s="348"/>
      <c r="J78" s="348"/>
      <c r="K78" s="348"/>
      <c r="L78" s="348"/>
      <c r="M78" s="348"/>
      <c r="N78" s="348"/>
      <c r="O78" s="348"/>
      <c r="P78" s="349"/>
    </row>
    <row r="79" spans="1:16" ht="65.150000000000006" customHeight="1" x14ac:dyDescent="0.35">
      <c r="A79" s="84">
        <v>1</v>
      </c>
      <c r="B79" s="350">
        <v>45688</v>
      </c>
      <c r="C79" s="351"/>
      <c r="D79" s="351"/>
      <c r="E79" s="351"/>
      <c r="F79" s="352"/>
      <c r="G79" s="353" t="s">
        <v>2061</v>
      </c>
      <c r="H79" s="354"/>
      <c r="I79" s="354"/>
      <c r="J79" s="354"/>
      <c r="K79" s="354"/>
      <c r="L79" s="354"/>
      <c r="M79" s="354"/>
      <c r="N79" s="354"/>
      <c r="O79" s="354"/>
      <c r="P79" s="355"/>
    </row>
    <row r="80" spans="1:16" ht="86.9" customHeight="1" x14ac:dyDescent="0.35"/>
  </sheetData>
  <sheetProtection autoFilter="0"/>
  <mergeCells count="6">
    <mergeCell ref="A75:P75"/>
    <mergeCell ref="A76:P77"/>
    <mergeCell ref="B78:F78"/>
    <mergeCell ref="G78:P78"/>
    <mergeCell ref="B79:F79"/>
    <mergeCell ref="G79:P79"/>
  </mergeCells>
  <pageMargins left="0.7" right="0.7" top="0.75" bottom="0.75" header="0.3" footer="0.3"/>
  <pageSetup scale="48" orientation="portrait" r:id="rId1"/>
  <headerFooter>
    <oddHeader>&amp;C&amp;G</oddHeader>
    <oddFooter>&amp;C_x000D_&amp;1#&amp;"Calibri"&amp;10&amp;K008000 Información Pública - La Previsora S.A. Compañía de Seguros</oddFooter>
  </headerFooter>
  <colBreaks count="1" manualBreakCount="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F01A-C809-40FB-87B9-E571BFA038B5}">
  <dimension ref="A1:AO128"/>
  <sheetViews>
    <sheetView showGridLines="0" view="pageBreakPreview" zoomScale="50" zoomScaleNormal="10" zoomScaleSheetLayoutView="50" zoomScalePageLayoutView="48" workbookViewId="0">
      <selection activeCell="E14" sqref="E14:E15"/>
    </sheetView>
  </sheetViews>
  <sheetFormatPr baseColWidth="10" defaultColWidth="12.54296875" defaultRowHeight="15" customHeight="1" x14ac:dyDescent="0.35"/>
  <cols>
    <col min="1" max="1" width="7.26953125" style="1" customWidth="1"/>
    <col min="2" max="2" width="37.453125" style="1" customWidth="1"/>
    <col min="3" max="3" width="49.26953125" style="1" customWidth="1"/>
    <col min="4" max="4" width="28.54296875" style="1" customWidth="1"/>
    <col min="5" max="5" width="36.453125" style="1" customWidth="1"/>
    <col min="6" max="6" width="28.54296875" style="1" hidden="1" customWidth="1"/>
    <col min="7" max="8" width="28.54296875" style="1" customWidth="1"/>
    <col min="9" max="9" width="41.26953125" style="1" customWidth="1"/>
    <col min="10" max="10" width="28.54296875" style="1" customWidth="1"/>
    <col min="11" max="12" width="19.54296875" style="1" customWidth="1"/>
    <col min="13" max="13" width="28.54296875" style="1" customWidth="1"/>
    <col min="14" max="15" width="18.26953125" style="1" customWidth="1"/>
    <col min="16" max="16" width="29.453125" style="1" customWidth="1"/>
    <col min="17" max="17" width="40.26953125" style="1" customWidth="1"/>
    <col min="18" max="18" width="34.54296875" style="1" customWidth="1"/>
    <col min="19" max="19" width="19.90625" style="1" customWidth="1"/>
    <col min="20" max="21" width="18.26953125" style="1" customWidth="1"/>
    <col min="22" max="24" width="13.7265625" style="1" hidden="1" customWidth="1"/>
    <col min="25" max="37" width="9.54296875" style="1" hidden="1" customWidth="1"/>
    <col min="38" max="38" width="35.7265625" style="1" hidden="1" customWidth="1"/>
    <col min="39" max="39" width="45.81640625" style="1" hidden="1" customWidth="1"/>
    <col min="40" max="41" width="42.54296875" style="1" hidden="1" customWidth="1"/>
    <col min="42" max="16384" width="12.54296875" style="1"/>
  </cols>
  <sheetData>
    <row r="1" spans="1:41" s="56" customFormat="1" ht="15" customHeight="1" x14ac:dyDescent="0.35">
      <c r="A1" s="407"/>
      <c r="B1" s="408"/>
      <c r="C1" s="409"/>
      <c r="D1" s="463" t="s">
        <v>813</v>
      </c>
      <c r="E1" s="463"/>
      <c r="F1" s="463"/>
      <c r="G1" s="463"/>
      <c r="H1" s="463"/>
      <c r="I1" s="463"/>
      <c r="J1" s="463"/>
      <c r="K1" s="463"/>
      <c r="L1" s="463"/>
      <c r="M1" s="463"/>
      <c r="N1" s="463"/>
      <c r="O1" s="463"/>
      <c r="P1" s="463"/>
      <c r="Q1" s="463"/>
      <c r="R1" s="463"/>
      <c r="S1" s="463"/>
      <c r="T1" s="463"/>
      <c r="U1" s="463"/>
      <c r="V1" s="463"/>
      <c r="W1" s="463"/>
      <c r="X1" s="463"/>
      <c r="Y1" s="463"/>
      <c r="Z1" s="463"/>
      <c r="AA1" s="463"/>
      <c r="AB1" s="463"/>
      <c r="AC1" s="463"/>
      <c r="AD1" s="463"/>
      <c r="AE1" s="463"/>
      <c r="AF1" s="463"/>
      <c r="AG1" s="463"/>
      <c r="AH1" s="463"/>
      <c r="AI1" s="463"/>
      <c r="AJ1" s="463"/>
      <c r="AK1" s="463"/>
      <c r="AL1" s="463"/>
      <c r="AM1" s="463"/>
      <c r="AN1" s="463"/>
      <c r="AO1" s="463"/>
    </row>
    <row r="2" spans="1:41" s="56" customFormat="1" ht="20.149999999999999" customHeight="1" x14ac:dyDescent="0.35">
      <c r="A2" s="410"/>
      <c r="B2" s="411"/>
      <c r="C2" s="412"/>
      <c r="D2" s="463"/>
      <c r="E2" s="463"/>
      <c r="F2" s="463"/>
      <c r="G2" s="463"/>
      <c r="H2" s="463"/>
      <c r="I2" s="463"/>
      <c r="J2" s="463"/>
      <c r="K2" s="463"/>
      <c r="L2" s="463"/>
      <c r="M2" s="463"/>
      <c r="N2" s="463"/>
      <c r="O2" s="463"/>
      <c r="P2" s="463"/>
      <c r="Q2" s="463"/>
      <c r="R2" s="463"/>
      <c r="S2" s="463"/>
      <c r="T2" s="463"/>
      <c r="U2" s="463"/>
      <c r="V2" s="463"/>
      <c r="W2" s="463"/>
      <c r="X2" s="463"/>
      <c r="Y2" s="463"/>
      <c r="Z2" s="463"/>
      <c r="AA2" s="463"/>
      <c r="AB2" s="463"/>
      <c r="AC2" s="463"/>
      <c r="AD2" s="463"/>
      <c r="AE2" s="463"/>
      <c r="AF2" s="463"/>
      <c r="AG2" s="463"/>
      <c r="AH2" s="463"/>
      <c r="AI2" s="463"/>
      <c r="AJ2" s="463"/>
      <c r="AK2" s="463"/>
      <c r="AL2" s="463"/>
      <c r="AM2" s="463"/>
      <c r="AN2" s="463"/>
      <c r="AO2" s="463"/>
    </row>
    <row r="3" spans="1:41" s="56" customFormat="1" ht="60" customHeight="1" x14ac:dyDescent="0.35">
      <c r="A3" s="413"/>
      <c r="B3" s="414"/>
      <c r="C3" s="415"/>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row>
    <row r="4" spans="1:41" s="56" customFormat="1" ht="60" hidden="1" customHeight="1" x14ac:dyDescent="0.35">
      <c r="A4" s="405" t="s">
        <v>34</v>
      </c>
      <c r="B4" s="8" t="s">
        <v>35</v>
      </c>
      <c r="C4" s="10">
        <v>0.7</v>
      </c>
      <c r="D4" s="10"/>
      <c r="E4" s="10"/>
      <c r="F4" s="9"/>
      <c r="G4" s="405"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row>
    <row r="5" spans="1:41" s="56" customFormat="1" ht="60" hidden="1" customHeight="1" thickBot="1" x14ac:dyDescent="0.4">
      <c r="A5" s="405"/>
      <c r="B5" s="8" t="s">
        <v>37</v>
      </c>
      <c r="C5" s="11">
        <v>0.9</v>
      </c>
      <c r="D5" s="11"/>
      <c r="E5" s="11"/>
      <c r="F5" s="11">
        <v>1</v>
      </c>
      <c r="G5" s="405"/>
      <c r="H5" s="8" t="s">
        <v>37</v>
      </c>
      <c r="I5" s="11">
        <v>0.95</v>
      </c>
      <c r="J5" s="57"/>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row>
    <row r="6" spans="1:41" ht="15" hidden="1" customHeight="1" x14ac:dyDescent="0.35">
      <c r="A6" s="548" t="s">
        <v>38</v>
      </c>
      <c r="B6" s="548"/>
      <c r="C6" s="513" t="s">
        <v>120</v>
      </c>
      <c r="D6" s="513"/>
      <c r="E6" s="549" t="s">
        <v>40</v>
      </c>
      <c r="F6" s="549"/>
      <c r="G6" s="515">
        <f>+W15+W17+W19+W21+W23+W25+W45+W47</f>
        <v>1</v>
      </c>
      <c r="H6" s="549" t="s">
        <v>41</v>
      </c>
      <c r="I6" s="549"/>
      <c r="J6" s="601">
        <f>+W14+W16+W18+W20+W22+W24+W44+W46</f>
        <v>1</v>
      </c>
      <c r="K6" s="554" t="s">
        <v>42</v>
      </c>
      <c r="L6" s="555"/>
      <c r="M6" s="443">
        <v>0.95</v>
      </c>
      <c r="N6" s="548" t="s">
        <v>158</v>
      </c>
      <c r="O6" s="548"/>
      <c r="P6" s="428">
        <f>(SUM(Y14:AE14,Y16:AE16,Y18:AE18,Y20:AE20,Y22:AE22,Y24:AE24,Y44:AE44,Y46:AE46)/SUM(Y15:AE15,Y17:AE17,Y19:AE19,Y21:AE21,Y23:AE23,Y25:AE25,Y45:AE45,Y47:AE47))/M6</f>
        <v>0.78947368421052633</v>
      </c>
      <c r="Q6" s="429"/>
      <c r="R6" s="430"/>
      <c r="S6" s="560" t="s">
        <v>159</v>
      </c>
      <c r="T6" s="561"/>
      <c r="U6" s="428">
        <f>SUM(AJ14:AK14,AJ16:AK16,AJ18:AK18,AJ20:AK20,AJ22:AK22,AJ24:AK24,AJ44:AK44,AJ46:AK46)/SUM(AJ15:AK15,AJ17:AK17,AJ19:AK19,AJ21:AK21,AJ23:AK23,AJ25:AK25,AJ45:AK45,AJ47:AK47)/M6</f>
        <v>1.3157894736842106</v>
      </c>
      <c r="V6" s="429"/>
      <c r="W6" s="429"/>
      <c r="X6" s="643"/>
      <c r="Y6" s="643"/>
      <c r="Z6" s="643"/>
      <c r="AA6" s="643"/>
      <c r="AB6" s="643"/>
      <c r="AC6" s="643"/>
      <c r="AD6" s="643"/>
      <c r="AE6" s="643"/>
      <c r="AF6" s="643"/>
      <c r="AG6" s="643"/>
      <c r="AH6" s="643"/>
      <c r="AI6" s="643"/>
      <c r="AJ6" s="643"/>
      <c r="AK6" s="643"/>
      <c r="AL6" s="643"/>
      <c r="AM6" s="643"/>
      <c r="AN6" s="643"/>
      <c r="AO6" s="643"/>
    </row>
    <row r="7" spans="1:41" ht="15" hidden="1" customHeight="1" x14ac:dyDescent="0.35">
      <c r="A7" s="548"/>
      <c r="B7" s="548"/>
      <c r="C7" s="513"/>
      <c r="D7" s="513"/>
      <c r="E7" s="549"/>
      <c r="F7" s="549"/>
      <c r="G7" s="516"/>
      <c r="H7" s="549"/>
      <c r="I7" s="549"/>
      <c r="J7" s="602"/>
      <c r="K7" s="556"/>
      <c r="L7" s="557"/>
      <c r="M7" s="444"/>
      <c r="N7" s="548"/>
      <c r="O7" s="548"/>
      <c r="P7" s="431"/>
      <c r="Q7" s="432"/>
      <c r="R7" s="433"/>
      <c r="S7" s="563"/>
      <c r="T7" s="564"/>
      <c r="U7" s="431"/>
      <c r="V7" s="432"/>
      <c r="W7" s="432"/>
      <c r="X7" s="643"/>
      <c r="Y7" s="643"/>
      <c r="Z7" s="643"/>
      <c r="AA7" s="643"/>
      <c r="AB7" s="643"/>
      <c r="AC7" s="643"/>
      <c r="AD7" s="643"/>
      <c r="AE7" s="643"/>
      <c r="AF7" s="643"/>
      <c r="AG7" s="643"/>
      <c r="AH7" s="643"/>
      <c r="AI7" s="643"/>
      <c r="AJ7" s="643"/>
      <c r="AK7" s="643"/>
      <c r="AL7" s="643"/>
      <c r="AM7" s="643"/>
      <c r="AN7" s="643"/>
      <c r="AO7" s="643"/>
    </row>
    <row r="8" spans="1:41" ht="15" hidden="1" customHeight="1" x14ac:dyDescent="0.35">
      <c r="A8" s="548"/>
      <c r="B8" s="548"/>
      <c r="C8" s="513"/>
      <c r="D8" s="513"/>
      <c r="E8" s="549"/>
      <c r="F8" s="549"/>
      <c r="G8" s="516"/>
      <c r="H8" s="549"/>
      <c r="I8" s="549"/>
      <c r="J8" s="602"/>
      <c r="K8" s="556"/>
      <c r="L8" s="557"/>
      <c r="M8" s="444"/>
      <c r="N8" s="548"/>
      <c r="O8" s="548"/>
      <c r="P8" s="431"/>
      <c r="Q8" s="432"/>
      <c r="R8" s="433"/>
      <c r="S8" s="563"/>
      <c r="T8" s="564"/>
      <c r="U8" s="431"/>
      <c r="V8" s="432"/>
      <c r="W8" s="432"/>
      <c r="X8" s="643"/>
      <c r="Y8" s="643"/>
      <c r="Z8" s="643"/>
      <c r="AA8" s="643"/>
      <c r="AB8" s="643"/>
      <c r="AC8" s="643"/>
      <c r="AD8" s="643"/>
      <c r="AE8" s="643"/>
      <c r="AF8" s="643"/>
      <c r="AG8" s="643"/>
      <c r="AH8" s="643"/>
      <c r="AI8" s="643"/>
      <c r="AJ8" s="643"/>
      <c r="AK8" s="643"/>
      <c r="AL8" s="643"/>
      <c r="AM8" s="643"/>
      <c r="AN8" s="643"/>
      <c r="AO8" s="643"/>
    </row>
    <row r="9" spans="1:41" ht="15" hidden="1" customHeight="1" x14ac:dyDescent="0.35">
      <c r="A9" s="548"/>
      <c r="B9" s="548"/>
      <c r="C9" s="513"/>
      <c r="D9" s="513"/>
      <c r="E9" s="549"/>
      <c r="F9" s="549"/>
      <c r="G9" s="516"/>
      <c r="H9" s="549"/>
      <c r="I9" s="549"/>
      <c r="J9" s="602"/>
      <c r="K9" s="556"/>
      <c r="L9" s="557"/>
      <c r="M9" s="444"/>
      <c r="N9" s="548"/>
      <c r="O9" s="548"/>
      <c r="P9" s="431"/>
      <c r="Q9" s="432"/>
      <c r="R9" s="433"/>
      <c r="S9" s="563"/>
      <c r="T9" s="564"/>
      <c r="U9" s="431"/>
      <c r="V9" s="432"/>
      <c r="W9" s="432"/>
      <c r="X9" s="643"/>
      <c r="Y9" s="643"/>
      <c r="Z9" s="643"/>
      <c r="AA9" s="643"/>
      <c r="AB9" s="643"/>
      <c r="AC9" s="643"/>
      <c r="AD9" s="643"/>
      <c r="AE9" s="643"/>
      <c r="AF9" s="643"/>
      <c r="AG9" s="643"/>
      <c r="AH9" s="643"/>
      <c r="AI9" s="643"/>
      <c r="AJ9" s="643"/>
      <c r="AK9" s="643"/>
      <c r="AL9" s="643"/>
      <c r="AM9" s="643"/>
      <c r="AN9" s="643"/>
      <c r="AO9" s="643"/>
    </row>
    <row r="10" spans="1:41" ht="15" hidden="1" customHeight="1" thickBot="1" x14ac:dyDescent="0.4">
      <c r="A10" s="548"/>
      <c r="B10" s="548"/>
      <c r="C10" s="513"/>
      <c r="D10" s="513"/>
      <c r="E10" s="549"/>
      <c r="F10" s="549"/>
      <c r="G10" s="550"/>
      <c r="H10" s="549"/>
      <c r="I10" s="549"/>
      <c r="J10" s="603"/>
      <c r="K10" s="558"/>
      <c r="L10" s="559"/>
      <c r="M10" s="445"/>
      <c r="N10" s="548"/>
      <c r="O10" s="548"/>
      <c r="P10" s="434"/>
      <c r="Q10" s="435"/>
      <c r="R10" s="436"/>
      <c r="S10" s="566"/>
      <c r="T10" s="567"/>
      <c r="U10" s="434"/>
      <c r="V10" s="435"/>
      <c r="W10" s="435"/>
      <c r="X10" s="643"/>
      <c r="Y10" s="643"/>
      <c r="Z10" s="643"/>
      <c r="AA10" s="643"/>
      <c r="AB10" s="643"/>
      <c r="AC10" s="643"/>
      <c r="AD10" s="643"/>
      <c r="AE10" s="643"/>
      <c r="AF10" s="643"/>
      <c r="AG10" s="643"/>
      <c r="AH10" s="643"/>
      <c r="AI10" s="643"/>
      <c r="AJ10" s="643"/>
      <c r="AK10" s="643"/>
      <c r="AL10" s="643"/>
      <c r="AM10" s="643"/>
      <c r="AN10" s="643"/>
      <c r="AO10" s="643"/>
    </row>
    <row r="11" spans="1:41" s="12" customFormat="1" ht="40.4" customHeight="1" thickBot="1" x14ac:dyDescent="0.4">
      <c r="A11" s="390" t="s">
        <v>47</v>
      </c>
      <c r="B11" s="390"/>
      <c r="C11" s="390"/>
      <c r="D11" s="390"/>
      <c r="E11" s="390"/>
      <c r="F11" s="391"/>
      <c r="G11" s="636" t="s">
        <v>820</v>
      </c>
      <c r="H11" s="637"/>
      <c r="I11" s="637"/>
      <c r="J11" s="637"/>
      <c r="K11" s="637"/>
      <c r="L11" s="637"/>
      <c r="M11" s="637"/>
      <c r="N11" s="637"/>
      <c r="O11" s="637"/>
      <c r="P11" s="637"/>
      <c r="Q11" s="637"/>
      <c r="R11" s="637"/>
      <c r="S11" s="637"/>
      <c r="T11" s="637"/>
      <c r="U11" s="638"/>
      <c r="V11" s="604" t="s">
        <v>48</v>
      </c>
      <c r="W11" s="605"/>
      <c r="X11" s="605"/>
      <c r="Y11" s="605"/>
      <c r="Z11" s="605"/>
      <c r="AA11" s="605"/>
      <c r="AB11" s="605"/>
      <c r="AC11" s="605"/>
      <c r="AD11" s="605"/>
      <c r="AE11" s="605"/>
      <c r="AF11" s="605"/>
      <c r="AG11" s="605"/>
      <c r="AH11" s="605"/>
      <c r="AI11" s="605"/>
      <c r="AJ11" s="605"/>
      <c r="AK11" s="606"/>
      <c r="AL11" s="604" t="s">
        <v>49</v>
      </c>
      <c r="AM11" s="605"/>
      <c r="AN11" s="605"/>
      <c r="AO11" s="605"/>
    </row>
    <row r="12" spans="1:41" ht="39" customHeight="1" x14ac:dyDescent="0.35">
      <c r="A12" s="395" t="s">
        <v>50</v>
      </c>
      <c r="B12" s="397" t="s">
        <v>51</v>
      </c>
      <c r="C12" s="397" t="s">
        <v>52</v>
      </c>
      <c r="D12" s="397" t="s">
        <v>53</v>
      </c>
      <c r="E12" s="397" t="s">
        <v>54</v>
      </c>
      <c r="F12" s="397" t="s">
        <v>30</v>
      </c>
      <c r="G12" s="397" t="s">
        <v>187</v>
      </c>
      <c r="H12" s="397" t="s">
        <v>188</v>
      </c>
      <c r="I12" s="397" t="s">
        <v>189</v>
      </c>
      <c r="J12" s="397" t="s">
        <v>190</v>
      </c>
      <c r="K12" s="397" t="s">
        <v>191</v>
      </c>
      <c r="L12" s="397" t="s">
        <v>192</v>
      </c>
      <c r="M12" s="397" t="s">
        <v>193</v>
      </c>
      <c r="N12" s="397" t="s">
        <v>194</v>
      </c>
      <c r="O12" s="397" t="s">
        <v>195</v>
      </c>
      <c r="P12" s="397" t="s">
        <v>58</v>
      </c>
      <c r="Q12" s="397" t="s">
        <v>59</v>
      </c>
      <c r="R12" s="397" t="s">
        <v>60</v>
      </c>
      <c r="S12" s="397" t="s">
        <v>61</v>
      </c>
      <c r="T12" s="397" t="s">
        <v>62</v>
      </c>
      <c r="U12" s="397" t="s">
        <v>63</v>
      </c>
      <c r="V12" s="644" t="s">
        <v>64</v>
      </c>
      <c r="W12" s="646" t="s">
        <v>65</v>
      </c>
      <c r="X12" s="648" t="s">
        <v>66</v>
      </c>
      <c r="Y12" s="650" t="s">
        <v>67</v>
      </c>
      <c r="Z12" s="618" t="s">
        <v>68</v>
      </c>
      <c r="AA12" s="616" t="s">
        <v>69</v>
      </c>
      <c r="AB12" s="622" t="s">
        <v>70</v>
      </c>
      <c r="AC12" s="624" t="s">
        <v>71</v>
      </c>
      <c r="AD12" s="622" t="s">
        <v>72</v>
      </c>
      <c r="AE12" s="616" t="s">
        <v>73</v>
      </c>
      <c r="AF12" s="618" t="s">
        <v>74</v>
      </c>
      <c r="AG12" s="620" t="s">
        <v>75</v>
      </c>
      <c r="AH12" s="618" t="s">
        <v>76</v>
      </c>
      <c r="AI12" s="616" t="s">
        <v>77</v>
      </c>
      <c r="AJ12" s="622" t="s">
        <v>78</v>
      </c>
      <c r="AK12" s="613" t="s">
        <v>79</v>
      </c>
      <c r="AL12" s="615" t="s">
        <v>80</v>
      </c>
      <c r="AM12" s="615" t="s">
        <v>81</v>
      </c>
      <c r="AN12" s="615" t="s">
        <v>82</v>
      </c>
      <c r="AO12" s="615" t="s">
        <v>83</v>
      </c>
    </row>
    <row r="13" spans="1:41" ht="60" customHeight="1" thickBot="1" x14ac:dyDescent="0.4">
      <c r="A13" s="396"/>
      <c r="B13" s="396"/>
      <c r="C13" s="396"/>
      <c r="D13" s="396"/>
      <c r="E13" s="396"/>
      <c r="F13" s="396"/>
      <c r="G13" s="396"/>
      <c r="H13" s="396"/>
      <c r="I13" s="396"/>
      <c r="J13" s="396"/>
      <c r="K13" s="396"/>
      <c r="L13" s="396"/>
      <c r="M13" s="396"/>
      <c r="N13" s="396"/>
      <c r="O13" s="396"/>
      <c r="P13" s="396"/>
      <c r="Q13" s="396"/>
      <c r="R13" s="396"/>
      <c r="S13" s="396"/>
      <c r="T13" s="396" t="s">
        <v>196</v>
      </c>
      <c r="U13" s="396" t="s">
        <v>197</v>
      </c>
      <c r="V13" s="645"/>
      <c r="W13" s="647"/>
      <c r="X13" s="649"/>
      <c r="Y13" s="651"/>
      <c r="Z13" s="652"/>
      <c r="AA13" s="653"/>
      <c r="AB13" s="656"/>
      <c r="AC13" s="625"/>
      <c r="AD13" s="623"/>
      <c r="AE13" s="617"/>
      <c r="AF13" s="619"/>
      <c r="AG13" s="621"/>
      <c r="AH13" s="619"/>
      <c r="AI13" s="617"/>
      <c r="AJ13" s="623"/>
      <c r="AK13" s="614"/>
      <c r="AL13" s="615"/>
      <c r="AM13" s="615"/>
      <c r="AN13" s="615"/>
      <c r="AO13" s="615"/>
    </row>
    <row r="14" spans="1:41" ht="40.4" customHeight="1" thickBot="1" x14ac:dyDescent="0.4">
      <c r="A14" s="384">
        <v>1</v>
      </c>
      <c r="B14" s="384" t="s">
        <v>510</v>
      </c>
      <c r="C14" s="384" t="s">
        <v>826</v>
      </c>
      <c r="D14" s="384" t="s">
        <v>118</v>
      </c>
      <c r="E14" s="384" t="s">
        <v>119</v>
      </c>
      <c r="F14" s="382" t="s">
        <v>86</v>
      </c>
      <c r="G14" s="639" t="s">
        <v>198</v>
      </c>
      <c r="H14" s="657" t="s">
        <v>199</v>
      </c>
      <c r="I14" s="639" t="s">
        <v>200</v>
      </c>
      <c r="J14" s="639" t="s">
        <v>201</v>
      </c>
      <c r="K14" s="639" t="s">
        <v>201</v>
      </c>
      <c r="L14" s="639" t="s">
        <v>202</v>
      </c>
      <c r="M14" s="639" t="s">
        <v>621</v>
      </c>
      <c r="N14" s="639" t="s">
        <v>622</v>
      </c>
      <c r="O14" s="639" t="s">
        <v>621</v>
      </c>
      <c r="P14" s="639" t="s">
        <v>162</v>
      </c>
      <c r="Q14" s="654" t="s">
        <v>163</v>
      </c>
      <c r="R14" s="654" t="s">
        <v>164</v>
      </c>
      <c r="S14" s="654" t="s">
        <v>125</v>
      </c>
      <c r="T14" s="654" t="s">
        <v>623</v>
      </c>
      <c r="U14" s="654" t="s">
        <v>165</v>
      </c>
      <c r="V14" s="60" t="s">
        <v>91</v>
      </c>
      <c r="W14" s="53">
        <f>+(W15*X14)</f>
        <v>0.125</v>
      </c>
      <c r="X14" s="66">
        <f>SUM(Y14:AK14)</f>
        <v>1</v>
      </c>
      <c r="Y14" s="43"/>
      <c r="Z14" s="43"/>
      <c r="AA14" s="43"/>
      <c r="AB14" s="43"/>
      <c r="AC14" s="43"/>
      <c r="AD14" s="43">
        <f>75%/X15*AD15</f>
        <v>0.375</v>
      </c>
      <c r="AE14" s="43"/>
      <c r="AF14" s="43"/>
      <c r="AG14" s="44"/>
      <c r="AH14" s="44"/>
      <c r="AI14" s="44"/>
      <c r="AJ14" s="44">
        <v>0.625</v>
      </c>
      <c r="AK14" s="44"/>
      <c r="AL14" s="641" t="s">
        <v>89</v>
      </c>
      <c r="AM14" s="539" t="s">
        <v>203</v>
      </c>
      <c r="AN14" s="641" t="s">
        <v>89</v>
      </c>
      <c r="AO14" s="628" t="s">
        <v>204</v>
      </c>
    </row>
    <row r="15" spans="1:41" ht="62.9" customHeight="1" thickBot="1" x14ac:dyDescent="0.4">
      <c r="A15" s="385"/>
      <c r="B15" s="385"/>
      <c r="C15" s="385"/>
      <c r="D15" s="385"/>
      <c r="E15" s="385"/>
      <c r="F15" s="399"/>
      <c r="G15" s="640"/>
      <c r="H15" s="658"/>
      <c r="I15" s="640"/>
      <c r="J15" s="640"/>
      <c r="K15" s="640"/>
      <c r="L15" s="640"/>
      <c r="M15" s="640"/>
      <c r="N15" s="640"/>
      <c r="O15" s="640"/>
      <c r="P15" s="640"/>
      <c r="Q15" s="655"/>
      <c r="R15" s="655"/>
      <c r="S15" s="655"/>
      <c r="T15" s="655"/>
      <c r="U15" s="655"/>
      <c r="V15" s="60" t="s">
        <v>96</v>
      </c>
      <c r="W15" s="52">
        <f>100%/8</f>
        <v>0.125</v>
      </c>
      <c r="X15" s="66">
        <f t="shared" ref="X15:X25" si="0">SUM(Y15:AK15)</f>
        <v>1</v>
      </c>
      <c r="Y15" s="42"/>
      <c r="Z15" s="42"/>
      <c r="AA15" s="42"/>
      <c r="AB15" s="42"/>
      <c r="AC15" s="42"/>
      <c r="AD15" s="42">
        <v>0.5</v>
      </c>
      <c r="AE15" s="42"/>
      <c r="AF15" s="42"/>
      <c r="AG15" s="42"/>
      <c r="AH15" s="42"/>
      <c r="AI15" s="42"/>
      <c r="AJ15" s="42">
        <v>0.5</v>
      </c>
      <c r="AK15" s="42"/>
      <c r="AL15" s="642"/>
      <c r="AM15" s="540"/>
      <c r="AN15" s="642"/>
      <c r="AO15" s="629"/>
    </row>
    <row r="16" spans="1:41" ht="37.4" customHeight="1" thickBot="1" x14ac:dyDescent="0.4">
      <c r="A16" s="384">
        <v>2</v>
      </c>
      <c r="B16" s="384" t="s">
        <v>510</v>
      </c>
      <c r="C16" s="384" t="s">
        <v>827</v>
      </c>
      <c r="D16" s="384" t="s">
        <v>118</v>
      </c>
      <c r="E16" s="384" t="s">
        <v>119</v>
      </c>
      <c r="F16" s="382" t="s">
        <v>86</v>
      </c>
      <c r="G16" s="639" t="s">
        <v>198</v>
      </c>
      <c r="H16" s="657" t="s">
        <v>210</v>
      </c>
      <c r="I16" s="639" t="s">
        <v>211</v>
      </c>
      <c r="J16" s="639" t="s">
        <v>201</v>
      </c>
      <c r="K16" s="639" t="s">
        <v>201</v>
      </c>
      <c r="L16" s="639" t="s">
        <v>202</v>
      </c>
      <c r="M16" s="639" t="s">
        <v>621</v>
      </c>
      <c r="N16" s="639" t="s">
        <v>622</v>
      </c>
      <c r="O16" s="639" t="s">
        <v>621</v>
      </c>
      <c r="P16" s="639" t="s">
        <v>162</v>
      </c>
      <c r="Q16" s="654" t="s">
        <v>163</v>
      </c>
      <c r="R16" s="654" t="s">
        <v>164</v>
      </c>
      <c r="S16" s="654" t="s">
        <v>125</v>
      </c>
      <c r="T16" s="654" t="s">
        <v>623</v>
      </c>
      <c r="U16" s="654" t="s">
        <v>165</v>
      </c>
      <c r="V16" s="60" t="s">
        <v>91</v>
      </c>
      <c r="W16" s="53">
        <f>+(W17*X16)</f>
        <v>0.125</v>
      </c>
      <c r="X16" s="66">
        <f t="shared" ref="X16:X21" si="1">SUM(Y16:AK16)</f>
        <v>1</v>
      </c>
      <c r="Y16" s="43"/>
      <c r="Z16" s="43"/>
      <c r="AA16" s="43"/>
      <c r="AB16" s="43"/>
      <c r="AC16" s="43"/>
      <c r="AD16" s="43">
        <f>75%/X17*AD17</f>
        <v>0.375</v>
      </c>
      <c r="AE16" s="43"/>
      <c r="AF16" s="43"/>
      <c r="AG16" s="44"/>
      <c r="AH16" s="44"/>
      <c r="AI16" s="44"/>
      <c r="AJ16" s="44">
        <v>0.625</v>
      </c>
      <c r="AK16" s="44"/>
      <c r="AL16" s="641" t="s">
        <v>89</v>
      </c>
      <c r="AM16" s="659" t="s">
        <v>208</v>
      </c>
      <c r="AN16" s="641" t="s">
        <v>89</v>
      </c>
      <c r="AO16" s="628" t="s">
        <v>209</v>
      </c>
    </row>
    <row r="17" spans="1:41" ht="61.4" customHeight="1" thickBot="1" x14ac:dyDescent="0.4">
      <c r="A17" s="385"/>
      <c r="B17" s="385"/>
      <c r="C17" s="385"/>
      <c r="D17" s="385"/>
      <c r="E17" s="385"/>
      <c r="F17" s="383"/>
      <c r="G17" s="640"/>
      <c r="H17" s="658"/>
      <c r="I17" s="640"/>
      <c r="J17" s="640"/>
      <c r="K17" s="640"/>
      <c r="L17" s="640"/>
      <c r="M17" s="640"/>
      <c r="N17" s="640"/>
      <c r="O17" s="640"/>
      <c r="P17" s="640"/>
      <c r="Q17" s="655"/>
      <c r="R17" s="655"/>
      <c r="S17" s="655"/>
      <c r="T17" s="655"/>
      <c r="U17" s="655"/>
      <c r="V17" s="60" t="s">
        <v>96</v>
      </c>
      <c r="W17" s="52">
        <f>100%/8</f>
        <v>0.125</v>
      </c>
      <c r="X17" s="66">
        <f t="shared" si="1"/>
        <v>1</v>
      </c>
      <c r="Y17" s="42"/>
      <c r="Z17" s="42"/>
      <c r="AA17" s="42"/>
      <c r="AB17" s="42"/>
      <c r="AC17" s="42"/>
      <c r="AD17" s="42">
        <v>0.5</v>
      </c>
      <c r="AE17" s="42"/>
      <c r="AF17" s="42"/>
      <c r="AG17" s="42"/>
      <c r="AH17" s="42"/>
      <c r="AI17" s="42"/>
      <c r="AJ17" s="42">
        <v>0.5</v>
      </c>
      <c r="AK17" s="42"/>
      <c r="AL17" s="642"/>
      <c r="AM17" s="539"/>
      <c r="AN17" s="642"/>
      <c r="AO17" s="629"/>
    </row>
    <row r="18" spans="1:41" ht="37.4" customHeight="1" thickBot="1" x14ac:dyDescent="0.4">
      <c r="A18" s="384">
        <v>3</v>
      </c>
      <c r="B18" s="384" t="s">
        <v>510</v>
      </c>
      <c r="C18" s="384" t="s">
        <v>825</v>
      </c>
      <c r="D18" s="384" t="s">
        <v>118</v>
      </c>
      <c r="E18" s="384" t="s">
        <v>119</v>
      </c>
      <c r="F18" s="382" t="s">
        <v>86</v>
      </c>
      <c r="G18" s="639" t="s">
        <v>198</v>
      </c>
      <c r="H18" s="657" t="s">
        <v>206</v>
      </c>
      <c r="I18" s="639" t="s">
        <v>207</v>
      </c>
      <c r="J18" s="639" t="s">
        <v>201</v>
      </c>
      <c r="K18" s="639" t="s">
        <v>201</v>
      </c>
      <c r="L18" s="639" t="s">
        <v>202</v>
      </c>
      <c r="M18" s="639" t="s">
        <v>621</v>
      </c>
      <c r="N18" s="639" t="s">
        <v>622</v>
      </c>
      <c r="O18" s="639" t="s">
        <v>621</v>
      </c>
      <c r="P18" s="639" t="s">
        <v>162</v>
      </c>
      <c r="Q18" s="654" t="s">
        <v>163</v>
      </c>
      <c r="R18" s="654" t="s">
        <v>164</v>
      </c>
      <c r="S18" s="654" t="s">
        <v>125</v>
      </c>
      <c r="T18" s="654" t="s">
        <v>623</v>
      </c>
      <c r="U18" s="654" t="s">
        <v>165</v>
      </c>
      <c r="V18" s="60" t="s">
        <v>91</v>
      </c>
      <c r="W18" s="53">
        <f>+(W19*X18)</f>
        <v>0.125</v>
      </c>
      <c r="X18" s="66">
        <f t="shared" si="1"/>
        <v>1</v>
      </c>
      <c r="Y18" s="43"/>
      <c r="Z18" s="43"/>
      <c r="AA18" s="43"/>
      <c r="AB18" s="43"/>
      <c r="AC18" s="43"/>
      <c r="AD18" s="43">
        <f>75%/X19*AD19</f>
        <v>0.375</v>
      </c>
      <c r="AE18" s="43"/>
      <c r="AF18" s="43"/>
      <c r="AG18" s="44"/>
      <c r="AH18" s="44"/>
      <c r="AI18" s="44"/>
      <c r="AJ18" s="44">
        <v>0.625</v>
      </c>
      <c r="AK18" s="44"/>
      <c r="AL18" s="641" t="s">
        <v>89</v>
      </c>
      <c r="AM18" s="659" t="s">
        <v>212</v>
      </c>
      <c r="AN18" s="641" t="s">
        <v>89</v>
      </c>
      <c r="AO18" s="628" t="s">
        <v>213</v>
      </c>
    </row>
    <row r="19" spans="1:41" ht="47.15" customHeight="1" thickBot="1" x14ac:dyDescent="0.4">
      <c r="A19" s="385"/>
      <c r="B19" s="385"/>
      <c r="C19" s="385"/>
      <c r="D19" s="385"/>
      <c r="E19" s="385"/>
      <c r="F19" s="383"/>
      <c r="G19" s="640"/>
      <c r="H19" s="658"/>
      <c r="I19" s="640"/>
      <c r="J19" s="640"/>
      <c r="K19" s="640"/>
      <c r="L19" s="640"/>
      <c r="M19" s="640"/>
      <c r="N19" s="640"/>
      <c r="O19" s="640"/>
      <c r="P19" s="640"/>
      <c r="Q19" s="655"/>
      <c r="R19" s="655"/>
      <c r="S19" s="655"/>
      <c r="T19" s="655"/>
      <c r="U19" s="655"/>
      <c r="V19" s="60" t="s">
        <v>96</v>
      </c>
      <c r="W19" s="52">
        <f>100%/8</f>
        <v>0.125</v>
      </c>
      <c r="X19" s="66">
        <f t="shared" si="1"/>
        <v>1</v>
      </c>
      <c r="Y19" s="42"/>
      <c r="Z19" s="42"/>
      <c r="AA19" s="42"/>
      <c r="AB19" s="42"/>
      <c r="AC19" s="42"/>
      <c r="AD19" s="42">
        <v>0.5</v>
      </c>
      <c r="AE19" s="42"/>
      <c r="AF19" s="42"/>
      <c r="AG19" s="42"/>
      <c r="AH19" s="42"/>
      <c r="AI19" s="42"/>
      <c r="AJ19" s="42">
        <v>0.5</v>
      </c>
      <c r="AK19" s="42"/>
      <c r="AL19" s="642"/>
      <c r="AM19" s="539"/>
      <c r="AN19" s="642"/>
      <c r="AO19" s="629"/>
    </row>
    <row r="20" spans="1:41" ht="44.15" customHeight="1" thickBot="1" x14ac:dyDescent="0.4">
      <c r="A20" s="384">
        <v>4</v>
      </c>
      <c r="B20" s="384" t="s">
        <v>510</v>
      </c>
      <c r="C20" s="384" t="s">
        <v>829</v>
      </c>
      <c r="D20" s="384" t="s">
        <v>118</v>
      </c>
      <c r="E20" s="384" t="s">
        <v>119</v>
      </c>
      <c r="F20" s="382" t="s">
        <v>86</v>
      </c>
      <c r="G20" s="639" t="s">
        <v>198</v>
      </c>
      <c r="H20" s="657" t="s">
        <v>221</v>
      </c>
      <c r="I20" s="639" t="s">
        <v>222</v>
      </c>
      <c r="J20" s="639" t="s">
        <v>201</v>
      </c>
      <c r="K20" s="639" t="s">
        <v>201</v>
      </c>
      <c r="L20" s="639" t="s">
        <v>202</v>
      </c>
      <c r="M20" s="639" t="s">
        <v>621</v>
      </c>
      <c r="N20" s="639" t="s">
        <v>622</v>
      </c>
      <c r="O20" s="639" t="s">
        <v>621</v>
      </c>
      <c r="P20" s="639" t="s">
        <v>162</v>
      </c>
      <c r="Q20" s="654" t="s">
        <v>163</v>
      </c>
      <c r="R20" s="654" t="s">
        <v>164</v>
      </c>
      <c r="S20" s="654" t="s">
        <v>125</v>
      </c>
      <c r="T20" s="654" t="s">
        <v>623</v>
      </c>
      <c r="U20" s="654" t="s">
        <v>165</v>
      </c>
      <c r="V20" s="60" t="s">
        <v>91</v>
      </c>
      <c r="W20" s="53">
        <f>+(W21*X20)</f>
        <v>0.125</v>
      </c>
      <c r="X20" s="66">
        <f t="shared" si="1"/>
        <v>1</v>
      </c>
      <c r="Y20" s="43"/>
      <c r="Z20" s="43"/>
      <c r="AA20" s="43"/>
      <c r="AB20" s="43"/>
      <c r="AC20" s="43"/>
      <c r="AD20" s="43">
        <f>75%/X21*AD21</f>
        <v>0.375</v>
      </c>
      <c r="AE20" s="43"/>
      <c r="AF20" s="43"/>
      <c r="AG20" s="44"/>
      <c r="AH20" s="44"/>
      <c r="AI20" s="44"/>
      <c r="AJ20" s="44">
        <v>0.625</v>
      </c>
      <c r="AK20" s="44"/>
      <c r="AL20" s="641" t="s">
        <v>89</v>
      </c>
      <c r="AM20" s="539" t="s">
        <v>219</v>
      </c>
      <c r="AN20" s="641" t="s">
        <v>89</v>
      </c>
      <c r="AO20" s="628" t="s">
        <v>220</v>
      </c>
    </row>
    <row r="21" spans="1:41" ht="95.15" customHeight="1" thickBot="1" x14ac:dyDescent="0.4">
      <c r="A21" s="385"/>
      <c r="B21" s="385"/>
      <c r="C21" s="385"/>
      <c r="D21" s="385"/>
      <c r="E21" s="385"/>
      <c r="F21" s="383"/>
      <c r="G21" s="640"/>
      <c r="H21" s="658"/>
      <c r="I21" s="640"/>
      <c r="J21" s="640"/>
      <c r="K21" s="640"/>
      <c r="L21" s="640"/>
      <c r="M21" s="640"/>
      <c r="N21" s="640"/>
      <c r="O21" s="640"/>
      <c r="P21" s="640"/>
      <c r="Q21" s="655"/>
      <c r="R21" s="655"/>
      <c r="S21" s="655"/>
      <c r="T21" s="655"/>
      <c r="U21" s="655"/>
      <c r="V21" s="60" t="s">
        <v>96</v>
      </c>
      <c r="W21" s="52">
        <f>100%/8</f>
        <v>0.125</v>
      </c>
      <c r="X21" s="66">
        <f t="shared" si="1"/>
        <v>1</v>
      </c>
      <c r="Y21" s="42"/>
      <c r="Z21" s="42"/>
      <c r="AA21" s="42"/>
      <c r="AB21" s="42"/>
      <c r="AC21" s="42"/>
      <c r="AD21" s="42">
        <v>0.5</v>
      </c>
      <c r="AE21" s="42"/>
      <c r="AF21" s="42"/>
      <c r="AG21" s="42"/>
      <c r="AH21" s="42"/>
      <c r="AI21" s="42"/>
      <c r="AJ21" s="42">
        <v>0.5</v>
      </c>
      <c r="AK21" s="42"/>
      <c r="AL21" s="642"/>
      <c r="AM21" s="540"/>
      <c r="AN21" s="642"/>
      <c r="AO21" s="629"/>
    </row>
    <row r="22" spans="1:41" ht="37.4" customHeight="1" thickBot="1" x14ac:dyDescent="0.4">
      <c r="A22" s="384">
        <v>5</v>
      </c>
      <c r="B22" s="384" t="s">
        <v>510</v>
      </c>
      <c r="C22" s="384" t="s">
        <v>830</v>
      </c>
      <c r="D22" s="384" t="s">
        <v>118</v>
      </c>
      <c r="E22" s="384" t="s">
        <v>119</v>
      </c>
      <c r="F22" s="382" t="s">
        <v>86</v>
      </c>
      <c r="G22" s="639" t="s">
        <v>198</v>
      </c>
      <c r="H22" s="657" t="s">
        <v>1935</v>
      </c>
      <c r="I22" s="639" t="s">
        <v>229</v>
      </c>
      <c r="J22" s="639" t="s">
        <v>230</v>
      </c>
      <c r="K22" s="639" t="s">
        <v>201</v>
      </c>
      <c r="L22" s="639" t="s">
        <v>202</v>
      </c>
      <c r="M22" s="639" t="s">
        <v>621</v>
      </c>
      <c r="N22" s="639" t="s">
        <v>622</v>
      </c>
      <c r="O22" s="639" t="s">
        <v>621</v>
      </c>
      <c r="P22" s="639" t="s">
        <v>162</v>
      </c>
      <c r="Q22" s="654" t="s">
        <v>231</v>
      </c>
      <c r="R22" s="654" t="s">
        <v>164</v>
      </c>
      <c r="S22" s="654" t="s">
        <v>125</v>
      </c>
      <c r="T22" s="654" t="s">
        <v>623</v>
      </c>
      <c r="U22" s="654" t="s">
        <v>165</v>
      </c>
      <c r="V22" s="60" t="s">
        <v>91</v>
      </c>
      <c r="W22" s="53">
        <f>+(W23*X22)</f>
        <v>0.125</v>
      </c>
      <c r="X22" s="66">
        <f t="shared" si="0"/>
        <v>1</v>
      </c>
      <c r="Y22" s="45"/>
      <c r="Z22" s="45"/>
      <c r="AA22" s="45"/>
      <c r="AB22" s="43"/>
      <c r="AC22" s="43"/>
      <c r="AD22" s="43">
        <f>75%/X23*AD23</f>
        <v>0.375</v>
      </c>
      <c r="AE22" s="43"/>
      <c r="AF22" s="43"/>
      <c r="AG22" s="44"/>
      <c r="AH22" s="44"/>
      <c r="AI22" s="44"/>
      <c r="AJ22" s="44">
        <v>0.625</v>
      </c>
      <c r="AK22" s="44"/>
      <c r="AL22" s="641" t="s">
        <v>89</v>
      </c>
      <c r="AM22" s="539" t="s">
        <v>223</v>
      </c>
      <c r="AN22" s="641" t="s">
        <v>89</v>
      </c>
      <c r="AO22" s="628" t="s">
        <v>224</v>
      </c>
    </row>
    <row r="23" spans="1:41" ht="37.4" customHeight="1" thickBot="1" x14ac:dyDescent="0.4">
      <c r="A23" s="385"/>
      <c r="B23" s="385"/>
      <c r="C23" s="385"/>
      <c r="D23" s="385"/>
      <c r="E23" s="385"/>
      <c r="F23" s="383"/>
      <c r="G23" s="640"/>
      <c r="H23" s="658"/>
      <c r="I23" s="640"/>
      <c r="J23" s="640"/>
      <c r="K23" s="640"/>
      <c r="L23" s="640"/>
      <c r="M23" s="640"/>
      <c r="N23" s="640"/>
      <c r="O23" s="640"/>
      <c r="P23" s="640"/>
      <c r="Q23" s="655"/>
      <c r="R23" s="655"/>
      <c r="S23" s="655"/>
      <c r="T23" s="655"/>
      <c r="U23" s="655"/>
      <c r="V23" s="60" t="s">
        <v>96</v>
      </c>
      <c r="W23" s="52">
        <f>100%/8</f>
        <v>0.125</v>
      </c>
      <c r="X23" s="66">
        <v>1</v>
      </c>
      <c r="Y23" s="42"/>
      <c r="Z23" s="42"/>
      <c r="AA23" s="42"/>
      <c r="AB23" s="42"/>
      <c r="AC23" s="42"/>
      <c r="AD23" s="42">
        <v>0.5</v>
      </c>
      <c r="AE23" s="42"/>
      <c r="AF23" s="42"/>
      <c r="AG23" s="42"/>
      <c r="AH23" s="42"/>
      <c r="AI23" s="42"/>
      <c r="AJ23" s="42">
        <v>0.5</v>
      </c>
      <c r="AK23" s="42"/>
      <c r="AL23" s="642"/>
      <c r="AM23" s="540"/>
      <c r="AN23" s="642"/>
      <c r="AO23" s="629"/>
    </row>
    <row r="24" spans="1:41" ht="37.4" customHeight="1" thickBot="1" x14ac:dyDescent="0.4">
      <c r="A24" s="384">
        <v>6</v>
      </c>
      <c r="B24" s="384" t="s">
        <v>510</v>
      </c>
      <c r="C24" s="384" t="s">
        <v>825</v>
      </c>
      <c r="D24" s="384" t="s">
        <v>118</v>
      </c>
      <c r="E24" s="384" t="s">
        <v>119</v>
      </c>
      <c r="F24" s="382" t="s">
        <v>86</v>
      </c>
      <c r="G24" s="639" t="s">
        <v>214</v>
      </c>
      <c r="H24" s="657" t="s">
        <v>1936</v>
      </c>
      <c r="I24" s="639" t="s">
        <v>215</v>
      </c>
      <c r="J24" s="639" t="s">
        <v>201</v>
      </c>
      <c r="K24" s="639" t="s">
        <v>201</v>
      </c>
      <c r="L24" s="639" t="s">
        <v>216</v>
      </c>
      <c r="M24" s="639" t="s">
        <v>217</v>
      </c>
      <c r="N24" s="639" t="s">
        <v>622</v>
      </c>
      <c r="O24" s="639" t="s">
        <v>217</v>
      </c>
      <c r="P24" s="639" t="s">
        <v>162</v>
      </c>
      <c r="Q24" s="654" t="s">
        <v>218</v>
      </c>
      <c r="R24" s="654" t="s">
        <v>164</v>
      </c>
      <c r="S24" s="654" t="s">
        <v>125</v>
      </c>
      <c r="T24" s="654" t="s">
        <v>623</v>
      </c>
      <c r="U24" s="654" t="s">
        <v>165</v>
      </c>
      <c r="V24" s="60" t="s">
        <v>91</v>
      </c>
      <c r="W24" s="53">
        <f>+(W25*X24)</f>
        <v>0.125</v>
      </c>
      <c r="X24" s="66">
        <f t="shared" si="0"/>
        <v>1</v>
      </c>
      <c r="Y24" s="59"/>
      <c r="Z24" s="59"/>
      <c r="AA24" s="59"/>
      <c r="AB24" s="43"/>
      <c r="AC24" s="43"/>
      <c r="AD24" s="43">
        <f>75%/X25*AD25</f>
        <v>0.375</v>
      </c>
      <c r="AE24" s="43"/>
      <c r="AF24" s="43"/>
      <c r="AG24" s="44"/>
      <c r="AH24" s="44"/>
      <c r="AI24" s="44"/>
      <c r="AJ24" s="44">
        <v>0.625</v>
      </c>
      <c r="AK24" s="44"/>
      <c r="AL24" s="641" t="s">
        <v>89</v>
      </c>
      <c r="AM24" s="660" t="s">
        <v>225</v>
      </c>
      <c r="AN24" s="641" t="s">
        <v>89</v>
      </c>
      <c r="AO24" s="628" t="s">
        <v>226</v>
      </c>
    </row>
    <row r="25" spans="1:41" ht="56.15" customHeight="1" thickBot="1" x14ac:dyDescent="0.4">
      <c r="A25" s="385"/>
      <c r="B25" s="385"/>
      <c r="C25" s="385"/>
      <c r="D25" s="385"/>
      <c r="E25" s="385"/>
      <c r="F25" s="383"/>
      <c r="G25" s="640"/>
      <c r="H25" s="658"/>
      <c r="I25" s="640"/>
      <c r="J25" s="640"/>
      <c r="K25" s="640"/>
      <c r="L25" s="640"/>
      <c r="M25" s="640"/>
      <c r="N25" s="640"/>
      <c r="O25" s="640"/>
      <c r="P25" s="640"/>
      <c r="Q25" s="655"/>
      <c r="R25" s="655"/>
      <c r="S25" s="655"/>
      <c r="T25" s="655"/>
      <c r="U25" s="655"/>
      <c r="V25" s="60" t="s">
        <v>96</v>
      </c>
      <c r="W25" s="52">
        <f>100%/8</f>
        <v>0.125</v>
      </c>
      <c r="X25" s="66">
        <f t="shared" si="0"/>
        <v>1</v>
      </c>
      <c r="Y25" s="42"/>
      <c r="Z25" s="42"/>
      <c r="AA25" s="42"/>
      <c r="AB25" s="42"/>
      <c r="AC25" s="42"/>
      <c r="AD25" s="42">
        <v>0.5</v>
      </c>
      <c r="AE25" s="42"/>
      <c r="AF25" s="42"/>
      <c r="AG25" s="42"/>
      <c r="AH25" s="42"/>
      <c r="AI25" s="42"/>
      <c r="AJ25" s="42">
        <v>0.5</v>
      </c>
      <c r="AK25" s="42"/>
      <c r="AL25" s="642"/>
      <c r="AM25" s="661"/>
      <c r="AN25" s="642"/>
      <c r="AO25" s="629"/>
    </row>
    <row r="26" spans="1:41" ht="37" customHeight="1" thickBot="1" x14ac:dyDescent="0.4">
      <c r="A26" s="384">
        <v>7</v>
      </c>
      <c r="B26" s="384" t="s">
        <v>510</v>
      </c>
      <c r="C26" s="384" t="s">
        <v>828</v>
      </c>
      <c r="D26" s="384" t="s">
        <v>118</v>
      </c>
      <c r="E26" s="384" t="s">
        <v>119</v>
      </c>
      <c r="F26" s="404" t="s">
        <v>86</v>
      </c>
      <c r="G26" s="639" t="s">
        <v>214</v>
      </c>
      <c r="H26" s="657" t="s">
        <v>1937</v>
      </c>
      <c r="I26" s="639" t="s">
        <v>215</v>
      </c>
      <c r="J26" s="639" t="s">
        <v>201</v>
      </c>
      <c r="K26" s="639" t="s">
        <v>201</v>
      </c>
      <c r="L26" s="639" t="s">
        <v>216</v>
      </c>
      <c r="M26" s="639" t="s">
        <v>217</v>
      </c>
      <c r="N26" s="639" t="s">
        <v>622</v>
      </c>
      <c r="O26" s="639" t="s">
        <v>217</v>
      </c>
      <c r="P26" s="639" t="s">
        <v>162</v>
      </c>
      <c r="Q26" s="654" t="s">
        <v>218</v>
      </c>
      <c r="R26" s="654" t="s">
        <v>164</v>
      </c>
      <c r="S26" s="654" t="s">
        <v>125</v>
      </c>
      <c r="T26" s="654" t="s">
        <v>623</v>
      </c>
      <c r="U26" s="654" t="s">
        <v>165</v>
      </c>
      <c r="V26" s="60" t="s">
        <v>91</v>
      </c>
      <c r="W26" s="53">
        <f>+(W27*X26)</f>
        <v>0.125</v>
      </c>
      <c r="X26" s="66">
        <f t="shared" ref="X26:X47" si="2">SUM(Y26:AK26)</f>
        <v>1</v>
      </c>
      <c r="Y26" s="45"/>
      <c r="Z26" s="45"/>
      <c r="AA26" s="45"/>
      <c r="AB26" s="45"/>
      <c r="AC26" s="45"/>
      <c r="AD26" s="145">
        <f>75%/X27*AD27</f>
        <v>0.375</v>
      </c>
      <c r="AE26" s="45"/>
      <c r="AF26" s="45"/>
      <c r="AG26" s="45"/>
      <c r="AH26" s="45"/>
      <c r="AI26" s="45"/>
      <c r="AJ26" s="44">
        <v>0.625</v>
      </c>
      <c r="AK26" s="45"/>
      <c r="AL26" s="641" t="s">
        <v>89</v>
      </c>
      <c r="AM26" s="539" t="s">
        <v>227</v>
      </c>
      <c r="AN26" s="539" t="s">
        <v>227</v>
      </c>
      <c r="AO26" s="539" t="s">
        <v>228</v>
      </c>
    </row>
    <row r="27" spans="1:41" ht="37.4" customHeight="1" thickBot="1" x14ac:dyDescent="0.4">
      <c r="A27" s="385"/>
      <c r="B27" s="385"/>
      <c r="C27" s="385"/>
      <c r="D27" s="385"/>
      <c r="E27" s="385"/>
      <c r="F27" s="404"/>
      <c r="G27" s="640"/>
      <c r="H27" s="658"/>
      <c r="I27" s="640"/>
      <c r="J27" s="640"/>
      <c r="K27" s="640"/>
      <c r="L27" s="640"/>
      <c r="M27" s="640"/>
      <c r="N27" s="640"/>
      <c r="O27" s="640"/>
      <c r="P27" s="640"/>
      <c r="Q27" s="655"/>
      <c r="R27" s="655"/>
      <c r="S27" s="655"/>
      <c r="T27" s="655"/>
      <c r="U27" s="655"/>
      <c r="V27" s="60" t="s">
        <v>96</v>
      </c>
      <c r="W27" s="52">
        <f>100%/8</f>
        <v>0.125</v>
      </c>
      <c r="X27" s="66">
        <f t="shared" si="2"/>
        <v>1</v>
      </c>
      <c r="Y27" s="42"/>
      <c r="Z27" s="42"/>
      <c r="AA27" s="42"/>
      <c r="AB27" s="42"/>
      <c r="AC27" s="42"/>
      <c r="AD27" s="42">
        <v>0.5</v>
      </c>
      <c r="AE27" s="42"/>
      <c r="AF27" s="42"/>
      <c r="AG27" s="42"/>
      <c r="AH27" s="42"/>
      <c r="AI27" s="42"/>
      <c r="AJ27" s="42">
        <v>0.5</v>
      </c>
      <c r="AK27" s="42"/>
      <c r="AL27" s="642"/>
      <c r="AM27" s="540"/>
      <c r="AN27" s="540"/>
      <c r="AO27" s="540"/>
    </row>
    <row r="28" spans="1:41" ht="37" customHeight="1" thickBot="1" x14ac:dyDescent="0.4">
      <c r="A28" s="384">
        <v>8</v>
      </c>
      <c r="B28" s="384" t="s">
        <v>510</v>
      </c>
      <c r="C28" s="384" t="s">
        <v>830</v>
      </c>
      <c r="D28" s="384" t="s">
        <v>118</v>
      </c>
      <c r="E28" s="384" t="s">
        <v>119</v>
      </c>
      <c r="F28" s="404" t="s">
        <v>86</v>
      </c>
      <c r="G28" s="639" t="s">
        <v>214</v>
      </c>
      <c r="H28" s="657" t="s">
        <v>1938</v>
      </c>
      <c r="I28" s="639" t="s">
        <v>215</v>
      </c>
      <c r="J28" s="639" t="s">
        <v>201</v>
      </c>
      <c r="K28" s="639" t="s">
        <v>201</v>
      </c>
      <c r="L28" s="639" t="s">
        <v>216</v>
      </c>
      <c r="M28" s="639" t="s">
        <v>217</v>
      </c>
      <c r="N28" s="639" t="s">
        <v>622</v>
      </c>
      <c r="O28" s="639" t="s">
        <v>217</v>
      </c>
      <c r="P28" s="639" t="s">
        <v>162</v>
      </c>
      <c r="Q28" s="654" t="s">
        <v>218</v>
      </c>
      <c r="R28" s="654" t="s">
        <v>164</v>
      </c>
      <c r="S28" s="654" t="s">
        <v>125</v>
      </c>
      <c r="T28" s="654" t="s">
        <v>623</v>
      </c>
      <c r="U28" s="654" t="s">
        <v>165</v>
      </c>
      <c r="V28" s="60" t="s">
        <v>91</v>
      </c>
      <c r="W28" s="53">
        <f>+(W29*X28)</f>
        <v>0.125</v>
      </c>
      <c r="X28" s="66">
        <f t="shared" si="2"/>
        <v>1</v>
      </c>
      <c r="Y28" s="45"/>
      <c r="Z28" s="45"/>
      <c r="AA28" s="45"/>
      <c r="AB28" s="45"/>
      <c r="AC28" s="45"/>
      <c r="AD28" s="145">
        <f>75%/X29*AD29</f>
        <v>0.375</v>
      </c>
      <c r="AE28" s="45"/>
      <c r="AF28" s="45"/>
      <c r="AG28" s="45"/>
      <c r="AH28" s="45"/>
      <c r="AI28" s="45"/>
      <c r="AJ28" s="44">
        <v>0.625</v>
      </c>
      <c r="AK28" s="45"/>
      <c r="AL28" s="641" t="s">
        <v>89</v>
      </c>
      <c r="AM28" s="539" t="s">
        <v>227</v>
      </c>
      <c r="AN28" s="539" t="s">
        <v>227</v>
      </c>
      <c r="AO28" s="539" t="s">
        <v>228</v>
      </c>
    </row>
    <row r="29" spans="1:41" ht="37.4" customHeight="1" thickBot="1" x14ac:dyDescent="0.4">
      <c r="A29" s="385"/>
      <c r="B29" s="385"/>
      <c r="C29" s="385"/>
      <c r="D29" s="385"/>
      <c r="E29" s="385"/>
      <c r="F29" s="404"/>
      <c r="G29" s="640"/>
      <c r="H29" s="658"/>
      <c r="I29" s="640"/>
      <c r="J29" s="640"/>
      <c r="K29" s="640"/>
      <c r="L29" s="640"/>
      <c r="M29" s="640"/>
      <c r="N29" s="640"/>
      <c r="O29" s="640"/>
      <c r="P29" s="640"/>
      <c r="Q29" s="655"/>
      <c r="R29" s="655"/>
      <c r="S29" s="655"/>
      <c r="T29" s="655"/>
      <c r="U29" s="655"/>
      <c r="V29" s="60" t="s">
        <v>96</v>
      </c>
      <c r="W29" s="52">
        <f>100%/8</f>
        <v>0.125</v>
      </c>
      <c r="X29" s="66">
        <f t="shared" si="2"/>
        <v>1</v>
      </c>
      <c r="Y29" s="42"/>
      <c r="Z29" s="42"/>
      <c r="AA29" s="42"/>
      <c r="AB29" s="42"/>
      <c r="AC29" s="42"/>
      <c r="AD29" s="42">
        <v>0.5</v>
      </c>
      <c r="AE29" s="42"/>
      <c r="AF29" s="42"/>
      <c r="AG29" s="42"/>
      <c r="AH29" s="42"/>
      <c r="AI29" s="42"/>
      <c r="AJ29" s="42">
        <v>0.5</v>
      </c>
      <c r="AK29" s="42"/>
      <c r="AL29" s="642"/>
      <c r="AM29" s="540"/>
      <c r="AN29" s="540"/>
      <c r="AO29" s="540"/>
    </row>
    <row r="30" spans="1:41" ht="37" customHeight="1" thickBot="1" x14ac:dyDescent="0.4">
      <c r="A30" s="384">
        <v>9</v>
      </c>
      <c r="B30" s="384" t="s">
        <v>510</v>
      </c>
      <c r="C30" s="384" t="s">
        <v>830</v>
      </c>
      <c r="D30" s="384" t="s">
        <v>118</v>
      </c>
      <c r="E30" s="384" t="s">
        <v>119</v>
      </c>
      <c r="F30" s="404" t="s">
        <v>86</v>
      </c>
      <c r="G30" s="639" t="s">
        <v>214</v>
      </c>
      <c r="H30" s="657" t="s">
        <v>1939</v>
      </c>
      <c r="I30" s="639" t="s">
        <v>215</v>
      </c>
      <c r="J30" s="639" t="s">
        <v>201</v>
      </c>
      <c r="K30" s="639" t="s">
        <v>201</v>
      </c>
      <c r="L30" s="639" t="s">
        <v>216</v>
      </c>
      <c r="M30" s="639" t="s">
        <v>217</v>
      </c>
      <c r="N30" s="639" t="s">
        <v>622</v>
      </c>
      <c r="O30" s="639" t="s">
        <v>217</v>
      </c>
      <c r="P30" s="639" t="s">
        <v>162</v>
      </c>
      <c r="Q30" s="654" t="s">
        <v>218</v>
      </c>
      <c r="R30" s="654" t="s">
        <v>164</v>
      </c>
      <c r="S30" s="654" t="s">
        <v>125</v>
      </c>
      <c r="T30" s="654" t="s">
        <v>623</v>
      </c>
      <c r="U30" s="654" t="s">
        <v>165</v>
      </c>
      <c r="V30" s="60" t="s">
        <v>91</v>
      </c>
      <c r="W30" s="53">
        <f>+(W31*X30)</f>
        <v>0.125</v>
      </c>
      <c r="X30" s="66">
        <f t="shared" si="2"/>
        <v>1</v>
      </c>
      <c r="Y30" s="45"/>
      <c r="Z30" s="45"/>
      <c r="AA30" s="45"/>
      <c r="AB30" s="45"/>
      <c r="AC30" s="45"/>
      <c r="AD30" s="145">
        <f>75%/X31*AD31</f>
        <v>0.375</v>
      </c>
      <c r="AE30" s="45"/>
      <c r="AF30" s="45"/>
      <c r="AG30" s="45"/>
      <c r="AH30" s="45"/>
      <c r="AI30" s="45"/>
      <c r="AJ30" s="44">
        <v>0.625</v>
      </c>
      <c r="AK30" s="45"/>
      <c r="AL30" s="641" t="s">
        <v>89</v>
      </c>
      <c r="AM30" s="539" t="s">
        <v>227</v>
      </c>
      <c r="AN30" s="539" t="s">
        <v>227</v>
      </c>
      <c r="AO30" s="539" t="s">
        <v>228</v>
      </c>
    </row>
    <row r="31" spans="1:41" ht="37.4" customHeight="1" thickBot="1" x14ac:dyDescent="0.4">
      <c r="A31" s="385"/>
      <c r="B31" s="385"/>
      <c r="C31" s="385"/>
      <c r="D31" s="385"/>
      <c r="E31" s="385"/>
      <c r="F31" s="404"/>
      <c r="G31" s="640"/>
      <c r="H31" s="658"/>
      <c r="I31" s="640"/>
      <c r="J31" s="640"/>
      <c r="K31" s="640"/>
      <c r="L31" s="640"/>
      <c r="M31" s="640"/>
      <c r="N31" s="640"/>
      <c r="O31" s="640"/>
      <c r="P31" s="640"/>
      <c r="Q31" s="655"/>
      <c r="R31" s="655"/>
      <c r="S31" s="655"/>
      <c r="T31" s="655"/>
      <c r="U31" s="655"/>
      <c r="V31" s="60" t="s">
        <v>96</v>
      </c>
      <c r="W31" s="52">
        <f>100%/8</f>
        <v>0.125</v>
      </c>
      <c r="X31" s="66">
        <f t="shared" si="2"/>
        <v>1</v>
      </c>
      <c r="Y31" s="42"/>
      <c r="Z31" s="42"/>
      <c r="AA31" s="42"/>
      <c r="AB31" s="42"/>
      <c r="AC31" s="42"/>
      <c r="AD31" s="42">
        <v>0.5</v>
      </c>
      <c r="AE31" s="42"/>
      <c r="AF31" s="42"/>
      <c r="AG31" s="42"/>
      <c r="AH31" s="42"/>
      <c r="AI31" s="42"/>
      <c r="AJ31" s="42">
        <v>0.5</v>
      </c>
      <c r="AK31" s="42"/>
      <c r="AL31" s="642"/>
      <c r="AM31" s="540"/>
      <c r="AN31" s="540"/>
      <c r="AO31" s="540"/>
    </row>
    <row r="32" spans="1:41" ht="37" customHeight="1" thickBot="1" x14ac:dyDescent="0.4">
      <c r="A32" s="384">
        <v>10</v>
      </c>
      <c r="B32" s="384" t="s">
        <v>510</v>
      </c>
      <c r="C32" s="384" t="s">
        <v>830</v>
      </c>
      <c r="D32" s="384" t="s">
        <v>118</v>
      </c>
      <c r="E32" s="384" t="s">
        <v>119</v>
      </c>
      <c r="F32" s="404" t="s">
        <v>86</v>
      </c>
      <c r="G32" s="639" t="s">
        <v>214</v>
      </c>
      <c r="H32" s="657" t="s">
        <v>1940</v>
      </c>
      <c r="I32" s="639" t="s">
        <v>215</v>
      </c>
      <c r="J32" s="639" t="s">
        <v>201</v>
      </c>
      <c r="K32" s="639" t="s">
        <v>201</v>
      </c>
      <c r="L32" s="639" t="s">
        <v>216</v>
      </c>
      <c r="M32" s="639" t="s">
        <v>217</v>
      </c>
      <c r="N32" s="639" t="s">
        <v>622</v>
      </c>
      <c r="O32" s="639" t="s">
        <v>217</v>
      </c>
      <c r="P32" s="639" t="s">
        <v>162</v>
      </c>
      <c r="Q32" s="654" t="s">
        <v>218</v>
      </c>
      <c r="R32" s="654" t="s">
        <v>164</v>
      </c>
      <c r="S32" s="654" t="s">
        <v>125</v>
      </c>
      <c r="T32" s="654" t="s">
        <v>623</v>
      </c>
      <c r="U32" s="654" t="s">
        <v>165</v>
      </c>
      <c r="V32" s="60" t="s">
        <v>91</v>
      </c>
      <c r="W32" s="53">
        <f>+(W33*X32)</f>
        <v>0.125</v>
      </c>
      <c r="X32" s="66">
        <f t="shared" si="2"/>
        <v>1</v>
      </c>
      <c r="Y32" s="45"/>
      <c r="Z32" s="45"/>
      <c r="AA32" s="45"/>
      <c r="AB32" s="45"/>
      <c r="AC32" s="45"/>
      <c r="AD32" s="145">
        <f>75%/X33*AD33</f>
        <v>0.375</v>
      </c>
      <c r="AE32" s="45"/>
      <c r="AF32" s="45"/>
      <c r="AG32" s="45"/>
      <c r="AH32" s="45"/>
      <c r="AI32" s="45"/>
      <c r="AJ32" s="44">
        <v>0.625</v>
      </c>
      <c r="AK32" s="45"/>
      <c r="AL32" s="641" t="s">
        <v>89</v>
      </c>
      <c r="AM32" s="539" t="s">
        <v>227</v>
      </c>
      <c r="AN32" s="539" t="s">
        <v>227</v>
      </c>
      <c r="AO32" s="539" t="s">
        <v>228</v>
      </c>
    </row>
    <row r="33" spans="1:41" ht="37.4" customHeight="1" thickBot="1" x14ac:dyDescent="0.4">
      <c r="A33" s="385"/>
      <c r="B33" s="385"/>
      <c r="C33" s="385"/>
      <c r="D33" s="385"/>
      <c r="E33" s="385"/>
      <c r="F33" s="404"/>
      <c r="G33" s="640"/>
      <c r="H33" s="658"/>
      <c r="I33" s="640"/>
      <c r="J33" s="640"/>
      <c r="K33" s="640"/>
      <c r="L33" s="640"/>
      <c r="M33" s="640"/>
      <c r="N33" s="640"/>
      <c r="O33" s="640"/>
      <c r="P33" s="640"/>
      <c r="Q33" s="655"/>
      <c r="R33" s="655"/>
      <c r="S33" s="655"/>
      <c r="T33" s="655"/>
      <c r="U33" s="655"/>
      <c r="V33" s="60" t="s">
        <v>96</v>
      </c>
      <c r="W33" s="52">
        <f>100%/8</f>
        <v>0.125</v>
      </c>
      <c r="X33" s="66">
        <f t="shared" si="2"/>
        <v>1</v>
      </c>
      <c r="Y33" s="42"/>
      <c r="Z33" s="42"/>
      <c r="AA33" s="42"/>
      <c r="AB33" s="42"/>
      <c r="AC33" s="42"/>
      <c r="AD33" s="42">
        <v>0.5</v>
      </c>
      <c r="AE33" s="42"/>
      <c r="AF33" s="42"/>
      <c r="AG33" s="42"/>
      <c r="AH33" s="42"/>
      <c r="AI33" s="42"/>
      <c r="AJ33" s="42">
        <v>0.5</v>
      </c>
      <c r="AK33" s="42"/>
      <c r="AL33" s="642"/>
      <c r="AM33" s="540"/>
      <c r="AN33" s="540"/>
      <c r="AO33" s="540"/>
    </row>
    <row r="34" spans="1:41" ht="37" customHeight="1" thickBot="1" x14ac:dyDescent="0.4">
      <c r="A34" s="384">
        <v>11</v>
      </c>
      <c r="B34" s="384" t="s">
        <v>510</v>
      </c>
      <c r="C34" s="384" t="s">
        <v>830</v>
      </c>
      <c r="D34" s="384" t="s">
        <v>118</v>
      </c>
      <c r="E34" s="384" t="s">
        <v>119</v>
      </c>
      <c r="F34" s="404" t="s">
        <v>86</v>
      </c>
      <c r="G34" s="639" t="s">
        <v>214</v>
      </c>
      <c r="H34" s="657" t="s">
        <v>1941</v>
      </c>
      <c r="I34" s="639" t="s">
        <v>215</v>
      </c>
      <c r="J34" s="639" t="s">
        <v>201</v>
      </c>
      <c r="K34" s="639" t="s">
        <v>201</v>
      </c>
      <c r="L34" s="639" t="s">
        <v>216</v>
      </c>
      <c r="M34" s="639" t="s">
        <v>217</v>
      </c>
      <c r="N34" s="639" t="s">
        <v>622</v>
      </c>
      <c r="O34" s="639" t="s">
        <v>217</v>
      </c>
      <c r="P34" s="639" t="s">
        <v>162</v>
      </c>
      <c r="Q34" s="654" t="s">
        <v>218</v>
      </c>
      <c r="R34" s="654" t="s">
        <v>164</v>
      </c>
      <c r="S34" s="654" t="s">
        <v>125</v>
      </c>
      <c r="T34" s="654" t="s">
        <v>623</v>
      </c>
      <c r="U34" s="654" t="s">
        <v>165</v>
      </c>
      <c r="V34" s="60" t="s">
        <v>91</v>
      </c>
      <c r="W34" s="53">
        <f>+(W35*X34)</f>
        <v>0.125</v>
      </c>
      <c r="X34" s="66">
        <f t="shared" si="2"/>
        <v>1</v>
      </c>
      <c r="Y34" s="45"/>
      <c r="Z34" s="45"/>
      <c r="AA34" s="45"/>
      <c r="AB34" s="45"/>
      <c r="AC34" s="45"/>
      <c r="AD34" s="145">
        <f>75%/X35*AD35</f>
        <v>0.375</v>
      </c>
      <c r="AE34" s="45"/>
      <c r="AF34" s="45"/>
      <c r="AG34" s="45"/>
      <c r="AH34" s="45"/>
      <c r="AI34" s="45"/>
      <c r="AJ34" s="44">
        <v>0.625</v>
      </c>
      <c r="AK34" s="45"/>
      <c r="AL34" s="641" t="s">
        <v>89</v>
      </c>
      <c r="AM34" s="539" t="s">
        <v>227</v>
      </c>
      <c r="AN34" s="539" t="s">
        <v>227</v>
      </c>
      <c r="AO34" s="539" t="s">
        <v>228</v>
      </c>
    </row>
    <row r="35" spans="1:41" ht="37.4" customHeight="1" thickBot="1" x14ac:dyDescent="0.4">
      <c r="A35" s="385"/>
      <c r="B35" s="385"/>
      <c r="C35" s="385"/>
      <c r="D35" s="385"/>
      <c r="E35" s="385"/>
      <c r="F35" s="404"/>
      <c r="G35" s="640"/>
      <c r="H35" s="658"/>
      <c r="I35" s="640"/>
      <c r="J35" s="640"/>
      <c r="K35" s="640"/>
      <c r="L35" s="640"/>
      <c r="M35" s="640"/>
      <c r="N35" s="640"/>
      <c r="O35" s="640"/>
      <c r="P35" s="640"/>
      <c r="Q35" s="655"/>
      <c r="R35" s="655"/>
      <c r="S35" s="655"/>
      <c r="T35" s="655"/>
      <c r="U35" s="655"/>
      <c r="V35" s="60" t="s">
        <v>96</v>
      </c>
      <c r="W35" s="52">
        <f>100%/8</f>
        <v>0.125</v>
      </c>
      <c r="X35" s="66">
        <f t="shared" si="2"/>
        <v>1</v>
      </c>
      <c r="Y35" s="42"/>
      <c r="Z35" s="42"/>
      <c r="AA35" s="42"/>
      <c r="AB35" s="42"/>
      <c r="AC35" s="42"/>
      <c r="AD35" s="42">
        <v>0.5</v>
      </c>
      <c r="AE35" s="42"/>
      <c r="AF35" s="42"/>
      <c r="AG35" s="42"/>
      <c r="AH35" s="42"/>
      <c r="AI35" s="42"/>
      <c r="AJ35" s="42">
        <v>0.5</v>
      </c>
      <c r="AK35" s="42"/>
      <c r="AL35" s="642"/>
      <c r="AM35" s="540"/>
      <c r="AN35" s="540"/>
      <c r="AO35" s="540"/>
    </row>
    <row r="36" spans="1:41" ht="37" customHeight="1" thickBot="1" x14ac:dyDescent="0.4">
      <c r="A36" s="384">
        <v>12</v>
      </c>
      <c r="B36" s="384" t="s">
        <v>510</v>
      </c>
      <c r="C36" s="384" t="s">
        <v>830</v>
      </c>
      <c r="D36" s="384" t="s">
        <v>118</v>
      </c>
      <c r="E36" s="384" t="s">
        <v>119</v>
      </c>
      <c r="F36" s="404" t="s">
        <v>86</v>
      </c>
      <c r="G36" s="639" t="s">
        <v>214</v>
      </c>
      <c r="H36" s="657" t="s">
        <v>1942</v>
      </c>
      <c r="I36" s="639" t="s">
        <v>215</v>
      </c>
      <c r="J36" s="639" t="s">
        <v>201</v>
      </c>
      <c r="K36" s="639" t="s">
        <v>201</v>
      </c>
      <c r="L36" s="639" t="s">
        <v>216</v>
      </c>
      <c r="M36" s="639" t="s">
        <v>217</v>
      </c>
      <c r="N36" s="639" t="s">
        <v>622</v>
      </c>
      <c r="O36" s="639" t="s">
        <v>217</v>
      </c>
      <c r="P36" s="639" t="s">
        <v>162</v>
      </c>
      <c r="Q36" s="654" t="s">
        <v>218</v>
      </c>
      <c r="R36" s="654" t="s">
        <v>164</v>
      </c>
      <c r="S36" s="654" t="s">
        <v>125</v>
      </c>
      <c r="T36" s="654" t="s">
        <v>623</v>
      </c>
      <c r="U36" s="654" t="s">
        <v>165</v>
      </c>
      <c r="V36" s="60" t="s">
        <v>91</v>
      </c>
      <c r="W36" s="53">
        <f>+(W37*X36)</f>
        <v>0.125</v>
      </c>
      <c r="X36" s="66">
        <f t="shared" si="2"/>
        <v>1</v>
      </c>
      <c r="Y36" s="45"/>
      <c r="Z36" s="45"/>
      <c r="AA36" s="45"/>
      <c r="AB36" s="45"/>
      <c r="AC36" s="45"/>
      <c r="AD36" s="145">
        <f>75%/X37*AD37</f>
        <v>0.375</v>
      </c>
      <c r="AE36" s="45"/>
      <c r="AF36" s="45"/>
      <c r="AG36" s="45"/>
      <c r="AH36" s="45"/>
      <c r="AI36" s="45"/>
      <c r="AJ36" s="44">
        <v>0.625</v>
      </c>
      <c r="AK36" s="45"/>
      <c r="AL36" s="641" t="s">
        <v>89</v>
      </c>
      <c r="AM36" s="539" t="s">
        <v>227</v>
      </c>
      <c r="AN36" s="539" t="s">
        <v>227</v>
      </c>
      <c r="AO36" s="539" t="s">
        <v>228</v>
      </c>
    </row>
    <row r="37" spans="1:41" ht="37.4" customHeight="1" thickBot="1" x14ac:dyDescent="0.4">
      <c r="A37" s="385"/>
      <c r="B37" s="385"/>
      <c r="C37" s="385"/>
      <c r="D37" s="385"/>
      <c r="E37" s="385"/>
      <c r="F37" s="404"/>
      <c r="G37" s="640"/>
      <c r="H37" s="658"/>
      <c r="I37" s="640"/>
      <c r="J37" s="640"/>
      <c r="K37" s="640"/>
      <c r="L37" s="640"/>
      <c r="M37" s="640"/>
      <c r="N37" s="640"/>
      <c r="O37" s="640"/>
      <c r="P37" s="640"/>
      <c r="Q37" s="655"/>
      <c r="R37" s="655"/>
      <c r="S37" s="655"/>
      <c r="T37" s="655"/>
      <c r="U37" s="655"/>
      <c r="V37" s="60" t="s">
        <v>96</v>
      </c>
      <c r="W37" s="52">
        <f>100%/8</f>
        <v>0.125</v>
      </c>
      <c r="X37" s="66">
        <f t="shared" si="2"/>
        <v>1</v>
      </c>
      <c r="Y37" s="42"/>
      <c r="Z37" s="42"/>
      <c r="AA37" s="42"/>
      <c r="AB37" s="42"/>
      <c r="AC37" s="42"/>
      <c r="AD37" s="42">
        <v>0.5</v>
      </c>
      <c r="AE37" s="42"/>
      <c r="AF37" s="42"/>
      <c r="AG37" s="42"/>
      <c r="AH37" s="42"/>
      <c r="AI37" s="42"/>
      <c r="AJ37" s="42">
        <v>0.5</v>
      </c>
      <c r="AK37" s="42"/>
      <c r="AL37" s="642"/>
      <c r="AM37" s="540"/>
      <c r="AN37" s="540"/>
      <c r="AO37" s="540"/>
    </row>
    <row r="38" spans="1:41" ht="37" customHeight="1" thickBot="1" x14ac:dyDescent="0.4">
      <c r="A38" s="384">
        <v>13</v>
      </c>
      <c r="B38" s="384" t="s">
        <v>510</v>
      </c>
      <c r="C38" s="384" t="s">
        <v>830</v>
      </c>
      <c r="D38" s="384" t="s">
        <v>118</v>
      </c>
      <c r="E38" s="384" t="s">
        <v>119</v>
      </c>
      <c r="F38" s="404" t="s">
        <v>86</v>
      </c>
      <c r="G38" s="639" t="s">
        <v>214</v>
      </c>
      <c r="H38" s="657" t="s">
        <v>1943</v>
      </c>
      <c r="I38" s="639" t="s">
        <v>215</v>
      </c>
      <c r="J38" s="639" t="s">
        <v>201</v>
      </c>
      <c r="K38" s="639" t="s">
        <v>201</v>
      </c>
      <c r="L38" s="639" t="s">
        <v>216</v>
      </c>
      <c r="M38" s="639" t="s">
        <v>217</v>
      </c>
      <c r="N38" s="639" t="s">
        <v>622</v>
      </c>
      <c r="O38" s="639" t="s">
        <v>217</v>
      </c>
      <c r="P38" s="639" t="s">
        <v>162</v>
      </c>
      <c r="Q38" s="654" t="s">
        <v>218</v>
      </c>
      <c r="R38" s="654" t="s">
        <v>164</v>
      </c>
      <c r="S38" s="654" t="s">
        <v>125</v>
      </c>
      <c r="T38" s="654" t="s">
        <v>623</v>
      </c>
      <c r="U38" s="654" t="s">
        <v>165</v>
      </c>
      <c r="V38" s="60" t="s">
        <v>91</v>
      </c>
      <c r="W38" s="53">
        <f>+(W39*X38)</f>
        <v>0.125</v>
      </c>
      <c r="X38" s="66">
        <f t="shared" si="2"/>
        <v>1</v>
      </c>
      <c r="Y38" s="45"/>
      <c r="Z38" s="45"/>
      <c r="AA38" s="45"/>
      <c r="AB38" s="45"/>
      <c r="AC38" s="45"/>
      <c r="AD38" s="145">
        <f>75%/X39*AD39</f>
        <v>0.375</v>
      </c>
      <c r="AE38" s="45"/>
      <c r="AF38" s="45"/>
      <c r="AG38" s="45"/>
      <c r="AH38" s="45"/>
      <c r="AI38" s="45"/>
      <c r="AJ38" s="44">
        <v>0.625</v>
      </c>
      <c r="AK38" s="45"/>
      <c r="AL38" s="641" t="s">
        <v>89</v>
      </c>
      <c r="AM38" s="539" t="s">
        <v>227</v>
      </c>
      <c r="AN38" s="539" t="s">
        <v>227</v>
      </c>
      <c r="AO38" s="539" t="s">
        <v>228</v>
      </c>
    </row>
    <row r="39" spans="1:41" ht="37.4" customHeight="1" thickBot="1" x14ac:dyDescent="0.4">
      <c r="A39" s="385"/>
      <c r="B39" s="385"/>
      <c r="C39" s="385"/>
      <c r="D39" s="385"/>
      <c r="E39" s="385"/>
      <c r="F39" s="404"/>
      <c r="G39" s="640"/>
      <c r="H39" s="658"/>
      <c r="I39" s="640"/>
      <c r="J39" s="640"/>
      <c r="K39" s="640"/>
      <c r="L39" s="640"/>
      <c r="M39" s="640"/>
      <c r="N39" s="640"/>
      <c r="O39" s="640"/>
      <c r="P39" s="640"/>
      <c r="Q39" s="655"/>
      <c r="R39" s="655"/>
      <c r="S39" s="655"/>
      <c r="T39" s="655"/>
      <c r="U39" s="655"/>
      <c r="V39" s="60" t="s">
        <v>96</v>
      </c>
      <c r="W39" s="52">
        <f>100%/8</f>
        <v>0.125</v>
      </c>
      <c r="X39" s="66">
        <f t="shared" si="2"/>
        <v>1</v>
      </c>
      <c r="Y39" s="42"/>
      <c r="Z39" s="42"/>
      <c r="AA39" s="42"/>
      <c r="AB39" s="42"/>
      <c r="AC39" s="42"/>
      <c r="AD39" s="42">
        <v>0.5</v>
      </c>
      <c r="AE39" s="42"/>
      <c r="AF39" s="42"/>
      <c r="AG39" s="42"/>
      <c r="AH39" s="42"/>
      <c r="AI39" s="42"/>
      <c r="AJ39" s="42">
        <v>0.5</v>
      </c>
      <c r="AK39" s="42"/>
      <c r="AL39" s="642"/>
      <c r="AM39" s="540"/>
      <c r="AN39" s="540"/>
      <c r="AO39" s="540"/>
    </row>
    <row r="40" spans="1:41" ht="37" customHeight="1" thickBot="1" x14ac:dyDescent="0.4">
      <c r="A40" s="384">
        <v>14</v>
      </c>
      <c r="B40" s="384" t="s">
        <v>510</v>
      </c>
      <c r="C40" s="384" t="s">
        <v>830</v>
      </c>
      <c r="D40" s="384" t="s">
        <v>118</v>
      </c>
      <c r="E40" s="384" t="s">
        <v>119</v>
      </c>
      <c r="F40" s="404" t="s">
        <v>86</v>
      </c>
      <c r="G40" s="639" t="s">
        <v>205</v>
      </c>
      <c r="H40" s="657" t="s">
        <v>1944</v>
      </c>
      <c r="I40" s="639" t="s">
        <v>117</v>
      </c>
      <c r="J40" s="639" t="s">
        <v>201</v>
      </c>
      <c r="K40" s="639" t="s">
        <v>201</v>
      </c>
      <c r="L40" s="639" t="s">
        <v>202</v>
      </c>
      <c r="M40" s="639" t="s">
        <v>621</v>
      </c>
      <c r="N40" s="639" t="s">
        <v>622</v>
      </c>
      <c r="O40" s="639" t="s">
        <v>621</v>
      </c>
      <c r="P40" s="639" t="s">
        <v>162</v>
      </c>
      <c r="Q40" s="654" t="s">
        <v>163</v>
      </c>
      <c r="R40" s="654" t="s">
        <v>164</v>
      </c>
      <c r="S40" s="654" t="s">
        <v>125</v>
      </c>
      <c r="T40" s="654" t="s">
        <v>623</v>
      </c>
      <c r="U40" s="654" t="s">
        <v>165</v>
      </c>
      <c r="V40" s="60" t="s">
        <v>91</v>
      </c>
      <c r="W40" s="53">
        <f>+(W41*X40)</f>
        <v>0.125</v>
      </c>
      <c r="X40" s="66">
        <f t="shared" si="2"/>
        <v>1</v>
      </c>
      <c r="Y40" s="45"/>
      <c r="Z40" s="45"/>
      <c r="AA40" s="45"/>
      <c r="AB40" s="45"/>
      <c r="AC40" s="45"/>
      <c r="AD40" s="145">
        <f>75%/X41*AD41</f>
        <v>0.375</v>
      </c>
      <c r="AE40" s="45"/>
      <c r="AF40" s="45"/>
      <c r="AG40" s="45"/>
      <c r="AH40" s="45"/>
      <c r="AI40" s="45"/>
      <c r="AJ40" s="44">
        <v>0.625</v>
      </c>
      <c r="AK40" s="45"/>
      <c r="AL40" s="641" t="s">
        <v>89</v>
      </c>
      <c r="AM40" s="539" t="s">
        <v>227</v>
      </c>
      <c r="AN40" s="539" t="s">
        <v>227</v>
      </c>
      <c r="AO40" s="539" t="s">
        <v>228</v>
      </c>
    </row>
    <row r="41" spans="1:41" ht="37.4" customHeight="1" thickBot="1" x14ac:dyDescent="0.4">
      <c r="A41" s="385"/>
      <c r="B41" s="385"/>
      <c r="C41" s="385"/>
      <c r="D41" s="385"/>
      <c r="E41" s="385"/>
      <c r="F41" s="404"/>
      <c r="G41" s="640"/>
      <c r="H41" s="658"/>
      <c r="I41" s="640"/>
      <c r="J41" s="640"/>
      <c r="K41" s="640"/>
      <c r="L41" s="640"/>
      <c r="M41" s="640"/>
      <c r="N41" s="640"/>
      <c r="O41" s="640"/>
      <c r="P41" s="640"/>
      <c r="Q41" s="655"/>
      <c r="R41" s="655"/>
      <c r="S41" s="655"/>
      <c r="T41" s="655"/>
      <c r="U41" s="655"/>
      <c r="V41" s="60" t="s">
        <v>96</v>
      </c>
      <c r="W41" s="52">
        <f>100%/8</f>
        <v>0.125</v>
      </c>
      <c r="X41" s="66">
        <f t="shared" si="2"/>
        <v>1</v>
      </c>
      <c r="Y41" s="42"/>
      <c r="Z41" s="42"/>
      <c r="AA41" s="42"/>
      <c r="AB41" s="42"/>
      <c r="AC41" s="42"/>
      <c r="AD41" s="42">
        <v>0.5</v>
      </c>
      <c r="AE41" s="42"/>
      <c r="AF41" s="42"/>
      <c r="AG41" s="42"/>
      <c r="AH41" s="42"/>
      <c r="AI41" s="42"/>
      <c r="AJ41" s="42">
        <v>0.5</v>
      </c>
      <c r="AK41" s="42"/>
      <c r="AL41" s="642"/>
      <c r="AM41" s="540"/>
      <c r="AN41" s="540"/>
      <c r="AO41" s="540"/>
    </row>
    <row r="42" spans="1:41" ht="37" customHeight="1" thickBot="1" x14ac:dyDescent="0.4">
      <c r="A42" s="384">
        <v>15</v>
      </c>
      <c r="B42" s="384" t="s">
        <v>510</v>
      </c>
      <c r="C42" s="384" t="s">
        <v>830</v>
      </c>
      <c r="D42" s="384" t="s">
        <v>118</v>
      </c>
      <c r="E42" s="384" t="s">
        <v>119</v>
      </c>
      <c r="F42" s="404" t="s">
        <v>86</v>
      </c>
      <c r="G42" s="639" t="s">
        <v>205</v>
      </c>
      <c r="H42" s="657" t="s">
        <v>1945</v>
      </c>
      <c r="I42" s="639" t="s">
        <v>117</v>
      </c>
      <c r="J42" s="639" t="s">
        <v>201</v>
      </c>
      <c r="K42" s="639" t="s">
        <v>201</v>
      </c>
      <c r="L42" s="639" t="s">
        <v>202</v>
      </c>
      <c r="M42" s="639" t="s">
        <v>621</v>
      </c>
      <c r="N42" s="639" t="s">
        <v>622</v>
      </c>
      <c r="O42" s="639" t="s">
        <v>621</v>
      </c>
      <c r="P42" s="639" t="s">
        <v>162</v>
      </c>
      <c r="Q42" s="654" t="s">
        <v>163</v>
      </c>
      <c r="R42" s="654" t="s">
        <v>164</v>
      </c>
      <c r="S42" s="654" t="s">
        <v>125</v>
      </c>
      <c r="T42" s="654" t="s">
        <v>623</v>
      </c>
      <c r="U42" s="654" t="s">
        <v>165</v>
      </c>
      <c r="V42" s="60" t="s">
        <v>91</v>
      </c>
      <c r="W42" s="53">
        <f>+(W43*X42)</f>
        <v>0.125</v>
      </c>
      <c r="X42" s="66">
        <f t="shared" si="2"/>
        <v>1</v>
      </c>
      <c r="Y42" s="45"/>
      <c r="Z42" s="45"/>
      <c r="AA42" s="45"/>
      <c r="AB42" s="45"/>
      <c r="AC42" s="45"/>
      <c r="AD42" s="145">
        <f>75%/X43*AD43</f>
        <v>0.375</v>
      </c>
      <c r="AE42" s="45"/>
      <c r="AF42" s="45"/>
      <c r="AG42" s="45"/>
      <c r="AH42" s="45"/>
      <c r="AI42" s="45"/>
      <c r="AJ42" s="44">
        <v>0.625</v>
      </c>
      <c r="AK42" s="45"/>
      <c r="AL42" s="641" t="s">
        <v>89</v>
      </c>
      <c r="AM42" s="539" t="s">
        <v>227</v>
      </c>
      <c r="AN42" s="539" t="s">
        <v>227</v>
      </c>
      <c r="AO42" s="539" t="s">
        <v>228</v>
      </c>
    </row>
    <row r="43" spans="1:41" ht="37.4" customHeight="1" thickBot="1" x14ac:dyDescent="0.4">
      <c r="A43" s="385"/>
      <c r="B43" s="385"/>
      <c r="C43" s="385"/>
      <c r="D43" s="385"/>
      <c r="E43" s="385"/>
      <c r="F43" s="404"/>
      <c r="G43" s="640"/>
      <c r="H43" s="658"/>
      <c r="I43" s="640"/>
      <c r="J43" s="640"/>
      <c r="K43" s="640"/>
      <c r="L43" s="640"/>
      <c r="M43" s="640"/>
      <c r="N43" s="640"/>
      <c r="O43" s="640"/>
      <c r="P43" s="640"/>
      <c r="Q43" s="655"/>
      <c r="R43" s="655"/>
      <c r="S43" s="655"/>
      <c r="T43" s="655"/>
      <c r="U43" s="655"/>
      <c r="V43" s="60" t="s">
        <v>96</v>
      </c>
      <c r="W43" s="52">
        <f>100%/8</f>
        <v>0.125</v>
      </c>
      <c r="X43" s="66">
        <f t="shared" si="2"/>
        <v>1</v>
      </c>
      <c r="Y43" s="42"/>
      <c r="Z43" s="42"/>
      <c r="AA43" s="42"/>
      <c r="AB43" s="42"/>
      <c r="AC43" s="42"/>
      <c r="AD43" s="42">
        <v>0.5</v>
      </c>
      <c r="AE43" s="42"/>
      <c r="AF43" s="42"/>
      <c r="AG43" s="42"/>
      <c r="AH43" s="42"/>
      <c r="AI43" s="42"/>
      <c r="AJ43" s="42">
        <v>0.5</v>
      </c>
      <c r="AK43" s="42"/>
      <c r="AL43" s="642"/>
      <c r="AM43" s="540"/>
      <c r="AN43" s="540"/>
      <c r="AO43" s="540"/>
    </row>
    <row r="44" spans="1:41" ht="37" customHeight="1" thickBot="1" x14ac:dyDescent="0.4">
      <c r="A44" s="384">
        <v>16</v>
      </c>
      <c r="B44" s="384" t="s">
        <v>510</v>
      </c>
      <c r="C44" s="384" t="s">
        <v>830</v>
      </c>
      <c r="D44" s="384" t="s">
        <v>118</v>
      </c>
      <c r="E44" s="384" t="s">
        <v>119</v>
      </c>
      <c r="F44" s="404" t="s">
        <v>86</v>
      </c>
      <c r="G44" s="639" t="s">
        <v>205</v>
      </c>
      <c r="H44" s="657" t="s">
        <v>1946</v>
      </c>
      <c r="I44" s="639" t="s">
        <v>117</v>
      </c>
      <c r="J44" s="639" t="s">
        <v>201</v>
      </c>
      <c r="K44" s="639" t="s">
        <v>201</v>
      </c>
      <c r="L44" s="639" t="s">
        <v>202</v>
      </c>
      <c r="M44" s="639" t="s">
        <v>621</v>
      </c>
      <c r="N44" s="639" t="s">
        <v>622</v>
      </c>
      <c r="O44" s="639" t="s">
        <v>621</v>
      </c>
      <c r="P44" s="639" t="s">
        <v>162</v>
      </c>
      <c r="Q44" s="654" t="s">
        <v>163</v>
      </c>
      <c r="R44" s="654" t="s">
        <v>164</v>
      </c>
      <c r="S44" s="654" t="s">
        <v>125</v>
      </c>
      <c r="T44" s="654" t="s">
        <v>623</v>
      </c>
      <c r="U44" s="654" t="s">
        <v>165</v>
      </c>
      <c r="V44" s="60" t="s">
        <v>91</v>
      </c>
      <c r="W44" s="53">
        <f>+(W45*X44)</f>
        <v>0.125</v>
      </c>
      <c r="X44" s="66">
        <f t="shared" si="2"/>
        <v>1</v>
      </c>
      <c r="Y44" s="45"/>
      <c r="Z44" s="45"/>
      <c r="AA44" s="45"/>
      <c r="AB44" s="45"/>
      <c r="AC44" s="45"/>
      <c r="AD44" s="145">
        <f>75%/X45*AD45</f>
        <v>0.375</v>
      </c>
      <c r="AE44" s="45"/>
      <c r="AF44" s="45"/>
      <c r="AG44" s="45"/>
      <c r="AH44" s="45"/>
      <c r="AI44" s="45"/>
      <c r="AJ44" s="44">
        <v>0.625</v>
      </c>
      <c r="AK44" s="45"/>
      <c r="AL44" s="641" t="s">
        <v>89</v>
      </c>
      <c r="AM44" s="539" t="s">
        <v>227</v>
      </c>
      <c r="AN44" s="539" t="s">
        <v>227</v>
      </c>
      <c r="AO44" s="539" t="s">
        <v>228</v>
      </c>
    </row>
    <row r="45" spans="1:41" ht="37.4" customHeight="1" thickBot="1" x14ac:dyDescent="0.4">
      <c r="A45" s="385"/>
      <c r="B45" s="385"/>
      <c r="C45" s="385"/>
      <c r="D45" s="385"/>
      <c r="E45" s="385"/>
      <c r="F45" s="404"/>
      <c r="G45" s="640"/>
      <c r="H45" s="658"/>
      <c r="I45" s="640"/>
      <c r="J45" s="640"/>
      <c r="K45" s="640"/>
      <c r="L45" s="640"/>
      <c r="M45" s="640"/>
      <c r="N45" s="640"/>
      <c r="O45" s="640"/>
      <c r="P45" s="640"/>
      <c r="Q45" s="655"/>
      <c r="R45" s="655"/>
      <c r="S45" s="655"/>
      <c r="T45" s="655"/>
      <c r="U45" s="655"/>
      <c r="V45" s="60" t="s">
        <v>96</v>
      </c>
      <c r="W45" s="52">
        <f>100%/8</f>
        <v>0.125</v>
      </c>
      <c r="X45" s="66">
        <f t="shared" si="2"/>
        <v>1</v>
      </c>
      <c r="Y45" s="42"/>
      <c r="Z45" s="42"/>
      <c r="AA45" s="42"/>
      <c r="AB45" s="42"/>
      <c r="AC45" s="42"/>
      <c r="AD45" s="42">
        <v>0.5</v>
      </c>
      <c r="AE45" s="42"/>
      <c r="AF45" s="42"/>
      <c r="AG45" s="42"/>
      <c r="AH45" s="42"/>
      <c r="AI45" s="42"/>
      <c r="AJ45" s="42">
        <v>0.5</v>
      </c>
      <c r="AK45" s="42"/>
      <c r="AL45" s="642"/>
      <c r="AM45" s="540"/>
      <c r="AN45" s="540"/>
      <c r="AO45" s="540"/>
    </row>
    <row r="46" spans="1:41" ht="37.4" customHeight="1" thickBot="1" x14ac:dyDescent="0.4">
      <c r="A46" s="384">
        <v>17</v>
      </c>
      <c r="B46" s="384" t="s">
        <v>510</v>
      </c>
      <c r="C46" s="384" t="s">
        <v>830</v>
      </c>
      <c r="D46" s="384" t="s">
        <v>118</v>
      </c>
      <c r="E46" s="384" t="s">
        <v>119</v>
      </c>
      <c r="F46" s="382" t="s">
        <v>86</v>
      </c>
      <c r="G46" s="639" t="s">
        <v>205</v>
      </c>
      <c r="H46" s="657" t="s">
        <v>1947</v>
      </c>
      <c r="I46" s="639" t="s">
        <v>117</v>
      </c>
      <c r="J46" s="639" t="s">
        <v>201</v>
      </c>
      <c r="K46" s="639" t="s">
        <v>201</v>
      </c>
      <c r="L46" s="639" t="s">
        <v>202</v>
      </c>
      <c r="M46" s="639" t="s">
        <v>621</v>
      </c>
      <c r="N46" s="639" t="s">
        <v>622</v>
      </c>
      <c r="O46" s="639" t="s">
        <v>621</v>
      </c>
      <c r="P46" s="639" t="s">
        <v>162</v>
      </c>
      <c r="Q46" s="654" t="s">
        <v>163</v>
      </c>
      <c r="R46" s="654" t="s">
        <v>164</v>
      </c>
      <c r="S46" s="654" t="s">
        <v>125</v>
      </c>
      <c r="T46" s="654" t="s">
        <v>623</v>
      </c>
      <c r="U46" s="654" t="s">
        <v>165</v>
      </c>
      <c r="V46" s="60" t="s">
        <v>91</v>
      </c>
      <c r="W46" s="53">
        <f>+(W47*X46)</f>
        <v>0.125</v>
      </c>
      <c r="X46" s="66">
        <f t="shared" si="2"/>
        <v>1</v>
      </c>
      <c r="Y46" s="45"/>
      <c r="Z46" s="45"/>
      <c r="AA46" s="45"/>
      <c r="AB46" s="45"/>
      <c r="AC46" s="45"/>
      <c r="AD46" s="145">
        <f>75%/X47*AD47</f>
        <v>0.375</v>
      </c>
      <c r="AE46" s="45"/>
      <c r="AF46" s="45"/>
      <c r="AG46" s="45"/>
      <c r="AH46" s="45"/>
      <c r="AI46" s="45"/>
      <c r="AJ46" s="44">
        <v>0.625</v>
      </c>
      <c r="AK46" s="45"/>
      <c r="AL46" s="537" t="s">
        <v>89</v>
      </c>
      <c r="AM46" s="662" t="s">
        <v>232</v>
      </c>
      <c r="AN46" s="659" t="s">
        <v>233</v>
      </c>
      <c r="AO46" s="659" t="s">
        <v>233</v>
      </c>
    </row>
    <row r="47" spans="1:41" ht="37.4" customHeight="1" x14ac:dyDescent="0.35">
      <c r="A47" s="385"/>
      <c r="B47" s="385"/>
      <c r="C47" s="385"/>
      <c r="D47" s="385"/>
      <c r="E47" s="385"/>
      <c r="F47" s="383"/>
      <c r="G47" s="640"/>
      <c r="H47" s="658"/>
      <c r="I47" s="640"/>
      <c r="J47" s="640"/>
      <c r="K47" s="640"/>
      <c r="L47" s="640"/>
      <c r="M47" s="640"/>
      <c r="N47" s="640"/>
      <c r="O47" s="640"/>
      <c r="P47" s="640"/>
      <c r="Q47" s="655"/>
      <c r="R47" s="655"/>
      <c r="S47" s="655"/>
      <c r="T47" s="655"/>
      <c r="U47" s="655"/>
      <c r="V47" s="60" t="s">
        <v>96</v>
      </c>
      <c r="W47" s="52">
        <f>100%/8</f>
        <v>0.125</v>
      </c>
      <c r="X47" s="66">
        <f t="shared" si="2"/>
        <v>1</v>
      </c>
      <c r="Y47" s="42"/>
      <c r="Z47" s="42"/>
      <c r="AA47" s="42"/>
      <c r="AB47" s="42"/>
      <c r="AC47" s="42"/>
      <c r="AD47" s="42">
        <v>0.5</v>
      </c>
      <c r="AE47" s="42"/>
      <c r="AF47" s="42"/>
      <c r="AG47" s="42"/>
      <c r="AH47" s="42"/>
      <c r="AI47" s="42"/>
      <c r="AJ47" s="42">
        <v>0.5</v>
      </c>
      <c r="AK47" s="42"/>
      <c r="AL47" s="538"/>
      <c r="AM47" s="663"/>
      <c r="AN47" s="539"/>
      <c r="AO47" s="539"/>
    </row>
    <row r="48" spans="1:41" s="13" customFormat="1" ht="30" customHeight="1" x14ac:dyDescent="0.35">
      <c r="D48" s="379"/>
      <c r="E48" s="379"/>
      <c r="F48" s="21"/>
      <c r="H48" s="384"/>
      <c r="I48" s="15"/>
      <c r="J48" s="17"/>
      <c r="K48" s="34"/>
      <c r="L48" s="34"/>
      <c r="M48" s="34"/>
      <c r="N48" s="34"/>
      <c r="O48" s="34"/>
      <c r="P48" s="34"/>
      <c r="Q48" s="34"/>
      <c r="R48" s="34"/>
      <c r="S48" s="34"/>
      <c r="T48" s="34"/>
      <c r="U48" s="34"/>
      <c r="V48" s="34">
        <f>SUM(V47:V47)</f>
        <v>0</v>
      </c>
      <c r="W48" s="37"/>
      <c r="X48" s="34"/>
      <c r="Y48" s="34"/>
      <c r="Z48" s="27">
        <f>SUM(W47:Z47)</f>
        <v>1.125</v>
      </c>
      <c r="AA48" s="27"/>
      <c r="AB48" s="27"/>
      <c r="AC48" s="27"/>
      <c r="AD48" s="27">
        <f>SUM(AA47:AD47)</f>
        <v>0.5</v>
      </c>
      <c r="AE48" s="27"/>
      <c r="AF48" s="27"/>
      <c r="AG48" s="27"/>
      <c r="AH48" s="27">
        <f>SUM(AE47:AH47)</f>
        <v>0</v>
      </c>
      <c r="AI48" s="39"/>
      <c r="AJ48" s="27"/>
      <c r="AK48" s="62"/>
    </row>
    <row r="49" spans="8:37" s="13" customFormat="1" ht="30" customHeight="1" x14ac:dyDescent="0.35">
      <c r="H49" s="385"/>
      <c r="I49" s="15"/>
      <c r="J49" s="14"/>
      <c r="K49" s="34"/>
      <c r="L49" s="34"/>
      <c r="M49" s="34"/>
      <c r="N49" s="34"/>
      <c r="O49" s="34"/>
      <c r="P49" s="34"/>
      <c r="Q49" s="34"/>
      <c r="R49" s="34"/>
      <c r="S49" s="34"/>
      <c r="T49" s="34"/>
      <c r="U49" s="34"/>
      <c r="V49" s="34" t="e">
        <f>+#REF!+V48</f>
        <v>#REF!</v>
      </c>
      <c r="W49" s="37"/>
      <c r="X49" s="34"/>
      <c r="Y49" s="34"/>
      <c r="Z49" s="26"/>
      <c r="AA49" s="27"/>
      <c r="AB49" s="27"/>
      <c r="AC49" s="27"/>
      <c r="AD49" s="27"/>
      <c r="AE49" s="27"/>
      <c r="AF49" s="27"/>
      <c r="AG49" s="27"/>
      <c r="AH49" s="27">
        <f>+Z48+AD48+AH48</f>
        <v>1.625</v>
      </c>
      <c r="AI49" s="39"/>
      <c r="AJ49" s="27"/>
      <c r="AK49" s="62"/>
    </row>
    <row r="50" spans="8:37" s="13" customFormat="1" ht="30" customHeight="1" thickBot="1" x14ac:dyDescent="0.4">
      <c r="H50" s="55"/>
      <c r="I50" s="18"/>
      <c r="J50" s="19"/>
      <c r="K50" s="35"/>
      <c r="L50" s="35"/>
      <c r="M50" s="35"/>
      <c r="N50" s="35"/>
      <c r="O50" s="35"/>
      <c r="P50" s="35"/>
      <c r="Q50" s="35"/>
      <c r="R50" s="35"/>
      <c r="S50" s="35"/>
      <c r="T50" s="35"/>
      <c r="U50" s="35"/>
      <c r="V50" s="35"/>
      <c r="W50" s="38"/>
      <c r="X50" s="35"/>
      <c r="Y50" s="35"/>
      <c r="Z50" s="28"/>
      <c r="AA50" s="29"/>
      <c r="AB50" s="29"/>
      <c r="AC50" s="29"/>
      <c r="AD50" s="29"/>
      <c r="AE50" s="29"/>
      <c r="AF50" s="29"/>
      <c r="AG50" s="29"/>
      <c r="AH50" s="29" t="e">
        <f>+V49+AH49</f>
        <v>#REF!</v>
      </c>
      <c r="AI50" s="40"/>
      <c r="AJ50" s="29"/>
      <c r="AK50" s="62"/>
    </row>
    <row r="51" spans="8:37" s="13" customFormat="1" ht="30" customHeight="1" x14ac:dyDescent="0.35">
      <c r="H51" s="545" t="s">
        <v>135</v>
      </c>
      <c r="I51" s="15" t="s">
        <v>136</v>
      </c>
      <c r="J51" s="23" t="e">
        <f>SUM(O51:AJ51)</f>
        <v>#REF!</v>
      </c>
      <c r="K51" s="34"/>
      <c r="L51" s="34"/>
      <c r="M51" s="34"/>
      <c r="N51" s="34"/>
      <c r="O51" s="34" t="e">
        <f>+(AC15*$W$15)+(AC17*$W$17)+(AC19*$W$19)+(AC21*$W$21)+(#REF!*$W$23)+(AC44*$W$25)+(#REF!*$W$45)+(#REF!*#REF!)+(#REF!*#REF!)+(#REF!*#REF!)+(#REF!*#REF!)+(#REF!*#REF!)+(#REF!*#REF!)</f>
        <v>#REF!</v>
      </c>
      <c r="P51" s="34"/>
      <c r="Q51" s="34"/>
      <c r="R51" s="34"/>
      <c r="S51" s="34"/>
      <c r="T51" s="34"/>
      <c r="U51" s="34"/>
      <c r="V51" s="34" t="e">
        <f>+(AJ15*$W$15)+(AJ17*$W$17)+(AJ19*$W$19)+(AJ21*$W$21)+(#REF!*$W$23)+(AJ44*$W$25)+(#REF!*$W$45)+(#REF!*#REF!)+(#REF!*#REF!)+(#REF!*#REF!)+(#REF!*#REF!)+(#REF!*#REF!)+(#REF!*#REF!)</f>
        <v>#REF!</v>
      </c>
      <c r="W51" s="37" t="e">
        <f>+(#REF!*$W$15)+(#REF!*$W$17)+(#REF!*$W$19)+(#REF!*$W$21)+(#REF!*$W$23)+(#REF!*$W$25)+(#REF!*$W$45)+(#REF!*#REF!)+(#REF!*#REF!)+(#REF!*#REF!)+(#REF!*#REF!)+(#REF!*#REF!)+(#REF!*#REF!)</f>
        <v>#REF!</v>
      </c>
      <c r="X51" s="34" t="e">
        <f>+(#REF!*$W$15)+(#REF!*$W$17)+(#REF!*$W$19)+(#REF!*$W$21)+(#REF!*$W$23)+(#REF!*$W$25)+(#REF!*$W$45)+(#REF!*#REF!)+(#REF!*#REF!)+(#REF!*#REF!)+(#REF!*#REF!)+(#REF!*#REF!)+(#REF!*#REF!)</f>
        <v>#REF!</v>
      </c>
      <c r="Y51" s="34" t="e">
        <f>+(#REF!*$W$15)+(#REF!*$W$17)+(#REF!*$W$19)+(#REF!*$W$21)+(#REF!*$W$23)+(#REF!*$W$25)+(#REF!*$W$45)+(#REF!*#REF!)+(#REF!*#REF!)+(#REF!*#REF!)+(#REF!*#REF!)+(#REF!*#REF!)+(#REF!*#REF!)</f>
        <v>#REF!</v>
      </c>
      <c r="Z51" s="34" t="e">
        <f>+(#REF!*$W$15)+(#REF!*$W$17)+(#REF!*$W$19)+(#REF!*$W$21)+(#REF!*$W$23)+(#REF!*$W$25)+(Y44*$W$45)+(#REF!*#REF!)+(#REF!*#REF!)+(#REF!*#REF!)+(#REF!*#REF!)+(#REF!*#REF!)+(#REF!*#REF!)</f>
        <v>#REF!</v>
      </c>
      <c r="AA51" s="34" t="e">
        <f>+(#REF!*$W$15)+(#REF!*$W$17)+(#REF!*$W$19)+(#REF!*$W$21)+(#REF!*$W$23)+(#REF!*$W$25)+(#REF!*$W$45)+(#REF!*#REF!)+(#REF!*#REF!)+(#REF!*#REF!)+(#REF!*#REF!)+(#REF!*#REF!)+(#REF!*#REF!)</f>
        <v>#REF!</v>
      </c>
      <c r="AB51" s="34" t="e">
        <f>+(#REF!*$W$15)+(#REF!*$W$17)+(#REF!*$W$19)+(#REF!*$W$21)+(#REF!*$W$23)+(#REF!*$W$25)+(#REF!*$W$45)+(#REF!*#REF!)+(#REF!*#REF!)+(#REF!*#REF!)+(#REF!*#REF!)+(#REF!*#REF!)+(#REF!*#REF!)</f>
        <v>#REF!</v>
      </c>
      <c r="AC51" s="34" t="e">
        <f>+(#REF!*$W$15)+(#REF!*$W$17)+(#REF!*$W$19)+(#REF!*$W$21)+(#REF!*$W$23)+(#REF!*$W$25)+(#REF!*$W$45)+(#REF!*#REF!)+(#REF!*#REF!)+(#REF!*#REF!)+(#REF!*#REF!)+(#REF!*#REF!)+(#REF!*#REF!)</f>
        <v>#REF!</v>
      </c>
      <c r="AD51" s="34" t="e">
        <f>+(#REF!*$W$15)+(#REF!*$W$17)+(#REF!*$W$19)+(#REF!*$W$21)+(#REF!*$W$23)+(#REF!*$W$25)+(#REF!*$W$45)+(#REF!*#REF!)+(#REF!*#REF!)+(#REF!*#REF!)+(#REF!*#REF!)+(#REF!*#REF!)+(#REF!*#REF!)</f>
        <v>#REF!</v>
      </c>
      <c r="AE51" s="34" t="e">
        <f>+(#REF!*$W$15)+(#REF!*$W$17)+(#REF!*$W$19)+(#REF!*$W$21)+(#REF!*$W$23)+(#REF!*$W$25)+(#REF!*$W$45)+(#REF!*#REF!)+(#REF!*#REF!)+(#REF!*#REF!)+(#REF!*#REF!)+(#REF!*#REF!)+(#REF!*#REF!)</f>
        <v>#REF!</v>
      </c>
      <c r="AF51" s="34" t="e">
        <f>+(#REF!*$W$15)+(#REF!*$W$17)+(#REF!*$W$19)+(#REF!*$W$21)+(#REF!*$W$23)+(#REF!*$W$25)+(#REF!*$W$45)+(#REF!*#REF!)+(#REF!*#REF!)+(#REF!*#REF!)+(#REF!*#REF!)+(#REF!*#REF!)+(#REF!*#REF!)</f>
        <v>#REF!</v>
      </c>
      <c r="AG51" s="34" t="e">
        <f>+(#REF!*$W$15)+(#REF!*$W$17)+(#REF!*$W$19)+(#REF!*$W$21)+(#REF!*$W$23)+(#REF!*$W$25)+(#REF!*$W$45)+(#REF!*#REF!)+(#REF!*#REF!)+(#REF!*#REF!)+(#REF!*#REF!)+(#REF!*#REF!)+(#REF!*#REF!)</f>
        <v>#REF!</v>
      </c>
      <c r="AH51" s="34" t="e">
        <f>+(#REF!*$W$15)+(#REF!*$W$17)+(#REF!*$W$19)+(#REF!*$W$21)+(#REF!*$W$23)+(#REF!*$W$25)+(#REF!*$W$45)+(#REF!*#REF!)+(#REF!*#REF!)+(#REF!*#REF!)+(#REF!*#REF!)+(#REF!*#REF!)+(#REF!*#REF!)</f>
        <v>#REF!</v>
      </c>
      <c r="AI51" s="37" t="e">
        <f>+(#REF!*$W$15)+(#REF!*$W$17)+(#REF!*$W$19)+(#REF!*$W$21)+(#REF!*$W$23)+(#REF!*$W$25)+(#REF!*$W$45)+(#REF!*#REF!)+(#REF!*#REF!)+(#REF!*#REF!)+(#REF!*#REF!)+(#REF!*#REF!)+(#REF!*#REF!)</f>
        <v>#REF!</v>
      </c>
      <c r="AJ51" s="34" t="e">
        <f>+(#REF!*$W$15)+(#REF!*$W$17)+(#REF!*$W$19)+(#REF!*$W$21)+(#REF!*$W$23)+(#REF!*$W$25)+(#REF!*$W$45)+(#REF!*#REF!)+(#REF!*#REF!)+(#REF!*#REF!)+(#REF!*#REF!)+(#REF!*#REF!)+(#REF!*#REF!)</f>
        <v>#REF!</v>
      </c>
      <c r="AK51" s="61"/>
    </row>
    <row r="52" spans="8:37" s="13" customFormat="1" ht="30" customHeight="1" x14ac:dyDescent="0.35">
      <c r="H52" s="546"/>
      <c r="I52" s="15" t="s">
        <v>137</v>
      </c>
      <c r="J52" s="16"/>
      <c r="K52" s="34"/>
      <c r="L52" s="34"/>
      <c r="M52" s="34"/>
      <c r="N52" s="34"/>
      <c r="O52" s="34"/>
      <c r="P52" s="34"/>
      <c r="Q52" s="34"/>
      <c r="R52" s="34"/>
      <c r="S52" s="34"/>
      <c r="T52" s="34"/>
      <c r="U52" s="34"/>
      <c r="V52" s="34" t="e">
        <f>SUM(V51:V51)</f>
        <v>#REF!</v>
      </c>
      <c r="W52" s="37"/>
      <c r="X52" s="34"/>
      <c r="Y52" s="34"/>
      <c r="Z52" s="34" t="e">
        <f>SUM(W51:Z51)</f>
        <v>#REF!</v>
      </c>
      <c r="AA52" s="34"/>
      <c r="AB52" s="34"/>
      <c r="AC52" s="34"/>
      <c r="AD52" s="34" t="e">
        <f>SUM(AA51:AD51)</f>
        <v>#REF!</v>
      </c>
      <c r="AE52" s="34"/>
      <c r="AF52" s="34"/>
      <c r="AG52" s="34"/>
      <c r="AH52" s="34" t="e">
        <f>SUM(AE51:AH51)</f>
        <v>#REF!</v>
      </c>
      <c r="AI52" s="37"/>
      <c r="AJ52" s="34"/>
      <c r="AK52" s="61"/>
    </row>
    <row r="53" spans="8:37" s="13" customFormat="1" ht="30" customHeight="1" x14ac:dyDescent="0.35">
      <c r="H53" s="546"/>
      <c r="I53" s="15" t="s">
        <v>138</v>
      </c>
      <c r="J53" s="14"/>
      <c r="K53" s="34"/>
      <c r="L53" s="34"/>
      <c r="M53" s="34"/>
      <c r="N53" s="34"/>
      <c r="O53" s="34"/>
      <c r="P53" s="34"/>
      <c r="Q53" s="34"/>
      <c r="R53" s="34"/>
      <c r="S53" s="34"/>
      <c r="T53" s="34"/>
      <c r="U53" s="34"/>
      <c r="V53" s="34" t="e">
        <f>+#REF!+V52</f>
        <v>#REF!</v>
      </c>
      <c r="W53" s="37"/>
      <c r="X53" s="34"/>
      <c r="Y53" s="34"/>
      <c r="Z53" s="26"/>
      <c r="AA53" s="27"/>
      <c r="AB53" s="27"/>
      <c r="AC53" s="27"/>
      <c r="AD53" s="27"/>
      <c r="AE53" s="27"/>
      <c r="AF53" s="27"/>
      <c r="AG53" s="27"/>
      <c r="AH53" s="27" t="e">
        <f>+Z52+AD52+AH52</f>
        <v>#REF!</v>
      </c>
      <c r="AI53" s="39"/>
      <c r="AJ53" s="27"/>
      <c r="AK53" s="62"/>
    </row>
    <row r="54" spans="8:37" s="13" customFormat="1" ht="30" customHeight="1" thickBot="1" x14ac:dyDescent="0.4">
      <c r="H54" s="547"/>
      <c r="I54" s="20" t="s">
        <v>139</v>
      </c>
      <c r="J54" s="19"/>
      <c r="K54" s="35"/>
      <c r="L54" s="35"/>
      <c r="M54" s="35"/>
      <c r="N54" s="35"/>
      <c r="O54" s="35"/>
      <c r="P54" s="35"/>
      <c r="Q54" s="35"/>
      <c r="R54" s="35"/>
      <c r="S54" s="35"/>
      <c r="T54" s="35"/>
      <c r="U54" s="35"/>
      <c r="V54" s="35"/>
      <c r="W54" s="38"/>
      <c r="X54" s="35"/>
      <c r="Y54" s="35"/>
      <c r="Z54" s="28"/>
      <c r="AA54" s="29"/>
      <c r="AB54" s="29"/>
      <c r="AC54" s="29"/>
      <c r="AD54" s="29"/>
      <c r="AE54" s="29"/>
      <c r="AF54" s="29"/>
      <c r="AG54" s="29"/>
      <c r="AH54" s="29" t="e">
        <f>+V53+AH53</f>
        <v>#REF!</v>
      </c>
      <c r="AI54" s="40"/>
      <c r="AJ54" s="41"/>
      <c r="AK54" s="62"/>
    </row>
    <row r="55" spans="8:37" ht="30" customHeight="1" x14ac:dyDescent="0.35">
      <c r="H55" s="24"/>
      <c r="I55" s="380" t="s">
        <v>140</v>
      </c>
      <c r="J55" s="380"/>
      <c r="K55" s="46"/>
      <c r="L55" s="46"/>
      <c r="M55" s="46"/>
      <c r="N55" s="46"/>
      <c r="O55" s="46" t="e">
        <f>+O47/O51</f>
        <v>#REF!</v>
      </c>
      <c r="P55" s="46"/>
      <c r="Q55" s="46"/>
      <c r="R55" s="46"/>
      <c r="S55" s="46"/>
      <c r="T55" s="46"/>
      <c r="U55" s="46"/>
      <c r="V55" s="47" t="e">
        <f>+(O47+#REF!+#REF!+#REF!+#REF!+#REF!+#REF!+V47)/(O51+#REF!+#REF!+#REF!+#REF!+#REF!+#REF!+V51)</f>
        <v>#REF!</v>
      </c>
      <c r="W55" s="48" t="e">
        <f>+(O47+#REF!+#REF!+#REF!+#REF!+#REF!+#REF!+V47+W47)/(O51+#REF!+#REF!+#REF!+#REF!+#REF!+#REF!+V51+W51)</f>
        <v>#REF!</v>
      </c>
      <c r="X55" s="46" t="e">
        <f>+(O47+#REF!+#REF!+#REF!+#REF!+#REF!+#REF!+V47+W47+X47)/(O51+#REF!+#REF!+#REF!+#REF!+#REF!+#REF!+V51+W51+X51)</f>
        <v>#REF!</v>
      </c>
      <c r="Y55" s="46" t="e">
        <f>+(O47+#REF!+#REF!+#REF!+#REF!+#REF!+#REF!+V47+W47+X47+Y47)/(O51+#REF!+#REF!+#REF!+#REF!+#REF!+#REF!+V51+W51+X51+Y51)</f>
        <v>#REF!</v>
      </c>
      <c r="Z55" s="47" t="e">
        <f>+(O47+#REF!+#REF!+#REF!+#REF!+#REF!+#REF!+V47+W47+X47+Y47+Z47)/(O51+#REF!+#REF!+#REF!+#REF!+#REF!+#REF!+V51+W51+X51+Y51+Z51)</f>
        <v>#REF!</v>
      </c>
      <c r="AA55" s="46" t="e">
        <f>+(O47+#REF!+#REF!+#REF!+#REF!+#REF!+#REF!+V47+W47+X47+Y47+Z47+AA47)/(O51+#REF!+#REF!+#REF!+#REF!+#REF!+#REF!+V51+W51+X51+Y51+Z51+AA51)</f>
        <v>#REF!</v>
      </c>
      <c r="AB55" s="46" t="e">
        <f>+(O47+#REF!+#REF!+#REF!+#REF!+#REF!+#REF!+V47+W47+X47+Y47+Z47+AA47+AB47)/(O51+#REF!+#REF!+#REF!+#REF!+#REF!+#REF!+V51+W51+X51+Y51+Z51+AA51+AB51)</f>
        <v>#REF!</v>
      </c>
      <c r="AC55" s="46" t="e">
        <f>+(O47+#REF!+#REF!+#REF!+#REF!+#REF!+#REF!+V47+W47+X47+Y47+Z47+AA47+AB47+AC47)/(O51+#REF!+#REF!+#REF!+#REF!+#REF!+#REF!+V51+W51+X51+Y51+Z51+AA51+AB51+AC51)</f>
        <v>#REF!</v>
      </c>
      <c r="AD55" s="47" t="e">
        <f>+(O47+#REF!+#REF!+#REF!+#REF!+#REF!+#REF!+V47+W47+X47+Y47+Z47+AA47+AB47+AC47+AD47)/(O51+#REF!+#REF!+#REF!+#REF!+#REF!+#REF!+V51+W51+X51+Y51+Z51+AA51+AB51+AC51+AD51)</f>
        <v>#REF!</v>
      </c>
      <c r="AE55" s="46" t="e">
        <f>+(O47+#REF!+#REF!+#REF!+#REF!+#REF!+#REF!+V47+W47+X47+Y47+Z47+AA47+AB47+AC47+AD47+AE47)/(O51+#REF!+#REF!+#REF!+#REF!+#REF!+#REF!+V51+W51+X51+Y51+Z51+AA51+AB51+AC51+AD51+AE51)</f>
        <v>#REF!</v>
      </c>
      <c r="AF55" s="46" t="e">
        <f>+(O47+#REF!+#REF!+#REF!+#REF!+#REF!+#REF!+V47+W47+X47+Y47+Z47+AA47+AB47+AC47+AD47+AE47+AF47)/(O51+#REF!+#REF!+#REF!+#REF!+#REF!+#REF!+V51+W51+X51+Y51+Z51+AA51+AB51+AC51+AD51+AE51+AF51)</f>
        <v>#REF!</v>
      </c>
      <c r="AG55" s="46" t="e">
        <f>+(O47+#REF!+#REF!+#REF!+#REF!+#REF!+#REF!+V47+W47+X47+Y47+Z47+AA47+AB47+AC47+AD47+AE47+AF47+AG47)/(O51+#REF!+#REF!+#REF!+#REF!+#REF!+#REF!+V51+W51+X51+Y51+Z51+AA51+AB51+AC51+AD51+AE51+AF51+AG51)</f>
        <v>#REF!</v>
      </c>
      <c r="AH55" s="47" t="e">
        <f>+(O47+#REF!+#REF!+#REF!+#REF!+#REF!+#REF!+V47+W47+X47+Y47+Z47+AA47+AB47+AC47+AD47+AE47+AF47+AG47+AH47)/(O51+#REF!+#REF!+#REF!+#REF!+#REF!+#REF!+V51+W51+X51+Y51+Z51+AA51+AB51+AC51+AD51+AE51+AF51+AG51+AH51)</f>
        <v>#REF!</v>
      </c>
      <c r="AI55" s="48" t="e">
        <f>+(O47+#REF!+#REF!+#REF!+#REF!+#REF!+#REF!+V47+W47+X47+Y47+Z47+AA47+AB47+AC47+AD47+AE47+AF47+AG47+AH47+AI47)/(O51+#REF!+#REF!+#REF!+#REF!+#REF!+#REF!+V51+W51+X51+Y51+Z51+AA51+AB51+AC51+AD51+AE51+AF51+AG51+AH51+AI51)</f>
        <v>#REF!</v>
      </c>
      <c r="AJ55" s="46" t="e">
        <f>+(O47+#REF!+#REF!+#REF!+#REF!+#REF!+#REF!+V47+W47+X47+Y47+Z47+AA47+AB47+AC47+AD47+AE47+AF47+AG47+AH47+AI47+AJ47)/(O51+#REF!+#REF!+#REF!+#REF!+#REF!+#REF!+V51+W51+X51+Y51+Z51+AA51+AB51+AC51+AD51+AE51+AF51+AG51+AH51+AI51+AJ51)</f>
        <v>#REF!</v>
      </c>
      <c r="AK55" s="63"/>
    </row>
    <row r="56" spans="8:37" ht="30" customHeight="1" x14ac:dyDescent="0.35">
      <c r="H56" s="24"/>
      <c r="I56" s="381" t="s">
        <v>141</v>
      </c>
      <c r="J56" s="381"/>
      <c r="K56" s="47"/>
      <c r="L56" s="47"/>
      <c r="M56" s="47"/>
      <c r="N56" s="47"/>
      <c r="O56" s="47" t="e">
        <f>+O47/$F$47</f>
        <v>#DIV/0!</v>
      </c>
      <c r="P56" s="47"/>
      <c r="Q56" s="47"/>
      <c r="R56" s="47"/>
      <c r="S56" s="47"/>
      <c r="T56" s="47"/>
      <c r="U56" s="47"/>
      <c r="V56" s="47" t="e">
        <f>+(O47+#REF!+#REF!+#REF!+#REF!+#REF!+#REF!+V47)/$F$47</f>
        <v>#REF!</v>
      </c>
      <c r="W56" s="49" t="e">
        <f>+(O47+#REF!+#REF!+#REF!+#REF!+#REF!+#REF!+V47+W47)/$F$47</f>
        <v>#REF!</v>
      </c>
      <c r="X56" s="47" t="e">
        <f>+(O47+#REF!+#REF!+#REF!+#REF!+#REF!+#REF!+V47+W47+X47)/$F$47</f>
        <v>#REF!</v>
      </c>
      <c r="Y56" s="47" t="e">
        <f>+(O47+#REF!+#REF!+#REF!+#REF!+#REF!+#REF!+V47+W47+X47+Y47)/$F$47</f>
        <v>#REF!</v>
      </c>
      <c r="Z56" s="47" t="e">
        <f>+(O47+#REF!+#REF!+#REF!+#REF!+#REF!+#REF!+V47+W47+X47+Y47+Z47)/$F$47</f>
        <v>#REF!</v>
      </c>
      <c r="AA56" s="47" t="e">
        <f>+(O47+#REF!+#REF!+#REF!+#REF!+#REF!+#REF!+V47+W47+X47+Y47+Z47+AA47)/$F$47</f>
        <v>#REF!</v>
      </c>
      <c r="AB56" s="47" t="e">
        <f>+(O47+#REF!+#REF!+#REF!+#REF!+#REF!+#REF!+V47+W47+X47+Y47+Z47+AA47+AB47)/$F$47</f>
        <v>#REF!</v>
      </c>
      <c r="AC56" s="47" t="e">
        <f>+(O47+#REF!+#REF!+#REF!+#REF!+#REF!+#REF!+V47+W47+X47+Y47+Z47+AA47+AB47+AC47)/$F$47</f>
        <v>#REF!</v>
      </c>
      <c r="AD56" s="47" t="e">
        <f>+(O47+#REF!+#REF!+#REF!+#REF!+#REF!+#REF!+V47+W47+X47+Y47+Z47+AA47+AB47+AC47+AD47)/$F$47</f>
        <v>#REF!</v>
      </c>
      <c r="AE56" s="47" t="e">
        <f>+(O47+#REF!+#REF!+#REF!+#REF!+#REF!+#REF!+V47+W47+X47+Y47+Z47+AA47+AB47+AC47+AD47+AE47)/$F$47</f>
        <v>#REF!</v>
      </c>
      <c r="AF56" s="47" t="e">
        <f>+(O47+#REF!+#REF!+#REF!+#REF!+#REF!+#REF!+V47+W47+X47+Y47+Z47+AA47+AB47+AC47+AD47+AE47+AF47)/$F$47</f>
        <v>#REF!</v>
      </c>
      <c r="AG56" s="47" t="e">
        <f>+(O47+#REF!+#REF!+#REF!+#REF!+#REF!+#REF!+V47+W47+X47+Y47+Z47+AA47+AB47+AC47+AD47+AE47+AF47+AG47)/$F$47</f>
        <v>#REF!</v>
      </c>
      <c r="AH56" s="47" t="e">
        <f>+(O47+#REF!+#REF!+#REF!+#REF!+#REF!+#REF!+V47+W47+X47+Y47+Z47+AA47+AB47+AC47+AD47+AE47+AF47+AG47+AH47)/$F$47</f>
        <v>#REF!</v>
      </c>
      <c r="AI56" s="49" t="e">
        <f>+(O47+#REF!+#REF!+#REF!+#REF!+#REF!+#REF!+V47+W47+X47+Y47+Z47+AA47+AB47+AC47+AD47+AE47+AF47+AG47+AH47+AI47)/$F$47</f>
        <v>#REF!</v>
      </c>
      <c r="AJ56" s="47" t="e">
        <f>+(O47+#REF!+#REF!+#REF!+#REF!+#REF!+#REF!+V47+W47+X47+Y47+Z47+AA47+AB47+AC47+AD47+AE47+AF47+AG47+AH47+AI47+AJ47)/$F$47</f>
        <v>#REF!</v>
      </c>
      <c r="AK56" s="64"/>
    </row>
    <row r="57" spans="8:37" ht="30" customHeight="1" x14ac:dyDescent="0.35">
      <c r="I57" s="380" t="s">
        <v>142</v>
      </c>
      <c r="J57" s="380"/>
      <c r="K57" s="50"/>
      <c r="L57" s="50"/>
      <c r="M57" s="50"/>
      <c r="N57" s="50"/>
      <c r="O57" s="50"/>
      <c r="P57" s="50"/>
      <c r="Q57" s="50"/>
      <c r="R57" s="50"/>
      <c r="S57" s="50"/>
      <c r="T57" s="50"/>
      <c r="U57" s="50"/>
      <c r="V57" s="47" t="e">
        <f>+V48/V52</f>
        <v>#REF!</v>
      </c>
      <c r="W57" s="51"/>
      <c r="X57" s="50"/>
      <c r="Y57" s="50"/>
      <c r="Z57" s="47" t="e">
        <f>+Z48/Z52</f>
        <v>#REF!</v>
      </c>
      <c r="AA57" s="50"/>
      <c r="AB57" s="50"/>
      <c r="AC57" s="50"/>
      <c r="AD57" s="47" t="e">
        <f>+AD48/AD52</f>
        <v>#REF!</v>
      </c>
      <c r="AE57" s="50"/>
      <c r="AF57" s="50"/>
      <c r="AG57" s="50"/>
      <c r="AH57" s="47" t="e">
        <f>+AH48/AH52</f>
        <v>#REF!</v>
      </c>
      <c r="AI57" s="51"/>
      <c r="AJ57" s="50"/>
      <c r="AK57" s="65"/>
    </row>
    <row r="58" spans="8:37" ht="30" customHeight="1" x14ac:dyDescent="0.35">
      <c r="I58" s="381" t="s">
        <v>143</v>
      </c>
      <c r="J58" s="381"/>
      <c r="K58" s="50"/>
      <c r="L58" s="50"/>
      <c r="M58" s="50"/>
      <c r="N58" s="50"/>
      <c r="O58" s="50"/>
      <c r="P58" s="50"/>
      <c r="Q58" s="50"/>
      <c r="R58" s="50"/>
      <c r="S58" s="50"/>
      <c r="T58" s="50"/>
      <c r="U58" s="50"/>
      <c r="V58" s="47" t="e">
        <f>+(#REF!+V48)/$F$47</f>
        <v>#REF!</v>
      </c>
      <c r="W58" s="51"/>
      <c r="X58" s="50"/>
      <c r="Y58" s="50"/>
      <c r="Z58" s="47" t="e">
        <f>+(#REF!+V48+Z48)/$F$47</f>
        <v>#REF!</v>
      </c>
      <c r="AA58" s="50"/>
      <c r="AB58" s="50"/>
      <c r="AC58" s="50"/>
      <c r="AD58" s="47" t="e">
        <f>+(#REF!+V48+Z48+AD48)/$F$47</f>
        <v>#REF!</v>
      </c>
      <c r="AE58" s="50"/>
      <c r="AF58" s="50"/>
      <c r="AG58" s="50"/>
      <c r="AH58" s="47" t="e">
        <f>+(#REF!+V48+Z48+AD48+AH48)/$F$47</f>
        <v>#REF!</v>
      </c>
      <c r="AI58" s="51"/>
      <c r="AJ58" s="50"/>
      <c r="AK58" s="65"/>
    </row>
    <row r="59" spans="8:37" ht="30" customHeight="1" x14ac:dyDescent="0.35">
      <c r="I59" s="380" t="s">
        <v>144</v>
      </c>
      <c r="J59" s="380"/>
      <c r="K59" s="50"/>
      <c r="L59" s="50"/>
      <c r="M59" s="50"/>
      <c r="N59" s="50"/>
      <c r="O59" s="50"/>
      <c r="P59" s="50"/>
      <c r="Q59" s="50"/>
      <c r="R59" s="50"/>
      <c r="S59" s="50"/>
      <c r="T59" s="50"/>
      <c r="U59" s="50"/>
      <c r="V59" s="47" t="e">
        <f>+(#REF!+V48)/(#REF!+V52)</f>
        <v>#REF!</v>
      </c>
      <c r="W59" s="51"/>
      <c r="X59" s="50"/>
      <c r="Y59" s="50"/>
      <c r="Z59" s="50"/>
      <c r="AA59" s="50"/>
      <c r="AB59" s="50"/>
      <c r="AC59" s="50"/>
      <c r="AD59" s="50"/>
      <c r="AE59" s="50"/>
      <c r="AF59" s="50"/>
      <c r="AG59" s="50"/>
      <c r="AH59" s="47" t="e">
        <f>+(#REF!+V48+Z48+AD48+AH48)/(#REF!+V52+Z52+AD52+AH52)</f>
        <v>#REF!</v>
      </c>
      <c r="AI59" s="51"/>
      <c r="AJ59" s="50"/>
      <c r="AK59" s="65"/>
    </row>
    <row r="60" spans="8:37" ht="30" customHeight="1" x14ac:dyDescent="0.35">
      <c r="I60" s="380" t="s">
        <v>145</v>
      </c>
      <c r="J60" s="380"/>
      <c r="K60" s="50"/>
      <c r="L60" s="50"/>
      <c r="M60" s="50"/>
      <c r="N60" s="50"/>
      <c r="O60" s="50"/>
      <c r="P60" s="50"/>
      <c r="Q60" s="50"/>
      <c r="R60" s="50"/>
      <c r="S60" s="50"/>
      <c r="T60" s="50"/>
      <c r="U60" s="50"/>
      <c r="V60" s="47" t="e">
        <f>+(#REF!+V48)/$F$47</f>
        <v>#REF!</v>
      </c>
      <c r="W60" s="51"/>
      <c r="X60" s="50"/>
      <c r="Y60" s="50"/>
      <c r="Z60" s="50"/>
      <c r="AA60" s="50"/>
      <c r="AB60" s="50"/>
      <c r="AC60" s="50"/>
      <c r="AD60" s="50"/>
      <c r="AE60" s="50"/>
      <c r="AF60" s="50"/>
      <c r="AG60" s="50"/>
      <c r="AH60" s="47" t="e">
        <f>+(+#REF!+V48+Z48+AD48+AH48)/$F$47</f>
        <v>#REF!</v>
      </c>
      <c r="AI60" s="51"/>
      <c r="AJ60" s="50"/>
      <c r="AK60" s="65"/>
    </row>
    <row r="62" spans="8:37" ht="35.15" customHeight="1" x14ac:dyDescent="0.35">
      <c r="H62" s="573" t="s">
        <v>146</v>
      </c>
      <c r="I62" s="573"/>
      <c r="J62" s="30" t="e">
        <f>+#REF!</f>
        <v>#REF!</v>
      </c>
      <c r="K62" s="32"/>
      <c r="L62" s="32"/>
      <c r="M62" s="32"/>
      <c r="N62" s="32"/>
      <c r="O62" s="32"/>
      <c r="P62" s="32"/>
      <c r="Q62" s="32"/>
      <c r="R62" s="32"/>
      <c r="S62" s="32"/>
      <c r="T62" s="32"/>
      <c r="U62" s="32"/>
    </row>
    <row r="63" spans="8:37" ht="35.15" customHeight="1" thickBot="1" x14ac:dyDescent="0.4">
      <c r="H63" s="573" t="s">
        <v>147</v>
      </c>
      <c r="I63" s="573"/>
      <c r="J63" s="25">
        <f>+F47</f>
        <v>0</v>
      </c>
      <c r="K63" s="32"/>
      <c r="L63" s="32"/>
      <c r="M63" s="32"/>
      <c r="N63" s="32"/>
      <c r="O63" s="32"/>
      <c r="P63" s="32"/>
      <c r="Q63" s="32"/>
      <c r="R63" s="32"/>
      <c r="S63" s="32"/>
      <c r="T63" s="32"/>
      <c r="U63" s="32"/>
    </row>
    <row r="64" spans="8:37" ht="35.15" customHeight="1" thickBot="1" x14ac:dyDescent="0.4">
      <c r="H64" s="573" t="s">
        <v>148</v>
      </c>
      <c r="I64" s="573"/>
      <c r="J64" s="31" t="e">
        <f>+J62/J63</f>
        <v>#REF!</v>
      </c>
      <c r="K64" s="32"/>
      <c r="L64" s="32"/>
      <c r="M64" s="32"/>
      <c r="N64" s="32"/>
      <c r="O64" s="32"/>
      <c r="P64" s="32"/>
      <c r="Q64" s="32"/>
      <c r="R64" s="32"/>
      <c r="S64" s="32"/>
      <c r="T64" s="32"/>
      <c r="U64" s="32"/>
    </row>
    <row r="65" spans="2:21" ht="15" customHeight="1" x14ac:dyDescent="0.35">
      <c r="K65" s="32"/>
      <c r="L65" s="32"/>
      <c r="M65" s="32"/>
      <c r="N65" s="32"/>
      <c r="O65" s="32"/>
      <c r="P65" s="32"/>
      <c r="Q65" s="32"/>
      <c r="R65" s="32"/>
      <c r="S65" s="32"/>
      <c r="T65" s="32"/>
      <c r="U65" s="32"/>
    </row>
    <row r="66" spans="2:21" ht="15" customHeight="1" x14ac:dyDescent="0.35">
      <c r="K66" s="32"/>
      <c r="L66" s="32"/>
      <c r="M66" s="32"/>
      <c r="N66" s="32"/>
      <c r="O66" s="32"/>
      <c r="P66" s="32"/>
      <c r="Q66" s="32"/>
      <c r="R66" s="32"/>
      <c r="S66" s="32"/>
      <c r="T66" s="32"/>
      <c r="U66" s="32"/>
    </row>
    <row r="67" spans="2:21" ht="15" customHeight="1" x14ac:dyDescent="0.35">
      <c r="B67" s="371" t="s">
        <v>51</v>
      </c>
      <c r="C67" s="371" t="s">
        <v>52</v>
      </c>
      <c r="D67" s="371" t="s">
        <v>53</v>
      </c>
      <c r="E67" s="371" t="s">
        <v>54</v>
      </c>
      <c r="F67" s="371" t="s">
        <v>30</v>
      </c>
      <c r="G67" s="373" t="s">
        <v>55</v>
      </c>
      <c r="M67" s="373" t="s">
        <v>509</v>
      </c>
      <c r="N67" s="32"/>
      <c r="O67" s="32"/>
      <c r="P67" s="32"/>
      <c r="Q67" s="32"/>
      <c r="R67" s="32"/>
      <c r="S67" s="32"/>
      <c r="T67" s="32"/>
      <c r="U67" s="32"/>
    </row>
    <row r="68" spans="2:21" ht="15" customHeight="1" x14ac:dyDescent="0.35">
      <c r="B68" s="372"/>
      <c r="C68" s="372"/>
      <c r="D68" s="372"/>
      <c r="E68" s="372"/>
      <c r="F68" s="372"/>
      <c r="G68" s="372"/>
      <c r="M68" s="372"/>
    </row>
    <row r="69" spans="2:21" ht="15" customHeight="1" x14ac:dyDescent="0.35">
      <c r="B69" s="1" t="s">
        <v>510</v>
      </c>
      <c r="C69" s="13" t="s">
        <v>829</v>
      </c>
      <c r="D69" s="1" t="s">
        <v>118</v>
      </c>
      <c r="E69" s="1" t="s">
        <v>119</v>
      </c>
      <c r="F69" s="1" t="s">
        <v>512</v>
      </c>
      <c r="G69" s="1" t="s">
        <v>513</v>
      </c>
      <c r="M69" s="13" t="s">
        <v>514</v>
      </c>
    </row>
    <row r="70" spans="2:21" ht="15" customHeight="1" x14ac:dyDescent="0.35">
      <c r="B70" s="1" t="s">
        <v>515</v>
      </c>
      <c r="C70" s="13" t="s">
        <v>830</v>
      </c>
      <c r="D70" s="1" t="s">
        <v>254</v>
      </c>
      <c r="E70" s="1" t="s">
        <v>517</v>
      </c>
      <c r="F70" s="1" t="s">
        <v>518</v>
      </c>
      <c r="G70" s="1" t="s">
        <v>519</v>
      </c>
      <c r="M70" s="13" t="s">
        <v>520</v>
      </c>
    </row>
    <row r="71" spans="2:21" ht="15" customHeight="1" x14ac:dyDescent="0.35">
      <c r="B71" s="1" t="s">
        <v>521</v>
      </c>
      <c r="C71" s="13" t="s">
        <v>826</v>
      </c>
      <c r="D71" s="1" t="s">
        <v>84</v>
      </c>
      <c r="E71" s="1" t="s">
        <v>255</v>
      </c>
      <c r="F71" s="1" t="s">
        <v>523</v>
      </c>
      <c r="G71" s="1" t="s">
        <v>524</v>
      </c>
      <c r="M71" s="13" t="s">
        <v>525</v>
      </c>
    </row>
    <row r="72" spans="2:21" ht="15" customHeight="1" x14ac:dyDescent="0.35">
      <c r="B72" s="1" t="s">
        <v>526</v>
      </c>
      <c r="C72" s="13" t="s">
        <v>827</v>
      </c>
      <c r="D72" s="1" t="s">
        <v>157</v>
      </c>
      <c r="E72" s="1" t="s">
        <v>528</v>
      </c>
      <c r="F72" s="1" t="s">
        <v>529</v>
      </c>
      <c r="G72" s="1" t="s">
        <v>530</v>
      </c>
    </row>
    <row r="73" spans="2:21" ht="15" customHeight="1" x14ac:dyDescent="0.35">
      <c r="B73" s="1" t="s">
        <v>531</v>
      </c>
      <c r="C73" s="13" t="s">
        <v>828</v>
      </c>
      <c r="D73" s="1" t="s">
        <v>533</v>
      </c>
      <c r="E73" s="1" t="s">
        <v>534</v>
      </c>
      <c r="F73" s="1" t="s">
        <v>535</v>
      </c>
      <c r="G73" s="1" t="s">
        <v>536</v>
      </c>
    </row>
    <row r="74" spans="2:21" ht="15" customHeight="1" x14ac:dyDescent="0.35">
      <c r="B74" s="1" t="s">
        <v>537</v>
      </c>
      <c r="C74" s="13" t="s">
        <v>825</v>
      </c>
      <c r="D74" s="1" t="s">
        <v>539</v>
      </c>
      <c r="E74" s="1" t="s">
        <v>150</v>
      </c>
      <c r="F74" s="1" t="s">
        <v>244</v>
      </c>
      <c r="G74" s="1" t="s">
        <v>384</v>
      </c>
    </row>
    <row r="75" spans="2:21" ht="15" customHeight="1" x14ac:dyDescent="0.35">
      <c r="B75" s="1" t="s">
        <v>540</v>
      </c>
      <c r="C75" s="13" t="s">
        <v>823</v>
      </c>
      <c r="D75" s="1" t="s">
        <v>542</v>
      </c>
      <c r="E75" s="1" t="s">
        <v>112</v>
      </c>
      <c r="F75" s="1" t="s">
        <v>543</v>
      </c>
      <c r="G75" s="1" t="s">
        <v>544</v>
      </c>
    </row>
    <row r="76" spans="2:21" ht="15" customHeight="1" x14ac:dyDescent="0.35">
      <c r="B76" s="1" t="s">
        <v>545</v>
      </c>
      <c r="C76" s="13" t="s">
        <v>821</v>
      </c>
      <c r="E76" s="1" t="s">
        <v>451</v>
      </c>
      <c r="F76" s="1" t="s">
        <v>547</v>
      </c>
      <c r="G76" s="1" t="s">
        <v>426</v>
      </c>
    </row>
    <row r="77" spans="2:21" ht="15" customHeight="1" x14ac:dyDescent="0.35">
      <c r="C77" s="13" t="s">
        <v>822</v>
      </c>
      <c r="E77" s="1" t="s">
        <v>123</v>
      </c>
      <c r="F77" s="1" t="s">
        <v>549</v>
      </c>
      <c r="G77" s="1" t="s">
        <v>97</v>
      </c>
    </row>
    <row r="78" spans="2:21" ht="15" customHeight="1" x14ac:dyDescent="0.35">
      <c r="C78" s="13" t="s">
        <v>824</v>
      </c>
      <c r="E78" s="1" t="s">
        <v>551</v>
      </c>
      <c r="F78" s="1" t="s">
        <v>552</v>
      </c>
      <c r="G78" s="1" t="s">
        <v>120</v>
      </c>
    </row>
    <row r="79" spans="2:21" ht="15" customHeight="1" x14ac:dyDescent="0.35">
      <c r="E79" s="1" t="s">
        <v>85</v>
      </c>
      <c r="F79" s="1" t="s">
        <v>553</v>
      </c>
      <c r="G79" s="1" t="s">
        <v>108</v>
      </c>
    </row>
    <row r="80" spans="2:21" ht="15" customHeight="1" x14ac:dyDescent="0.35">
      <c r="E80" s="1" t="s">
        <v>554</v>
      </c>
      <c r="F80" s="1" t="s">
        <v>555</v>
      </c>
      <c r="G80" s="1" t="s">
        <v>556</v>
      </c>
    </row>
    <row r="81" spans="5:7" ht="15" customHeight="1" x14ac:dyDescent="0.35">
      <c r="E81" s="1" t="s">
        <v>154</v>
      </c>
      <c r="G81" s="1" t="s">
        <v>557</v>
      </c>
    </row>
    <row r="82" spans="5:7" ht="15" customHeight="1" x14ac:dyDescent="0.35">
      <c r="E82" s="1" t="s">
        <v>558</v>
      </c>
      <c r="G82" s="1" t="s">
        <v>559</v>
      </c>
    </row>
    <row r="83" spans="5:7" ht="15" customHeight="1" x14ac:dyDescent="0.35">
      <c r="E83" s="1" t="s">
        <v>560</v>
      </c>
      <c r="G83" s="1" t="s">
        <v>561</v>
      </c>
    </row>
    <row r="84" spans="5:7" ht="15" customHeight="1" x14ac:dyDescent="0.35">
      <c r="E84" s="1" t="s">
        <v>107</v>
      </c>
      <c r="G84" s="1" t="s">
        <v>562</v>
      </c>
    </row>
    <row r="85" spans="5:7" ht="15" customHeight="1" x14ac:dyDescent="0.35">
      <c r="E85" s="1" t="s">
        <v>563</v>
      </c>
      <c r="G85" s="1" t="s">
        <v>564</v>
      </c>
    </row>
    <row r="86" spans="5:7" ht="15" customHeight="1" x14ac:dyDescent="0.35">
      <c r="E86" s="1" t="s">
        <v>565</v>
      </c>
      <c r="G86" s="1" t="s">
        <v>566</v>
      </c>
    </row>
    <row r="87" spans="5:7" ht="15" customHeight="1" x14ac:dyDescent="0.35">
      <c r="E87" s="1" t="s">
        <v>567</v>
      </c>
      <c r="G87" s="1" t="s">
        <v>568</v>
      </c>
    </row>
    <row r="88" spans="5:7" ht="15" customHeight="1" x14ac:dyDescent="0.35">
      <c r="G88" s="1" t="s">
        <v>569</v>
      </c>
    </row>
    <row r="89" spans="5:7" ht="15" customHeight="1" x14ac:dyDescent="0.35">
      <c r="G89" s="1" t="s">
        <v>570</v>
      </c>
    </row>
    <row r="90" spans="5:7" ht="15" customHeight="1" x14ac:dyDescent="0.35">
      <c r="G90" s="1" t="s">
        <v>571</v>
      </c>
    </row>
    <row r="91" spans="5:7" ht="15" customHeight="1" x14ac:dyDescent="0.35">
      <c r="G91" s="1" t="s">
        <v>572</v>
      </c>
    </row>
    <row r="92" spans="5:7" ht="15" customHeight="1" x14ac:dyDescent="0.35">
      <c r="G92" s="1" t="s">
        <v>573</v>
      </c>
    </row>
    <row r="93" spans="5:7" ht="15" customHeight="1" x14ac:dyDescent="0.35">
      <c r="G93" s="1" t="s">
        <v>574</v>
      </c>
    </row>
    <row r="94" spans="5:7" ht="15" customHeight="1" x14ac:dyDescent="0.35">
      <c r="G94" s="1" t="s">
        <v>575</v>
      </c>
    </row>
    <row r="95" spans="5:7" ht="15" customHeight="1" x14ac:dyDescent="0.35">
      <c r="G95" s="1" t="s">
        <v>576</v>
      </c>
    </row>
    <row r="96" spans="5:7" ht="15" customHeight="1" x14ac:dyDescent="0.35">
      <c r="G96" s="1" t="s">
        <v>577</v>
      </c>
    </row>
    <row r="97" spans="7:7" ht="15" customHeight="1" x14ac:dyDescent="0.35">
      <c r="G97" s="1" t="s">
        <v>578</v>
      </c>
    </row>
    <row r="98" spans="7:7" ht="15" customHeight="1" x14ac:dyDescent="0.35">
      <c r="G98" s="1" t="s">
        <v>579</v>
      </c>
    </row>
    <row r="99" spans="7:7" ht="15" customHeight="1" x14ac:dyDescent="0.35">
      <c r="G99" s="1" t="s">
        <v>580</v>
      </c>
    </row>
    <row r="100" spans="7:7" ht="15" customHeight="1" x14ac:dyDescent="0.35">
      <c r="G100" s="1" t="s">
        <v>581</v>
      </c>
    </row>
    <row r="101" spans="7:7" ht="15" customHeight="1" x14ac:dyDescent="0.35">
      <c r="G101" s="1" t="s">
        <v>582</v>
      </c>
    </row>
    <row r="102" spans="7:7" ht="15" customHeight="1" x14ac:dyDescent="0.35">
      <c r="G102" s="1" t="s">
        <v>124</v>
      </c>
    </row>
    <row r="103" spans="7:7" ht="15" customHeight="1" x14ac:dyDescent="0.35">
      <c r="G103" s="1" t="s">
        <v>583</v>
      </c>
    </row>
    <row r="104" spans="7:7" ht="15" customHeight="1" x14ac:dyDescent="0.35">
      <c r="G104" s="1" t="s">
        <v>584</v>
      </c>
    </row>
    <row r="105" spans="7:7" ht="15" customHeight="1" x14ac:dyDescent="0.35">
      <c r="G105" s="1" t="s">
        <v>585</v>
      </c>
    </row>
    <row r="106" spans="7:7" ht="15" customHeight="1" x14ac:dyDescent="0.35">
      <c r="G106" s="1" t="s">
        <v>586</v>
      </c>
    </row>
    <row r="107" spans="7:7" ht="15" customHeight="1" x14ac:dyDescent="0.35">
      <c r="G107" s="1" t="s">
        <v>87</v>
      </c>
    </row>
    <row r="108" spans="7:7" ht="15" customHeight="1" x14ac:dyDescent="0.35">
      <c r="G108" s="1" t="s">
        <v>587</v>
      </c>
    </row>
    <row r="109" spans="7:7" ht="15" customHeight="1" x14ac:dyDescent="0.35">
      <c r="G109" s="1" t="s">
        <v>588</v>
      </c>
    </row>
    <row r="110" spans="7:7" ht="15" customHeight="1" x14ac:dyDescent="0.35">
      <c r="G110" s="1" t="s">
        <v>261</v>
      </c>
    </row>
    <row r="111" spans="7:7" ht="15" customHeight="1" x14ac:dyDescent="0.35">
      <c r="G111" s="1" t="s">
        <v>589</v>
      </c>
    </row>
    <row r="112" spans="7:7" ht="15" customHeight="1" x14ac:dyDescent="0.35">
      <c r="G112" s="1" t="s">
        <v>590</v>
      </c>
    </row>
    <row r="113" spans="7:7" ht="15" customHeight="1" x14ac:dyDescent="0.35">
      <c r="G113" s="1" t="s">
        <v>591</v>
      </c>
    </row>
    <row r="114" spans="7:7" ht="15" customHeight="1" x14ac:dyDescent="0.35">
      <c r="G114" s="1" t="s">
        <v>592</v>
      </c>
    </row>
    <row r="115" spans="7:7" ht="15" customHeight="1" x14ac:dyDescent="0.35">
      <c r="G115" s="1" t="s">
        <v>593</v>
      </c>
    </row>
    <row r="116" spans="7:7" ht="15" customHeight="1" x14ac:dyDescent="0.35">
      <c r="G116" s="1" t="s">
        <v>594</v>
      </c>
    </row>
    <row r="117" spans="7:7" ht="15" customHeight="1" x14ac:dyDescent="0.35">
      <c r="G117" s="1" t="s">
        <v>595</v>
      </c>
    </row>
    <row r="118" spans="7:7" ht="15" customHeight="1" x14ac:dyDescent="0.35">
      <c r="G118" s="1" t="s">
        <v>596</v>
      </c>
    </row>
    <row r="119" spans="7:7" ht="15" customHeight="1" x14ac:dyDescent="0.35">
      <c r="G119" s="1" t="s">
        <v>597</v>
      </c>
    </row>
    <row r="120" spans="7:7" ht="15" customHeight="1" x14ac:dyDescent="0.35">
      <c r="G120" s="1" t="s">
        <v>259</v>
      </c>
    </row>
    <row r="121" spans="7:7" ht="15" customHeight="1" x14ac:dyDescent="0.35">
      <c r="G121" s="1" t="s">
        <v>39</v>
      </c>
    </row>
    <row r="122" spans="7:7" ht="15" customHeight="1" x14ac:dyDescent="0.35">
      <c r="G122" s="1" t="s">
        <v>153</v>
      </c>
    </row>
    <row r="123" spans="7:7" ht="15" customHeight="1" x14ac:dyDescent="0.35">
      <c r="G123" s="1" t="s">
        <v>598</v>
      </c>
    </row>
    <row r="124" spans="7:7" ht="15" customHeight="1" x14ac:dyDescent="0.35">
      <c r="G124" s="1" t="s">
        <v>599</v>
      </c>
    </row>
    <row r="125" spans="7:7" ht="15" customHeight="1" x14ac:dyDescent="0.35">
      <c r="G125" s="1" t="s">
        <v>600</v>
      </c>
    </row>
    <row r="126" spans="7:7" ht="15" customHeight="1" x14ac:dyDescent="0.35">
      <c r="G126" s="1" t="s">
        <v>601</v>
      </c>
    </row>
    <row r="127" spans="7:7" ht="15" customHeight="1" x14ac:dyDescent="0.35">
      <c r="G127" s="1" t="s">
        <v>602</v>
      </c>
    </row>
    <row r="128" spans="7:7" ht="15" customHeight="1" x14ac:dyDescent="0.35">
      <c r="G128" s="1" t="s">
        <v>603</v>
      </c>
    </row>
  </sheetData>
  <sheetProtection formatCells="0" formatColumns="0" formatRows="0" insertColumns="0" insertRows="0" insertHyperlinks="0" deleteColumns="0" deleteRows="0" sort="0" autoFilter="0" pivotTables="0"/>
  <autoFilter ref="A13:AO13" xr:uid="{29F1F01A-C809-40FB-87B9-E571BFA038B5}"/>
  <mergeCells count="506">
    <mergeCell ref="AL26:AL27"/>
    <mergeCell ref="AM26:AM27"/>
    <mergeCell ref="AN26:AN27"/>
    <mergeCell ref="AO26:AO27"/>
    <mergeCell ref="AL28:AL29"/>
    <mergeCell ref="AM28:AM29"/>
    <mergeCell ref="AN28:AN29"/>
    <mergeCell ref="AO28:AO29"/>
    <mergeCell ref="A26:A27"/>
    <mergeCell ref="B26:B27"/>
    <mergeCell ref="C26:C27"/>
    <mergeCell ref="D26:D27"/>
    <mergeCell ref="E26:E27"/>
    <mergeCell ref="F26:F27"/>
    <mergeCell ref="G26:G27"/>
    <mergeCell ref="H26:H27"/>
    <mergeCell ref="I26:I27"/>
    <mergeCell ref="J26:J27"/>
    <mergeCell ref="K26:K27"/>
    <mergeCell ref="L26:L27"/>
    <mergeCell ref="M26:M27"/>
    <mergeCell ref="N26:N27"/>
    <mergeCell ref="O26:O27"/>
    <mergeCell ref="P26:P27"/>
    <mergeCell ref="Q26:Q27"/>
    <mergeCell ref="R26:R27"/>
    <mergeCell ref="S26:S27"/>
    <mergeCell ref="T26:T27"/>
    <mergeCell ref="AL30:AL31"/>
    <mergeCell ref="AM30:AM31"/>
    <mergeCell ref="AN30:AN31"/>
    <mergeCell ref="AO30:AO31"/>
    <mergeCell ref="A28:A29"/>
    <mergeCell ref="B28:B29"/>
    <mergeCell ref="C28:C29"/>
    <mergeCell ref="D28:D29"/>
    <mergeCell ref="E28:E29"/>
    <mergeCell ref="F28:F29"/>
    <mergeCell ref="G28:G29"/>
    <mergeCell ref="H28:H29"/>
    <mergeCell ref="I28:I29"/>
    <mergeCell ref="J28:J29"/>
    <mergeCell ref="K28:K29"/>
    <mergeCell ref="L28:L29"/>
    <mergeCell ref="M28:M29"/>
    <mergeCell ref="N28:N29"/>
    <mergeCell ref="O28:O29"/>
    <mergeCell ref="P28:P29"/>
    <mergeCell ref="Q28:Q29"/>
    <mergeCell ref="R28:R29"/>
    <mergeCell ref="S28:S29"/>
    <mergeCell ref="T28:T29"/>
    <mergeCell ref="AL32:AL33"/>
    <mergeCell ref="AM32:AM33"/>
    <mergeCell ref="AN32:AN33"/>
    <mergeCell ref="AO32:AO33"/>
    <mergeCell ref="A30:A31"/>
    <mergeCell ref="B30:B31"/>
    <mergeCell ref="C30:C31"/>
    <mergeCell ref="D30:D31"/>
    <mergeCell ref="E30:E31"/>
    <mergeCell ref="F30:F31"/>
    <mergeCell ref="G30:G31"/>
    <mergeCell ref="H30:H31"/>
    <mergeCell ref="I30:I31"/>
    <mergeCell ref="J30:J31"/>
    <mergeCell ref="K30:K31"/>
    <mergeCell ref="L30:L31"/>
    <mergeCell ref="M30:M31"/>
    <mergeCell ref="N30:N31"/>
    <mergeCell ref="O30:O31"/>
    <mergeCell ref="P30:P31"/>
    <mergeCell ref="Q30:Q31"/>
    <mergeCell ref="R30:R31"/>
    <mergeCell ref="S30:S31"/>
    <mergeCell ref="T30:T31"/>
    <mergeCell ref="AL34:AL35"/>
    <mergeCell ref="AM34:AM35"/>
    <mergeCell ref="AN34:AN35"/>
    <mergeCell ref="AO34:AO35"/>
    <mergeCell ref="A32:A33"/>
    <mergeCell ref="B32:B33"/>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Q32:Q33"/>
    <mergeCell ref="R32:R33"/>
    <mergeCell ref="S32:S33"/>
    <mergeCell ref="T32:T33"/>
    <mergeCell ref="AL36:AL37"/>
    <mergeCell ref="AM36:AM37"/>
    <mergeCell ref="AN36:AN37"/>
    <mergeCell ref="AO36:AO37"/>
    <mergeCell ref="A34:A35"/>
    <mergeCell ref="B34:B35"/>
    <mergeCell ref="C34:C35"/>
    <mergeCell ref="D34:D35"/>
    <mergeCell ref="E34:E35"/>
    <mergeCell ref="F34:F35"/>
    <mergeCell ref="G34:G35"/>
    <mergeCell ref="H34:H35"/>
    <mergeCell ref="I34:I35"/>
    <mergeCell ref="J34:J35"/>
    <mergeCell ref="K34:K35"/>
    <mergeCell ref="L34:L35"/>
    <mergeCell ref="M34:M35"/>
    <mergeCell ref="N34:N35"/>
    <mergeCell ref="O34:O35"/>
    <mergeCell ref="P34:P35"/>
    <mergeCell ref="Q34:Q35"/>
    <mergeCell ref="R34:R35"/>
    <mergeCell ref="S34:S35"/>
    <mergeCell ref="T34:T35"/>
    <mergeCell ref="AL38:AL39"/>
    <mergeCell ref="AM38:AM39"/>
    <mergeCell ref="AN38:AN39"/>
    <mergeCell ref="AO38:AO39"/>
    <mergeCell ref="A36:A37"/>
    <mergeCell ref="B36:B37"/>
    <mergeCell ref="C36:C37"/>
    <mergeCell ref="D36:D37"/>
    <mergeCell ref="E36:E37"/>
    <mergeCell ref="F36:F37"/>
    <mergeCell ref="G36:G37"/>
    <mergeCell ref="H36:H37"/>
    <mergeCell ref="I36:I37"/>
    <mergeCell ref="J36:J37"/>
    <mergeCell ref="K36:K37"/>
    <mergeCell ref="L36:L37"/>
    <mergeCell ref="M36:M37"/>
    <mergeCell ref="N36:N37"/>
    <mergeCell ref="O36:O37"/>
    <mergeCell ref="P36:P37"/>
    <mergeCell ref="Q36:Q37"/>
    <mergeCell ref="R36:R37"/>
    <mergeCell ref="S36:S37"/>
    <mergeCell ref="T36:T37"/>
    <mergeCell ref="AL40:AL41"/>
    <mergeCell ref="AM40:AM41"/>
    <mergeCell ref="AN40:AN41"/>
    <mergeCell ref="AO40:AO41"/>
    <mergeCell ref="A38:A39"/>
    <mergeCell ref="B38:B39"/>
    <mergeCell ref="C38:C39"/>
    <mergeCell ref="D38:D39"/>
    <mergeCell ref="E38:E39"/>
    <mergeCell ref="F38:F39"/>
    <mergeCell ref="G38:G39"/>
    <mergeCell ref="H38:H39"/>
    <mergeCell ref="I38:I39"/>
    <mergeCell ref="J38:J39"/>
    <mergeCell ref="K38:K39"/>
    <mergeCell ref="L38:L39"/>
    <mergeCell ref="M38:M39"/>
    <mergeCell ref="N38:N39"/>
    <mergeCell ref="O38:O39"/>
    <mergeCell ref="P38:P39"/>
    <mergeCell ref="Q38:Q39"/>
    <mergeCell ref="R38:R39"/>
    <mergeCell ref="S38:S39"/>
    <mergeCell ref="T38:T39"/>
    <mergeCell ref="AL42:AL43"/>
    <mergeCell ref="AM42:AM43"/>
    <mergeCell ref="AN42:AN43"/>
    <mergeCell ref="AO42:AO43"/>
    <mergeCell ref="A40:A41"/>
    <mergeCell ref="B40:B41"/>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Q40:Q41"/>
    <mergeCell ref="R40:R41"/>
    <mergeCell ref="S40:S41"/>
    <mergeCell ref="T40:T41"/>
    <mergeCell ref="J42:J43"/>
    <mergeCell ref="K42:K43"/>
    <mergeCell ref="L42:L43"/>
    <mergeCell ref="M42:M43"/>
    <mergeCell ref="N42:N43"/>
    <mergeCell ref="O42:O43"/>
    <mergeCell ref="P42:P43"/>
    <mergeCell ref="Q42:Q43"/>
    <mergeCell ref="R42:R43"/>
    <mergeCell ref="P46:P47"/>
    <mergeCell ref="L46:L47"/>
    <mergeCell ref="K46:K47"/>
    <mergeCell ref="H46:H47"/>
    <mergeCell ref="J46:J47"/>
    <mergeCell ref="I46:I47"/>
    <mergeCell ref="A46:A47"/>
    <mergeCell ref="A42:A43"/>
    <mergeCell ref="B42:B43"/>
    <mergeCell ref="C42:C43"/>
    <mergeCell ref="D42:D43"/>
    <mergeCell ref="E42:E43"/>
    <mergeCell ref="F42:F43"/>
    <mergeCell ref="G42:G43"/>
    <mergeCell ref="H42:H43"/>
    <mergeCell ref="G46:G47"/>
    <mergeCell ref="F46:F47"/>
    <mergeCell ref="E46:E47"/>
    <mergeCell ref="D46:D47"/>
    <mergeCell ref="C46:C47"/>
    <mergeCell ref="B46:B47"/>
    <mergeCell ref="A44:A45"/>
    <mergeCell ref="B44:B45"/>
    <mergeCell ref="C44:C45"/>
    <mergeCell ref="U46:U47"/>
    <mergeCell ref="T22:T23"/>
    <mergeCell ref="U22:U23"/>
    <mergeCell ref="P24:P25"/>
    <mergeCell ref="Q24:Q25"/>
    <mergeCell ref="R24:R25"/>
    <mergeCell ref="S24:S25"/>
    <mergeCell ref="T24:T25"/>
    <mergeCell ref="U24:U25"/>
    <mergeCell ref="S42:S43"/>
    <mergeCell ref="T42:T43"/>
    <mergeCell ref="U42:U43"/>
    <mergeCell ref="U40:U41"/>
    <mergeCell ref="U38:U39"/>
    <mergeCell ref="U36:U37"/>
    <mergeCell ref="U34:U35"/>
    <mergeCell ref="U32:U33"/>
    <mergeCell ref="U30:U31"/>
    <mergeCell ref="U28:U29"/>
    <mergeCell ref="U26:U27"/>
    <mergeCell ref="T46:T47"/>
    <mergeCell ref="S46:S47"/>
    <mergeCell ref="R46:R47"/>
    <mergeCell ref="Q46:Q47"/>
    <mergeCell ref="S16:S17"/>
    <mergeCell ref="T16:T17"/>
    <mergeCell ref="U16:U17"/>
    <mergeCell ref="S6:T10"/>
    <mergeCell ref="U6:W10"/>
    <mergeCell ref="T18:T19"/>
    <mergeCell ref="U18:U19"/>
    <mergeCell ref="P20:P21"/>
    <mergeCell ref="Q20:Q21"/>
    <mergeCell ref="U20:U21"/>
    <mergeCell ref="AO46:AO47"/>
    <mergeCell ref="P12:P13"/>
    <mergeCell ref="Q12:Q13"/>
    <mergeCell ref="R12:R13"/>
    <mergeCell ref="S12:S13"/>
    <mergeCell ref="T12:T13"/>
    <mergeCell ref="U12:U13"/>
    <mergeCell ref="P14:P15"/>
    <mergeCell ref="M46:M47"/>
    <mergeCell ref="N46:N47"/>
    <mergeCell ref="O46:O47"/>
    <mergeCell ref="AL46:AL47"/>
    <mergeCell ref="AM46:AM47"/>
    <mergeCell ref="AN46:AN47"/>
    <mergeCell ref="AN44:AN45"/>
    <mergeCell ref="AO44:AO45"/>
    <mergeCell ref="AN24:AN25"/>
    <mergeCell ref="AO24:AO25"/>
    <mergeCell ref="AN22:AN23"/>
    <mergeCell ref="AO22:AO23"/>
    <mergeCell ref="AN20:AN21"/>
    <mergeCell ref="AO20:AO21"/>
    <mergeCell ref="AN18:AN19"/>
    <mergeCell ref="AO18:AO19"/>
    <mergeCell ref="H62:I62"/>
    <mergeCell ref="H63:I63"/>
    <mergeCell ref="H64:I64"/>
    <mergeCell ref="I55:J55"/>
    <mergeCell ref="I56:J56"/>
    <mergeCell ref="I57:J57"/>
    <mergeCell ref="I58:J58"/>
    <mergeCell ref="I59:J59"/>
    <mergeCell ref="I60:J60"/>
    <mergeCell ref="D48:E48"/>
    <mergeCell ref="H51:H54"/>
    <mergeCell ref="H48:H49"/>
    <mergeCell ref="O24:O25"/>
    <mergeCell ref="AL24:AL25"/>
    <mergeCell ref="AM24:AM25"/>
    <mergeCell ref="M24:M25"/>
    <mergeCell ref="N24:N25"/>
    <mergeCell ref="L44:L45"/>
    <mergeCell ref="M44:M45"/>
    <mergeCell ref="N44:N45"/>
    <mergeCell ref="O44:O45"/>
    <mergeCell ref="AL44:AL45"/>
    <mergeCell ref="AM44:AM45"/>
    <mergeCell ref="P44:P45"/>
    <mergeCell ref="Q44:Q45"/>
    <mergeCell ref="R44:R45"/>
    <mergeCell ref="S44:S45"/>
    <mergeCell ref="T44:T45"/>
    <mergeCell ref="U44:U45"/>
    <mergeCell ref="D44:D45"/>
    <mergeCell ref="E44:E45"/>
    <mergeCell ref="I24:I25"/>
    <mergeCell ref="J24:J25"/>
    <mergeCell ref="L24:L25"/>
    <mergeCell ref="A24:A25"/>
    <mergeCell ref="B24:B25"/>
    <mergeCell ref="C24:C25"/>
    <mergeCell ref="D24:D25"/>
    <mergeCell ref="E24:E25"/>
    <mergeCell ref="F24:F25"/>
    <mergeCell ref="G24:G25"/>
    <mergeCell ref="H24:H25"/>
    <mergeCell ref="I44:I45"/>
    <mergeCell ref="J44:J45"/>
    <mergeCell ref="K44:K45"/>
    <mergeCell ref="I42:I43"/>
    <mergeCell ref="F22:F23"/>
    <mergeCell ref="G22:G23"/>
    <mergeCell ref="H22:H23"/>
    <mergeCell ref="I22:I23"/>
    <mergeCell ref="J22:J23"/>
    <mergeCell ref="K22:K23"/>
    <mergeCell ref="K24:K25"/>
    <mergeCell ref="F44:F45"/>
    <mergeCell ref="G44:G45"/>
    <mergeCell ref="H44:H45"/>
    <mergeCell ref="O20:O21"/>
    <mergeCell ref="AL20:AL21"/>
    <mergeCell ref="AM20:AM21"/>
    <mergeCell ref="M20:M21"/>
    <mergeCell ref="N20:N21"/>
    <mergeCell ref="L22:L23"/>
    <mergeCell ref="M22:M23"/>
    <mergeCell ref="N22:N23"/>
    <mergeCell ref="O22:O23"/>
    <mergeCell ref="AL22:AL23"/>
    <mergeCell ref="AM22:AM23"/>
    <mergeCell ref="P22:P23"/>
    <mergeCell ref="Q22:Q23"/>
    <mergeCell ref="R22:R23"/>
    <mergeCell ref="S22:S23"/>
    <mergeCell ref="R20:R21"/>
    <mergeCell ref="S20:S21"/>
    <mergeCell ref="T20:T21"/>
    <mergeCell ref="O18:O19"/>
    <mergeCell ref="AL18:AL19"/>
    <mergeCell ref="AM18:AM19"/>
    <mergeCell ref="P18:P19"/>
    <mergeCell ref="Q18:Q19"/>
    <mergeCell ref="R18:R19"/>
    <mergeCell ref="S18:S19"/>
    <mergeCell ref="A22:A23"/>
    <mergeCell ref="B22:B23"/>
    <mergeCell ref="C22:C23"/>
    <mergeCell ref="D22:D23"/>
    <mergeCell ref="E22:E23"/>
    <mergeCell ref="I20:I21"/>
    <mergeCell ref="J20:J21"/>
    <mergeCell ref="K20:K21"/>
    <mergeCell ref="L20:L21"/>
    <mergeCell ref="A20:A21"/>
    <mergeCell ref="B20:B21"/>
    <mergeCell ref="C20:C21"/>
    <mergeCell ref="D20:D21"/>
    <mergeCell ref="E20:E21"/>
    <mergeCell ref="F20:F21"/>
    <mergeCell ref="G20:G21"/>
    <mergeCell ref="H20:H21"/>
    <mergeCell ref="AO16:AO17"/>
    <mergeCell ref="A18:A19"/>
    <mergeCell ref="B18:B19"/>
    <mergeCell ref="C18:C19"/>
    <mergeCell ref="D18:D19"/>
    <mergeCell ref="E18:E19"/>
    <mergeCell ref="I16:I17"/>
    <mergeCell ref="J16:J17"/>
    <mergeCell ref="K16:K17"/>
    <mergeCell ref="L16:L17"/>
    <mergeCell ref="M16:M17"/>
    <mergeCell ref="N16:N17"/>
    <mergeCell ref="F18:F19"/>
    <mergeCell ref="G18:G19"/>
    <mergeCell ref="H18:H19"/>
    <mergeCell ref="I18:I19"/>
    <mergeCell ref="J18:J19"/>
    <mergeCell ref="K18:K19"/>
    <mergeCell ref="O16:O17"/>
    <mergeCell ref="AL16:AL17"/>
    <mergeCell ref="AM16:AM17"/>
    <mergeCell ref="L18:L19"/>
    <mergeCell ref="M18:M19"/>
    <mergeCell ref="N18:N19"/>
    <mergeCell ref="AB12:AB13"/>
    <mergeCell ref="AC12:AC13"/>
    <mergeCell ref="AD12:AD13"/>
    <mergeCell ref="A16:A17"/>
    <mergeCell ref="B16:B17"/>
    <mergeCell ref="C16:C17"/>
    <mergeCell ref="D16:D17"/>
    <mergeCell ref="E16:E17"/>
    <mergeCell ref="F16:F17"/>
    <mergeCell ref="G16:G17"/>
    <mergeCell ref="H16:H17"/>
    <mergeCell ref="L14:L15"/>
    <mergeCell ref="F14:F15"/>
    <mergeCell ref="G14:G15"/>
    <mergeCell ref="H14:H15"/>
    <mergeCell ref="I14:I15"/>
    <mergeCell ref="A14:A15"/>
    <mergeCell ref="B14:B15"/>
    <mergeCell ref="C14:C15"/>
    <mergeCell ref="D14:D15"/>
    <mergeCell ref="E14:E15"/>
    <mergeCell ref="P16:P17"/>
    <mergeCell ref="Q16:Q17"/>
    <mergeCell ref="R16:R17"/>
    <mergeCell ref="M14:M15"/>
    <mergeCell ref="N14:N15"/>
    <mergeCell ref="O14:O15"/>
    <mergeCell ref="Q14:Q15"/>
    <mergeCell ref="R14:R15"/>
    <mergeCell ref="S14:S15"/>
    <mergeCell ref="T14:T15"/>
    <mergeCell ref="U14:U15"/>
    <mergeCell ref="A12:A13"/>
    <mergeCell ref="B12:B13"/>
    <mergeCell ref="C12:C13"/>
    <mergeCell ref="D12:D13"/>
    <mergeCell ref="E12:E13"/>
    <mergeCell ref="F12:F13"/>
    <mergeCell ref="A11:F11"/>
    <mergeCell ref="V11:AK11"/>
    <mergeCell ref="M12:M13"/>
    <mergeCell ref="N12:N13"/>
    <mergeCell ref="O12:O13"/>
    <mergeCell ref="V12:V13"/>
    <mergeCell ref="W12:W13"/>
    <mergeCell ref="X12:X13"/>
    <mergeCell ref="G12:G13"/>
    <mergeCell ref="H12:H13"/>
    <mergeCell ref="I12:I13"/>
    <mergeCell ref="J12:J13"/>
    <mergeCell ref="K12:K13"/>
    <mergeCell ref="L12:L13"/>
    <mergeCell ref="AK12:AK13"/>
    <mergeCell ref="AI12:AI13"/>
    <mergeCell ref="AJ12:AJ13"/>
    <mergeCell ref="AE12:AE13"/>
    <mergeCell ref="AF12:AF13"/>
    <mergeCell ref="AG12:AG13"/>
    <mergeCell ref="AH12:AH13"/>
    <mergeCell ref="Y12:Y13"/>
    <mergeCell ref="Z12:Z13"/>
    <mergeCell ref="AA12:AA13"/>
    <mergeCell ref="A1:C3"/>
    <mergeCell ref="D1:AO3"/>
    <mergeCell ref="A4:A5"/>
    <mergeCell ref="G4:G5"/>
    <mergeCell ref="A6:B10"/>
    <mergeCell ref="C6:D10"/>
    <mergeCell ref="E6:F10"/>
    <mergeCell ref="G6:G10"/>
    <mergeCell ref="H6:I10"/>
    <mergeCell ref="X6:AO10"/>
    <mergeCell ref="J6:J10"/>
    <mergeCell ref="B67:B68"/>
    <mergeCell ref="C67:C68"/>
    <mergeCell ref="D67:D68"/>
    <mergeCell ref="E67:E68"/>
    <mergeCell ref="F67:F68"/>
    <mergeCell ref="G67:G68"/>
    <mergeCell ref="M67:M68"/>
    <mergeCell ref="AL11:AO11"/>
    <mergeCell ref="P6:R10"/>
    <mergeCell ref="K6:L10"/>
    <mergeCell ref="M6:M10"/>
    <mergeCell ref="N6:O10"/>
    <mergeCell ref="G11:U11"/>
    <mergeCell ref="J14:J15"/>
    <mergeCell ref="K14:K15"/>
    <mergeCell ref="AL12:AL13"/>
    <mergeCell ref="AM12:AM13"/>
    <mergeCell ref="AN12:AN13"/>
    <mergeCell ref="AO12:AO13"/>
    <mergeCell ref="AN14:AN15"/>
    <mergeCell ref="AO14:AO15"/>
    <mergeCell ref="AL14:AL15"/>
    <mergeCell ref="AM14:AM15"/>
    <mergeCell ref="AN16:AN17"/>
  </mergeCells>
  <conditionalFormatting sqref="I4">
    <cfRule type="cellIs" dxfId="95" priority="16" operator="lessThanOrEqual">
      <formula>$C$4</formula>
    </cfRule>
  </conditionalFormatting>
  <conditionalFormatting sqref="J6">
    <cfRule type="cellIs" dxfId="94" priority="17" operator="greaterThanOrEqual">
      <formula>$C$5</formula>
    </cfRule>
    <cfRule type="cellIs" dxfId="93" priority="18" operator="lessThanOrEqual">
      <formula>$C$4</formula>
    </cfRule>
    <cfRule type="cellIs" dxfId="92" priority="19" operator="between">
      <formula>$C$5</formula>
      <formula>$C$4</formula>
    </cfRule>
  </conditionalFormatting>
  <conditionalFormatting sqref="P6">
    <cfRule type="cellIs" dxfId="91" priority="13" operator="greaterThanOrEqual">
      <formula>$I$5</formula>
    </cfRule>
    <cfRule type="cellIs" dxfId="90" priority="14" operator="lessThanOrEqual">
      <formula>$I$4</formula>
    </cfRule>
    <cfRule type="cellIs" dxfId="89" priority="15" operator="between">
      <formula>$I$5</formula>
      <formula>$I$4</formula>
    </cfRule>
  </conditionalFormatting>
  <conditionalFormatting sqref="U6">
    <cfRule type="cellIs" dxfId="88" priority="7" operator="greaterThanOrEqual">
      <formula>$I$5</formula>
    </cfRule>
    <cfRule type="cellIs" dxfId="87" priority="8" operator="lessThanOrEqual">
      <formula>$I$4</formula>
    </cfRule>
    <cfRule type="cellIs" dxfId="86" priority="9" operator="between">
      <formula>$I$5</formula>
      <formula>$I$4</formula>
    </cfRule>
  </conditionalFormatting>
  <conditionalFormatting sqref="X14:X47">
    <cfRule type="cellIs" dxfId="85" priority="10" operator="greaterThanOrEqual">
      <formula>$C$5</formula>
    </cfRule>
    <cfRule type="cellIs" dxfId="84" priority="11" operator="lessThanOrEqual">
      <formula>$C$4</formula>
    </cfRule>
    <cfRule type="cellIs" dxfId="83" priority="12" operator="between">
      <formula>$C$5</formula>
      <formula>$C$4</formula>
    </cfRule>
  </conditionalFormatting>
  <conditionalFormatting sqref="Z55:Z58 AD55:AD58 V55:V60 AH55:AH60 K56:U56 W56:Y56 AA56:AC56 AE56:AG56 AI56:AK56 J64">
    <cfRule type="cellIs" dxfId="82" priority="20" operator="greaterThanOrEqual">
      <formula>$D$9</formula>
    </cfRule>
    <cfRule type="cellIs" dxfId="81" priority="21" operator="lessThanOrEqual">
      <formula>$C$6</formula>
    </cfRule>
    <cfRule type="cellIs" dxfId="80" priority="22" operator="between">
      <formula>$C$6</formula>
      <formula>$D$9</formula>
    </cfRule>
  </conditionalFormatting>
  <dataValidations xWindow="1493" yWindow="747" count="8">
    <dataValidation type="decimal" allowBlank="1" showInputMessage="1" showErrorMessage="1" prompt="valor porcentual de la activida - Indique el peso porcentual de la actividad dentro del proyecto" sqref="W14 W22 W18 W16 W20 W44 W24 W46 W42 W40 W38 W36 W34 W32 W30 W28 W26" xr:uid="{B9304C16-77DA-4127-BC59-6191F8ED3579}">
      <formula1>0</formula1>
      <formula2>1</formula2>
    </dataValidation>
    <dataValidation type="decimal" allowBlank="1" showInputMessage="1" showErrorMessage="1" prompt="campo calculado  - indica el % de avance  que aporta la activadad a todo el proyecto" sqref="W23 W21 W19 W15 W17 W45 W47 W43 W41 W39 W37 W35 W33 W31 W29 W25 W27" xr:uid="{52304C28-041D-491F-82DC-6DAF366126DB}">
      <formula1>0</formula1>
      <formula2>1</formula2>
    </dataValidation>
    <dataValidation type="decimal" allowBlank="1" showInputMessage="1" showErrorMessage="1" prompt="% de avance en la actividad - indique el % programado de avance durante esta semana_x000a_" sqref="Y14:AA23 AB14:AK47 Y25:AA47" xr:uid="{CE2FFFDA-F91D-4E14-8947-4ED249C62EA2}">
      <formula1>0</formula1>
      <formula2>1</formula2>
    </dataValidation>
    <dataValidation allowBlank="1" showErrorMessage="1" sqref="X14:X47" xr:uid="{63CB21F1-C858-4BE2-9278-FC48220247D7}"/>
    <dataValidation type="list" allowBlank="1" showInputMessage="1" showErrorMessage="1" sqref="E14:E47" xr:uid="{18006E0B-9FEE-43B3-8010-B415BE819CD4}">
      <formula1>$E$68:$E$86</formula1>
    </dataValidation>
    <dataValidation type="list" allowBlank="1" showInputMessage="1" showErrorMessage="1" sqref="D14:D47" xr:uid="{E3967445-D384-425F-B5E0-EF74CAD0636B}">
      <formula1>$D$68:$D$74</formula1>
    </dataValidation>
    <dataValidation type="list" allowBlank="1" showInputMessage="1" showErrorMessage="1" sqref="C14:C47" xr:uid="{B1277CF1-A501-4F9C-B0B5-4A0748CC0DCD}">
      <formula1>$C$68:$C$77</formula1>
    </dataValidation>
    <dataValidation type="list" allowBlank="1" showInputMessage="1" showErrorMessage="1" sqref="B14:B47" xr:uid="{3B989DBF-7185-4136-A448-9C63109DC843}">
      <formula1>$B$68:$B$75</formula1>
    </dataValidation>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97E4-155D-458B-9E28-78AED7DA54BC}">
  <dimension ref="A1:AO94"/>
  <sheetViews>
    <sheetView view="pageBreakPreview" zoomScale="50" zoomScaleNormal="60" zoomScaleSheetLayoutView="50" workbookViewId="0">
      <selection activeCell="C14" sqref="C14:C31"/>
    </sheetView>
  </sheetViews>
  <sheetFormatPr baseColWidth="10" defaultColWidth="11.453125" defaultRowHeight="14.5" x14ac:dyDescent="0.35"/>
  <cols>
    <col min="1" max="1" width="8.6328125" style="68" customWidth="1"/>
    <col min="2" max="15" width="30.453125" style="68" customWidth="1"/>
    <col min="16" max="18" width="17.7265625" style="68" hidden="1" customWidth="1"/>
    <col min="19" max="31" width="0" style="68" hidden="1" customWidth="1"/>
    <col min="32" max="35" width="38.7265625" style="68" hidden="1" customWidth="1"/>
    <col min="36" max="41" width="0" style="68" hidden="1" customWidth="1"/>
    <col min="42" max="16384" width="11.453125" style="68"/>
  </cols>
  <sheetData>
    <row r="1" spans="1:41" s="56" customFormat="1" ht="15" customHeight="1" x14ac:dyDescent="0.35">
      <c r="A1" s="407"/>
      <c r="B1" s="408"/>
      <c r="C1" s="409"/>
      <c r="D1" s="681" t="s">
        <v>814</v>
      </c>
      <c r="E1" s="682"/>
      <c r="F1" s="682"/>
      <c r="G1" s="682"/>
      <c r="H1" s="682"/>
      <c r="I1" s="682"/>
      <c r="J1" s="682"/>
      <c r="K1" s="682"/>
      <c r="L1" s="682"/>
      <c r="M1" s="682"/>
      <c r="N1" s="682"/>
      <c r="O1" s="682"/>
      <c r="P1" s="682"/>
      <c r="Q1" s="682"/>
      <c r="R1" s="682"/>
      <c r="S1" s="682"/>
      <c r="T1" s="682"/>
      <c r="U1" s="682"/>
      <c r="V1" s="682"/>
      <c r="W1" s="682"/>
      <c r="X1" s="682"/>
      <c r="Y1" s="682"/>
      <c r="Z1" s="682"/>
      <c r="AA1" s="682"/>
      <c r="AB1" s="682"/>
      <c r="AC1" s="682"/>
      <c r="AD1" s="682"/>
      <c r="AE1" s="682"/>
      <c r="AF1" s="682"/>
      <c r="AG1" s="682"/>
      <c r="AH1" s="682"/>
      <c r="AI1" s="683"/>
      <c r="AJ1" s="142"/>
      <c r="AK1" s="142"/>
      <c r="AL1" s="142"/>
      <c r="AM1" s="142"/>
      <c r="AN1" s="142"/>
      <c r="AO1" s="142"/>
    </row>
    <row r="2" spans="1:41" s="56" customFormat="1" ht="20.149999999999999" customHeight="1" x14ac:dyDescent="0.35">
      <c r="A2" s="410"/>
      <c r="B2" s="411"/>
      <c r="C2" s="412"/>
      <c r="D2" s="577"/>
      <c r="E2" s="578"/>
      <c r="F2" s="578"/>
      <c r="G2" s="578"/>
      <c r="H2" s="578"/>
      <c r="I2" s="578"/>
      <c r="J2" s="578"/>
      <c r="K2" s="578"/>
      <c r="L2" s="578"/>
      <c r="M2" s="578"/>
      <c r="N2" s="578"/>
      <c r="O2" s="578"/>
      <c r="P2" s="578"/>
      <c r="Q2" s="578"/>
      <c r="R2" s="578"/>
      <c r="S2" s="578"/>
      <c r="T2" s="578"/>
      <c r="U2" s="578"/>
      <c r="V2" s="578"/>
      <c r="W2" s="578"/>
      <c r="X2" s="578"/>
      <c r="Y2" s="578"/>
      <c r="Z2" s="578"/>
      <c r="AA2" s="578"/>
      <c r="AB2" s="578"/>
      <c r="AC2" s="578"/>
      <c r="AD2" s="578"/>
      <c r="AE2" s="578"/>
      <c r="AF2" s="578"/>
      <c r="AG2" s="578"/>
      <c r="AH2" s="578"/>
      <c r="AI2" s="684"/>
      <c r="AJ2" s="142"/>
      <c r="AK2" s="142"/>
      <c r="AL2" s="142"/>
      <c r="AM2" s="142"/>
      <c r="AN2" s="142"/>
      <c r="AO2" s="142"/>
    </row>
    <row r="3" spans="1:41" s="56" customFormat="1" ht="60" customHeight="1" thickBot="1" x14ac:dyDescent="0.4">
      <c r="A3" s="413"/>
      <c r="B3" s="414"/>
      <c r="C3" s="415"/>
      <c r="D3" s="685"/>
      <c r="E3" s="686"/>
      <c r="F3" s="686"/>
      <c r="G3" s="686"/>
      <c r="H3" s="686"/>
      <c r="I3" s="686"/>
      <c r="J3" s="686"/>
      <c r="K3" s="686"/>
      <c r="L3" s="686"/>
      <c r="M3" s="686"/>
      <c r="N3" s="686"/>
      <c r="O3" s="686"/>
      <c r="P3" s="686"/>
      <c r="Q3" s="686"/>
      <c r="R3" s="686"/>
      <c r="S3" s="686"/>
      <c r="T3" s="686"/>
      <c r="U3" s="686"/>
      <c r="V3" s="686"/>
      <c r="W3" s="686"/>
      <c r="X3" s="686"/>
      <c r="Y3" s="686"/>
      <c r="Z3" s="686"/>
      <c r="AA3" s="686"/>
      <c r="AB3" s="686"/>
      <c r="AC3" s="686"/>
      <c r="AD3" s="686"/>
      <c r="AE3" s="686"/>
      <c r="AF3" s="686"/>
      <c r="AG3" s="686"/>
      <c r="AH3" s="686"/>
      <c r="AI3" s="687"/>
      <c r="AJ3" s="142"/>
      <c r="AK3" s="142"/>
      <c r="AL3" s="142"/>
      <c r="AM3" s="142"/>
      <c r="AN3" s="142"/>
      <c r="AO3" s="142"/>
    </row>
    <row r="4" spans="1:41" s="56" customFormat="1" ht="60" hidden="1" customHeight="1" thickBot="1" x14ac:dyDescent="0.4">
      <c r="A4" s="405" t="s">
        <v>34</v>
      </c>
      <c r="B4" s="8" t="s">
        <v>35</v>
      </c>
      <c r="C4" s="10">
        <v>0.7</v>
      </c>
      <c r="D4" s="10"/>
      <c r="E4" s="10"/>
      <c r="F4" s="405" t="s">
        <v>36</v>
      </c>
      <c r="G4" s="8" t="s">
        <v>35</v>
      </c>
      <c r="H4" s="10">
        <v>0.7</v>
      </c>
      <c r="I4" s="57"/>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row>
    <row r="5" spans="1:41" s="56" customFormat="1" ht="60" hidden="1" customHeight="1" thickBot="1" x14ac:dyDescent="0.4">
      <c r="A5" s="405"/>
      <c r="B5" s="8" t="s">
        <v>37</v>
      </c>
      <c r="C5" s="11">
        <v>0.9</v>
      </c>
      <c r="D5" s="11"/>
      <c r="E5" s="11"/>
      <c r="F5" s="405"/>
      <c r="G5" s="8" t="s">
        <v>37</v>
      </c>
      <c r="H5" s="11">
        <v>0.95</v>
      </c>
      <c r="I5" s="57"/>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row>
    <row r="6" spans="1:41" s="1" customFormat="1" ht="15.65" hidden="1" customHeight="1" thickBot="1" x14ac:dyDescent="0.4">
      <c r="A6" s="548" t="s">
        <v>38</v>
      </c>
      <c r="B6" s="548"/>
      <c r="C6" s="513" t="s">
        <v>120</v>
      </c>
      <c r="D6" s="513"/>
      <c r="E6" s="549" t="s">
        <v>40</v>
      </c>
      <c r="F6" s="515" t="e">
        <f>+Q15+Q17+Q19+Q21+Q23+Q31+#REF!+#REF!+#REF!+#REF!+#REF!+#REF!+#REF!</f>
        <v>#REF!</v>
      </c>
      <c r="G6" s="549" t="s">
        <v>41</v>
      </c>
      <c r="H6" s="549"/>
      <c r="I6" s="601" t="e">
        <f>+Q14+Q16+Q18+Q20+Q22+Q30+#REF!+#REF!+#REF!+#REF!+#REF!+#REF!+#REF!</f>
        <v>#REF!</v>
      </c>
      <c r="J6" s="554" t="s">
        <v>42</v>
      </c>
      <c r="K6" s="555"/>
      <c r="L6" s="443">
        <v>0.95</v>
      </c>
      <c r="M6" s="548" t="s">
        <v>158</v>
      </c>
      <c r="N6" s="548"/>
      <c r="O6" s="428" t="e">
        <f>(SUM(S14:Y14,S16:Y16,S18:Y18,S20:Y20,S22:Y22,S30:Y30,#REF!,#REF!,#REF!,#REF!,#REF!,#REF!,#REF!)/SUM(Y15,Y17,Y19,Y21,Y23,Y31,#REF!,#REF!,#REF!,#REF!,#REF!,#REF!,#REF!))/L6</f>
        <v>#REF!</v>
      </c>
      <c r="P6" s="429"/>
      <c r="Q6" s="430"/>
      <c r="R6" s="586" t="s">
        <v>159</v>
      </c>
      <c r="S6" s="587"/>
      <c r="T6" s="587"/>
      <c r="U6" s="587"/>
      <c r="V6" s="432" t="e">
        <f>SUM(AE14,AE16,AE18,AE20,AE22,AE30,#REF!,#REF!,#REF!,#REF!,#REF!,#REF!,#REF!)/SUM(AE15,AE17,AE19,AE21,AE23,AE31,#REF!,#REF!,#REF!,#REF!,#REF!,#REF!)</f>
        <v>#REF!</v>
      </c>
      <c r="W6" s="432"/>
      <c r="X6" s="432"/>
      <c r="Y6" s="432"/>
      <c r="Z6" s="432"/>
      <c r="AA6" s="432"/>
      <c r="AB6" s="643"/>
      <c r="AC6" s="643"/>
      <c r="AD6" s="643"/>
      <c r="AE6" s="643"/>
      <c r="AF6" s="643"/>
      <c r="AG6" s="643"/>
      <c r="AH6" s="643"/>
      <c r="AI6" s="688"/>
      <c r="AJ6" s="142"/>
      <c r="AK6" s="142"/>
      <c r="AL6" s="142"/>
      <c r="AM6" s="142"/>
      <c r="AN6" s="142"/>
    </row>
    <row r="7" spans="1:41" s="1" customFormat="1" ht="15.65" hidden="1" customHeight="1" thickBot="1" x14ac:dyDescent="0.4">
      <c r="A7" s="548"/>
      <c r="B7" s="548"/>
      <c r="C7" s="513"/>
      <c r="D7" s="513"/>
      <c r="E7" s="549"/>
      <c r="F7" s="516"/>
      <c r="G7" s="549"/>
      <c r="H7" s="549"/>
      <c r="I7" s="602"/>
      <c r="J7" s="556"/>
      <c r="K7" s="557"/>
      <c r="L7" s="444"/>
      <c r="M7" s="548"/>
      <c r="N7" s="548"/>
      <c r="O7" s="431"/>
      <c r="P7" s="432"/>
      <c r="Q7" s="433"/>
      <c r="R7" s="586"/>
      <c r="S7" s="587"/>
      <c r="T7" s="587"/>
      <c r="U7" s="587"/>
      <c r="V7" s="432"/>
      <c r="W7" s="432"/>
      <c r="X7" s="432"/>
      <c r="Y7" s="432"/>
      <c r="Z7" s="432"/>
      <c r="AA7" s="432"/>
      <c r="AB7" s="643"/>
      <c r="AC7" s="643"/>
      <c r="AD7" s="643"/>
      <c r="AE7" s="643"/>
      <c r="AF7" s="643"/>
      <c r="AG7" s="643"/>
      <c r="AH7" s="643"/>
      <c r="AI7" s="688"/>
      <c r="AJ7" s="142"/>
      <c r="AK7" s="142"/>
      <c r="AL7" s="142"/>
      <c r="AM7" s="142"/>
      <c r="AN7" s="142"/>
      <c r="AO7" s="142"/>
    </row>
    <row r="8" spans="1:41" s="1" customFormat="1" ht="15.65" hidden="1" customHeight="1" thickBot="1" x14ac:dyDescent="0.4">
      <c r="A8" s="548"/>
      <c r="B8" s="548"/>
      <c r="C8" s="513"/>
      <c r="D8" s="513"/>
      <c r="E8" s="549"/>
      <c r="F8" s="516"/>
      <c r="G8" s="549"/>
      <c r="H8" s="549"/>
      <c r="I8" s="602"/>
      <c r="J8" s="556"/>
      <c r="K8" s="557"/>
      <c r="L8" s="444"/>
      <c r="M8" s="548"/>
      <c r="N8" s="548"/>
      <c r="O8" s="431"/>
      <c r="P8" s="432"/>
      <c r="Q8" s="433"/>
      <c r="R8" s="586"/>
      <c r="S8" s="587"/>
      <c r="T8" s="587"/>
      <c r="U8" s="587"/>
      <c r="V8" s="432"/>
      <c r="W8" s="432"/>
      <c r="X8" s="432"/>
      <c r="Y8" s="432"/>
      <c r="Z8" s="432"/>
      <c r="AA8" s="432"/>
      <c r="AB8" s="643"/>
      <c r="AC8" s="643"/>
      <c r="AD8" s="643"/>
      <c r="AE8" s="643"/>
      <c r="AF8" s="643"/>
      <c r="AG8" s="643"/>
      <c r="AH8" s="643"/>
      <c r="AI8" s="688"/>
      <c r="AJ8" s="142"/>
      <c r="AK8" s="142"/>
      <c r="AL8" s="142"/>
      <c r="AM8" s="142"/>
      <c r="AN8" s="142"/>
      <c r="AO8" s="142"/>
    </row>
    <row r="9" spans="1:41" s="1" customFormat="1" ht="15.65" hidden="1" customHeight="1" thickBot="1" x14ac:dyDescent="0.4">
      <c r="A9" s="548"/>
      <c r="B9" s="548"/>
      <c r="C9" s="513"/>
      <c r="D9" s="513"/>
      <c r="E9" s="549"/>
      <c r="F9" s="516"/>
      <c r="G9" s="549"/>
      <c r="H9" s="549"/>
      <c r="I9" s="602"/>
      <c r="J9" s="556"/>
      <c r="K9" s="557"/>
      <c r="L9" s="444"/>
      <c r="M9" s="548"/>
      <c r="N9" s="548"/>
      <c r="O9" s="431"/>
      <c r="P9" s="432"/>
      <c r="Q9" s="433"/>
      <c r="R9" s="586"/>
      <c r="S9" s="587"/>
      <c r="T9" s="587"/>
      <c r="U9" s="587"/>
      <c r="V9" s="432"/>
      <c r="W9" s="432"/>
      <c r="X9" s="432"/>
      <c r="Y9" s="432"/>
      <c r="Z9" s="432"/>
      <c r="AA9" s="432"/>
      <c r="AB9" s="643"/>
      <c r="AC9" s="643"/>
      <c r="AD9" s="643"/>
      <c r="AE9" s="643"/>
      <c r="AF9" s="643"/>
      <c r="AG9" s="643"/>
      <c r="AH9" s="643"/>
      <c r="AI9" s="688"/>
      <c r="AJ9" s="142"/>
      <c r="AK9" s="142"/>
      <c r="AL9" s="142"/>
      <c r="AM9" s="142"/>
      <c r="AN9" s="142"/>
      <c r="AO9" s="142"/>
    </row>
    <row r="10" spans="1:41" s="1" customFormat="1" ht="15.65" hidden="1" customHeight="1" thickBot="1" x14ac:dyDescent="0.4">
      <c r="A10" s="548"/>
      <c r="B10" s="548"/>
      <c r="C10" s="513"/>
      <c r="D10" s="513"/>
      <c r="E10" s="549"/>
      <c r="F10" s="516"/>
      <c r="G10" s="689"/>
      <c r="H10" s="689"/>
      <c r="I10" s="690"/>
      <c r="J10" s="556"/>
      <c r="K10" s="557"/>
      <c r="L10" s="444"/>
      <c r="M10" s="691"/>
      <c r="N10" s="691"/>
      <c r="O10" s="434"/>
      <c r="P10" s="435"/>
      <c r="Q10" s="436"/>
      <c r="R10" s="586"/>
      <c r="S10" s="587"/>
      <c r="T10" s="587"/>
      <c r="U10" s="587"/>
      <c r="V10" s="432"/>
      <c r="W10" s="432"/>
      <c r="X10" s="432"/>
      <c r="Y10" s="432"/>
      <c r="Z10" s="432"/>
      <c r="AA10" s="432"/>
      <c r="AB10" s="643"/>
      <c r="AC10" s="643"/>
      <c r="AD10" s="643"/>
      <c r="AE10" s="643"/>
      <c r="AF10" s="643"/>
      <c r="AG10" s="643"/>
      <c r="AH10" s="643"/>
      <c r="AI10" s="688"/>
      <c r="AJ10" s="142"/>
      <c r="AK10" s="142"/>
      <c r="AL10" s="142"/>
      <c r="AM10" s="142"/>
      <c r="AN10" s="142"/>
      <c r="AO10" s="142"/>
    </row>
    <row r="11" spans="1:41" ht="45" customHeight="1" thickBot="1" x14ac:dyDescent="0.4">
      <c r="A11" s="670" t="s">
        <v>47</v>
      </c>
      <c r="B11" s="670"/>
      <c r="C11" s="670"/>
      <c r="D11" s="670"/>
      <c r="E11" s="670"/>
      <c r="F11" s="671" t="s">
        <v>820</v>
      </c>
      <c r="G11" s="671"/>
      <c r="H11" s="671"/>
      <c r="I11" s="671"/>
      <c r="J11" s="671"/>
      <c r="K11" s="671"/>
      <c r="L11" s="671"/>
      <c r="M11" s="671"/>
      <c r="N11" s="671"/>
      <c r="O11" s="671"/>
      <c r="P11" s="605" t="s">
        <v>48</v>
      </c>
      <c r="Q11" s="605"/>
      <c r="R11" s="605"/>
      <c r="S11" s="605"/>
      <c r="T11" s="605"/>
      <c r="U11" s="605"/>
      <c r="V11" s="605"/>
      <c r="W11" s="605"/>
      <c r="X11" s="605"/>
      <c r="Y11" s="605"/>
      <c r="Z11" s="605"/>
      <c r="AA11" s="605"/>
      <c r="AB11" s="605"/>
      <c r="AC11" s="605"/>
      <c r="AD11" s="605"/>
      <c r="AE11" s="606"/>
      <c r="AF11" s="604" t="s">
        <v>49</v>
      </c>
      <c r="AG11" s="605"/>
      <c r="AH11" s="605"/>
      <c r="AI11" s="605"/>
      <c r="AJ11" s="142"/>
      <c r="AK11" s="142"/>
      <c r="AL11" s="142"/>
      <c r="AM11" s="142"/>
      <c r="AN11" s="142"/>
      <c r="AO11" s="142"/>
    </row>
    <row r="12" spans="1:41" ht="45" customHeight="1" x14ac:dyDescent="0.35">
      <c r="A12" s="672" t="s">
        <v>50</v>
      </c>
      <c r="B12" s="674" t="s">
        <v>51</v>
      </c>
      <c r="C12" s="674" t="s">
        <v>52</v>
      </c>
      <c r="D12" s="674" t="s">
        <v>53</v>
      </c>
      <c r="E12" s="674" t="s">
        <v>54</v>
      </c>
      <c r="F12" s="668" t="s">
        <v>234</v>
      </c>
      <c r="G12" s="668" t="s">
        <v>235</v>
      </c>
      <c r="H12" s="668" t="s">
        <v>236</v>
      </c>
      <c r="I12" s="668" t="s">
        <v>237</v>
      </c>
      <c r="J12" s="668" t="s">
        <v>238</v>
      </c>
      <c r="K12" s="668" t="s">
        <v>239</v>
      </c>
      <c r="L12" s="668" t="s">
        <v>240</v>
      </c>
      <c r="M12" s="668" t="s">
        <v>241</v>
      </c>
      <c r="N12" s="668" t="s">
        <v>242</v>
      </c>
      <c r="O12" s="668" t="s">
        <v>243</v>
      </c>
      <c r="P12" s="644" t="s">
        <v>64</v>
      </c>
      <c r="Q12" s="646" t="s">
        <v>65</v>
      </c>
      <c r="R12" s="648" t="s">
        <v>66</v>
      </c>
      <c r="S12" s="650" t="s">
        <v>67</v>
      </c>
      <c r="T12" s="618" t="s">
        <v>68</v>
      </c>
      <c r="U12" s="616" t="s">
        <v>69</v>
      </c>
      <c r="V12" s="622" t="s">
        <v>70</v>
      </c>
      <c r="W12" s="624" t="s">
        <v>71</v>
      </c>
      <c r="X12" s="622" t="s">
        <v>72</v>
      </c>
      <c r="Y12" s="616" t="s">
        <v>73</v>
      </c>
      <c r="Z12" s="618" t="s">
        <v>74</v>
      </c>
      <c r="AA12" s="620" t="s">
        <v>75</v>
      </c>
      <c r="AB12" s="618" t="s">
        <v>76</v>
      </c>
      <c r="AC12" s="616" t="s">
        <v>77</v>
      </c>
      <c r="AD12" s="622" t="s">
        <v>78</v>
      </c>
      <c r="AE12" s="613" t="s">
        <v>79</v>
      </c>
      <c r="AF12" s="615" t="s">
        <v>80</v>
      </c>
      <c r="AG12" s="615" t="s">
        <v>81</v>
      </c>
      <c r="AH12" s="615" t="s">
        <v>82</v>
      </c>
      <c r="AI12" s="615" t="s">
        <v>83</v>
      </c>
      <c r="AJ12" s="142"/>
      <c r="AK12" s="142"/>
      <c r="AL12" s="142"/>
      <c r="AM12" s="142"/>
      <c r="AN12" s="142"/>
      <c r="AO12" s="142"/>
    </row>
    <row r="13" spans="1:41" ht="45" customHeight="1" thickBot="1" x14ac:dyDescent="0.4">
      <c r="A13" s="673"/>
      <c r="B13" s="673"/>
      <c r="C13" s="673"/>
      <c r="D13" s="673"/>
      <c r="E13" s="673"/>
      <c r="F13" s="669"/>
      <c r="G13" s="669"/>
      <c r="H13" s="669"/>
      <c r="I13" s="669"/>
      <c r="J13" s="669"/>
      <c r="K13" s="669"/>
      <c r="L13" s="669"/>
      <c r="M13" s="669"/>
      <c r="N13" s="669"/>
      <c r="O13" s="669"/>
      <c r="P13" s="645"/>
      <c r="Q13" s="647"/>
      <c r="R13" s="649"/>
      <c r="S13" s="651"/>
      <c r="T13" s="652"/>
      <c r="U13" s="653"/>
      <c r="V13" s="656"/>
      <c r="W13" s="625"/>
      <c r="X13" s="623"/>
      <c r="Y13" s="617"/>
      <c r="Z13" s="619"/>
      <c r="AA13" s="621"/>
      <c r="AB13" s="619"/>
      <c r="AC13" s="617"/>
      <c r="AD13" s="623"/>
      <c r="AE13" s="614"/>
      <c r="AF13" s="615"/>
      <c r="AG13" s="615"/>
      <c r="AH13" s="615"/>
      <c r="AI13" s="615"/>
      <c r="AJ13" s="142"/>
      <c r="AK13" s="142"/>
      <c r="AL13" s="142"/>
      <c r="AM13" s="142"/>
      <c r="AN13" s="142"/>
      <c r="AO13" s="142"/>
    </row>
    <row r="14" spans="1:41" ht="133.5" customHeight="1" thickBot="1" x14ac:dyDescent="0.4">
      <c r="A14" s="675">
        <v>1</v>
      </c>
      <c r="B14" s="675" t="s">
        <v>510</v>
      </c>
      <c r="C14" s="675" t="s">
        <v>830</v>
      </c>
      <c r="D14" s="675" t="s">
        <v>118</v>
      </c>
      <c r="E14" s="675" t="s">
        <v>119</v>
      </c>
      <c r="F14" s="677" t="s">
        <v>245</v>
      </c>
      <c r="G14" s="495" t="s">
        <v>246</v>
      </c>
      <c r="H14" s="495" t="s">
        <v>624</v>
      </c>
      <c r="I14" s="495" t="s">
        <v>247</v>
      </c>
      <c r="J14" s="495" t="s">
        <v>625</v>
      </c>
      <c r="K14" s="495" t="s">
        <v>248</v>
      </c>
      <c r="L14" s="495"/>
      <c r="M14" s="495" t="s">
        <v>525</v>
      </c>
      <c r="N14" s="495" t="s">
        <v>630</v>
      </c>
      <c r="O14" s="495" t="s">
        <v>1948</v>
      </c>
      <c r="P14" s="679" t="s">
        <v>249</v>
      </c>
      <c r="Q14" s="53">
        <f>+(Q15*R14)</f>
        <v>7.6923076923076927E-2</v>
      </c>
      <c r="R14" s="66">
        <f>SUM(S14:AE14)</f>
        <v>1</v>
      </c>
      <c r="S14" s="43"/>
      <c r="T14" s="43"/>
      <c r="U14" s="43"/>
      <c r="V14" s="43"/>
      <c r="W14" s="43"/>
      <c r="X14" s="43"/>
      <c r="Y14" s="43">
        <v>1</v>
      </c>
      <c r="Z14" s="43"/>
      <c r="AA14" s="44"/>
      <c r="AB14" s="44"/>
      <c r="AC14" s="44"/>
      <c r="AD14" s="44"/>
      <c r="AE14" s="44"/>
      <c r="AF14" s="680"/>
      <c r="AG14" s="540" t="s">
        <v>250</v>
      </c>
      <c r="AH14" s="540"/>
      <c r="AI14" s="540"/>
      <c r="AJ14" s="142"/>
      <c r="AK14" s="142"/>
      <c r="AL14" s="142"/>
      <c r="AM14" s="142"/>
      <c r="AN14" s="142"/>
      <c r="AO14" s="142"/>
    </row>
    <row r="15" spans="1:41" ht="133.5" customHeight="1" thickBot="1" x14ac:dyDescent="0.4">
      <c r="A15" s="676"/>
      <c r="B15" s="676"/>
      <c r="C15" s="676"/>
      <c r="D15" s="676"/>
      <c r="E15" s="676"/>
      <c r="F15" s="678"/>
      <c r="G15" s="496"/>
      <c r="H15" s="496"/>
      <c r="I15" s="496"/>
      <c r="J15" s="496"/>
      <c r="K15" s="496"/>
      <c r="L15" s="496"/>
      <c r="M15" s="496"/>
      <c r="N15" s="496"/>
      <c r="O15" s="496"/>
      <c r="P15" s="679"/>
      <c r="Q15" s="52">
        <f>100%/13</f>
        <v>7.6923076923076927E-2</v>
      </c>
      <c r="R15" s="66">
        <f t="shared" ref="R15" si="0">SUM(S15:AE15)</f>
        <v>1</v>
      </c>
      <c r="S15" s="42"/>
      <c r="T15" s="42"/>
      <c r="U15" s="42"/>
      <c r="V15" s="42"/>
      <c r="W15" s="42"/>
      <c r="X15" s="42"/>
      <c r="Y15" s="42">
        <v>1</v>
      </c>
      <c r="Z15" s="42"/>
      <c r="AA15" s="42"/>
      <c r="AB15" s="42"/>
      <c r="AC15" s="42"/>
      <c r="AD15" s="42"/>
      <c r="AE15" s="42"/>
      <c r="AF15" s="680"/>
      <c r="AG15" s="540"/>
      <c r="AH15" s="540"/>
      <c r="AI15" s="540"/>
      <c r="AJ15" s="142"/>
      <c r="AK15" s="142"/>
      <c r="AL15" s="142"/>
      <c r="AM15" s="142"/>
      <c r="AN15" s="142"/>
      <c r="AO15" s="142"/>
    </row>
    <row r="16" spans="1:41" ht="133.5" customHeight="1" thickBot="1" x14ac:dyDescent="0.4">
      <c r="A16" s="675">
        <v>2</v>
      </c>
      <c r="B16" s="675" t="s">
        <v>510</v>
      </c>
      <c r="C16" s="675" t="s">
        <v>830</v>
      </c>
      <c r="D16" s="675" t="s">
        <v>118</v>
      </c>
      <c r="E16" s="675" t="s">
        <v>119</v>
      </c>
      <c r="F16" s="677" t="s">
        <v>245</v>
      </c>
      <c r="G16" s="664" t="s">
        <v>1949</v>
      </c>
      <c r="H16" s="664" t="s">
        <v>1950</v>
      </c>
      <c r="I16" s="664" t="s">
        <v>587</v>
      </c>
      <c r="J16" s="664" t="s">
        <v>625</v>
      </c>
      <c r="K16" s="664" t="s">
        <v>248</v>
      </c>
      <c r="L16" s="664"/>
      <c r="M16" s="664" t="s">
        <v>525</v>
      </c>
      <c r="N16" s="664" t="s">
        <v>1951</v>
      </c>
      <c r="O16" s="664" t="s">
        <v>1951</v>
      </c>
      <c r="P16" s="664" t="s">
        <v>1952</v>
      </c>
      <c r="Q16" s="53">
        <f>+(Q17*R16)</f>
        <v>7.6923076923076927E-2</v>
      </c>
      <c r="R16" s="66">
        <f>SUM(S16:AE16)</f>
        <v>1</v>
      </c>
      <c r="S16" s="43"/>
      <c r="T16" s="43"/>
      <c r="U16" s="43"/>
      <c r="V16" s="43"/>
      <c r="W16" s="43"/>
      <c r="X16" s="43"/>
      <c r="Y16" s="43">
        <v>0.4</v>
      </c>
      <c r="Z16" s="43"/>
      <c r="AA16" s="44"/>
      <c r="AB16" s="44"/>
      <c r="AC16" s="44"/>
      <c r="AD16" s="44"/>
      <c r="AE16" s="44">
        <v>0.6</v>
      </c>
      <c r="AF16" s="680"/>
      <c r="AG16" s="540" t="s">
        <v>252</v>
      </c>
      <c r="AH16" s="540"/>
      <c r="AI16" s="540" t="s">
        <v>253</v>
      </c>
      <c r="AJ16" s="142"/>
      <c r="AK16" s="142"/>
      <c r="AL16" s="142"/>
      <c r="AM16" s="142"/>
      <c r="AN16" s="142"/>
      <c r="AO16" s="142"/>
    </row>
    <row r="17" spans="1:41" ht="133.5" customHeight="1" thickBot="1" x14ac:dyDescent="0.4">
      <c r="A17" s="676"/>
      <c r="B17" s="676"/>
      <c r="C17" s="676"/>
      <c r="D17" s="676"/>
      <c r="E17" s="676"/>
      <c r="F17" s="678"/>
      <c r="G17" s="665"/>
      <c r="H17" s="665"/>
      <c r="I17" s="665"/>
      <c r="J17" s="665"/>
      <c r="K17" s="665"/>
      <c r="L17" s="665"/>
      <c r="M17" s="665"/>
      <c r="N17" s="665"/>
      <c r="O17" s="665"/>
      <c r="P17" s="665"/>
      <c r="Q17" s="52">
        <f>100%/13</f>
        <v>7.6923076923076927E-2</v>
      </c>
      <c r="R17" s="66">
        <f t="shared" ref="R17:R31" si="1">SUM(S17:AE17)</f>
        <v>1</v>
      </c>
      <c r="S17" s="42"/>
      <c r="T17" s="42"/>
      <c r="U17" s="42"/>
      <c r="V17" s="42"/>
      <c r="W17" s="42"/>
      <c r="X17" s="42"/>
      <c r="Y17" s="42">
        <v>0.5</v>
      </c>
      <c r="Z17" s="42"/>
      <c r="AA17" s="42"/>
      <c r="AB17" s="42"/>
      <c r="AC17" s="42"/>
      <c r="AD17" s="42"/>
      <c r="AE17" s="42">
        <v>0.5</v>
      </c>
      <c r="AF17" s="680"/>
      <c r="AG17" s="540"/>
      <c r="AH17" s="540"/>
      <c r="AI17" s="540"/>
      <c r="AJ17" s="142"/>
      <c r="AK17" s="142"/>
      <c r="AL17" s="142"/>
      <c r="AM17" s="142"/>
      <c r="AN17" s="142"/>
      <c r="AO17" s="142"/>
    </row>
    <row r="18" spans="1:41" ht="133.5" customHeight="1" thickBot="1" x14ac:dyDescent="0.4">
      <c r="A18" s="675">
        <v>3</v>
      </c>
      <c r="B18" s="675" t="s">
        <v>510</v>
      </c>
      <c r="C18" s="675" t="s">
        <v>830</v>
      </c>
      <c r="D18" s="675" t="s">
        <v>84</v>
      </c>
      <c r="E18" s="675" t="s">
        <v>85</v>
      </c>
      <c r="F18" s="666" t="s">
        <v>251</v>
      </c>
      <c r="G18" s="664" t="s">
        <v>626</v>
      </c>
      <c r="H18" s="664" t="s">
        <v>1953</v>
      </c>
      <c r="I18" s="664" t="s">
        <v>247</v>
      </c>
      <c r="J18" s="664" t="s">
        <v>627</v>
      </c>
      <c r="K18" s="664" t="s">
        <v>248</v>
      </c>
      <c r="L18" s="664" t="s">
        <v>248</v>
      </c>
      <c r="M18" s="664" t="s">
        <v>525</v>
      </c>
      <c r="N18" s="664" t="s">
        <v>1954</v>
      </c>
      <c r="O18" s="664" t="s">
        <v>1955</v>
      </c>
      <c r="P18" s="664" t="s">
        <v>628</v>
      </c>
      <c r="Q18" s="53">
        <f>+(Q19*R18)</f>
        <v>7.6923076923076927E-2</v>
      </c>
      <c r="R18" s="66">
        <f t="shared" si="1"/>
        <v>1</v>
      </c>
      <c r="S18" s="43"/>
      <c r="T18" s="43"/>
      <c r="U18" s="43"/>
      <c r="V18" s="43"/>
      <c r="W18" s="43"/>
      <c r="X18" s="43"/>
      <c r="Y18" s="43">
        <v>0.2</v>
      </c>
      <c r="Z18" s="43"/>
      <c r="AA18" s="44"/>
      <c r="AB18" s="44"/>
      <c r="AC18" s="44"/>
      <c r="AD18" s="44"/>
      <c r="AE18" s="44">
        <v>0.8</v>
      </c>
      <c r="AF18" s="680"/>
      <c r="AG18" s="540" t="s">
        <v>252</v>
      </c>
      <c r="AH18" s="540"/>
      <c r="AI18" s="540" t="s">
        <v>253</v>
      </c>
      <c r="AJ18" s="142"/>
      <c r="AK18" s="142"/>
      <c r="AL18" s="142"/>
      <c r="AM18" s="142"/>
      <c r="AN18" s="142"/>
      <c r="AO18" s="142"/>
    </row>
    <row r="19" spans="1:41" ht="133.5" customHeight="1" thickBot="1" x14ac:dyDescent="0.4">
      <c r="A19" s="676"/>
      <c r="B19" s="676"/>
      <c r="C19" s="676"/>
      <c r="D19" s="676"/>
      <c r="E19" s="676"/>
      <c r="F19" s="667"/>
      <c r="G19" s="665"/>
      <c r="H19" s="665"/>
      <c r="I19" s="665"/>
      <c r="J19" s="665"/>
      <c r="K19" s="665"/>
      <c r="L19" s="665"/>
      <c r="M19" s="665"/>
      <c r="N19" s="665"/>
      <c r="O19" s="665"/>
      <c r="P19" s="665"/>
      <c r="Q19" s="52">
        <f>100%/13</f>
        <v>7.6923076923076927E-2</v>
      </c>
      <c r="R19" s="66">
        <f t="shared" si="1"/>
        <v>1</v>
      </c>
      <c r="S19" s="42"/>
      <c r="T19" s="42"/>
      <c r="U19" s="42"/>
      <c r="V19" s="42"/>
      <c r="W19" s="42"/>
      <c r="X19" s="42"/>
      <c r="Y19" s="42">
        <v>0.5</v>
      </c>
      <c r="Z19" s="42"/>
      <c r="AA19" s="42"/>
      <c r="AB19" s="42"/>
      <c r="AC19" s="42"/>
      <c r="AD19" s="42"/>
      <c r="AE19" s="42">
        <v>0.5</v>
      </c>
      <c r="AF19" s="680"/>
      <c r="AG19" s="540"/>
      <c r="AH19" s="540"/>
      <c r="AI19" s="540"/>
      <c r="AJ19" s="142"/>
      <c r="AK19" s="142"/>
      <c r="AL19" s="142"/>
      <c r="AM19" s="142"/>
      <c r="AN19" s="142"/>
      <c r="AO19" s="142"/>
    </row>
    <row r="20" spans="1:41" ht="133.5" customHeight="1" thickBot="1" x14ac:dyDescent="0.4">
      <c r="A20" s="675">
        <v>4</v>
      </c>
      <c r="B20" s="675" t="s">
        <v>526</v>
      </c>
      <c r="C20" s="675" t="s">
        <v>830</v>
      </c>
      <c r="D20" s="675" t="s">
        <v>539</v>
      </c>
      <c r="E20" s="675" t="s">
        <v>565</v>
      </c>
      <c r="F20" s="666" t="s">
        <v>1956</v>
      </c>
      <c r="G20" s="664" t="s">
        <v>1957</v>
      </c>
      <c r="H20" s="664" t="s">
        <v>1958</v>
      </c>
      <c r="I20" s="664" t="s">
        <v>1959</v>
      </c>
      <c r="J20" s="664" t="s">
        <v>627</v>
      </c>
      <c r="K20" s="664" t="s">
        <v>248</v>
      </c>
      <c r="L20" s="664" t="s">
        <v>248</v>
      </c>
      <c r="M20" s="664" t="s">
        <v>525</v>
      </c>
      <c r="N20" s="664" t="s">
        <v>1960</v>
      </c>
      <c r="O20" s="664" t="s">
        <v>1961</v>
      </c>
      <c r="P20" s="664" t="s">
        <v>1962</v>
      </c>
      <c r="Q20" s="53">
        <f>+(Q21*R20)</f>
        <v>7.6923076923076927E-2</v>
      </c>
      <c r="R20" s="66">
        <f t="shared" si="1"/>
        <v>1</v>
      </c>
      <c r="S20" s="43"/>
      <c r="T20" s="43"/>
      <c r="U20" s="43"/>
      <c r="V20" s="43"/>
      <c r="W20" s="43"/>
      <c r="X20" s="43"/>
      <c r="Y20" s="43">
        <v>1</v>
      </c>
      <c r="Z20" s="43"/>
      <c r="AA20" s="44"/>
      <c r="AB20" s="44"/>
      <c r="AC20" s="44"/>
      <c r="AD20" s="44"/>
      <c r="AE20" s="44"/>
      <c r="AF20" s="680"/>
      <c r="AG20" s="540" t="s">
        <v>250</v>
      </c>
      <c r="AH20" s="540"/>
      <c r="AI20" s="540"/>
      <c r="AJ20" s="142"/>
      <c r="AK20" s="142"/>
      <c r="AL20" s="142"/>
      <c r="AM20" s="142"/>
      <c r="AN20" s="142"/>
      <c r="AO20" s="142"/>
    </row>
    <row r="21" spans="1:41" ht="133.5" customHeight="1" thickBot="1" x14ac:dyDescent="0.4">
      <c r="A21" s="676"/>
      <c r="B21" s="676"/>
      <c r="C21" s="676"/>
      <c r="D21" s="676"/>
      <c r="E21" s="676"/>
      <c r="F21" s="667"/>
      <c r="G21" s="665"/>
      <c r="H21" s="665"/>
      <c r="I21" s="665"/>
      <c r="J21" s="665"/>
      <c r="K21" s="665"/>
      <c r="L21" s="665"/>
      <c r="M21" s="665"/>
      <c r="N21" s="665"/>
      <c r="O21" s="665"/>
      <c r="P21" s="665"/>
      <c r="Q21" s="52">
        <f>100%/13</f>
        <v>7.6923076923076927E-2</v>
      </c>
      <c r="R21" s="66">
        <f t="shared" si="1"/>
        <v>1</v>
      </c>
      <c r="S21" s="42"/>
      <c r="T21" s="42"/>
      <c r="U21" s="42"/>
      <c r="V21" s="42"/>
      <c r="W21" s="42"/>
      <c r="X21" s="42"/>
      <c r="Y21" s="42">
        <v>1</v>
      </c>
      <c r="Z21" s="42"/>
      <c r="AA21" s="42"/>
      <c r="AB21" s="42"/>
      <c r="AC21" s="42"/>
      <c r="AD21" s="42"/>
      <c r="AE21" s="42"/>
      <c r="AF21" s="680"/>
      <c r="AG21" s="540"/>
      <c r="AH21" s="540"/>
      <c r="AI21" s="540"/>
      <c r="AJ21" s="142"/>
      <c r="AK21" s="142"/>
      <c r="AL21" s="142"/>
      <c r="AM21" s="142"/>
      <c r="AN21" s="142"/>
      <c r="AO21" s="142"/>
    </row>
    <row r="22" spans="1:41" ht="133.5" customHeight="1" thickBot="1" x14ac:dyDescent="0.4">
      <c r="A22" s="675">
        <v>5</v>
      </c>
      <c r="B22" s="675" t="s">
        <v>510</v>
      </c>
      <c r="C22" s="675" t="s">
        <v>830</v>
      </c>
      <c r="D22" s="675" t="s">
        <v>254</v>
      </c>
      <c r="E22" s="675" t="s">
        <v>255</v>
      </c>
      <c r="F22" s="666" t="s">
        <v>629</v>
      </c>
      <c r="G22" s="664" t="s">
        <v>256</v>
      </c>
      <c r="H22" s="664" t="s">
        <v>257</v>
      </c>
      <c r="I22" s="664" t="s">
        <v>87</v>
      </c>
      <c r="J22" s="664" t="s">
        <v>625</v>
      </c>
      <c r="K22" s="664"/>
      <c r="L22" s="664" t="s">
        <v>248</v>
      </c>
      <c r="M22" s="664" t="s">
        <v>525</v>
      </c>
      <c r="N22" s="664" t="s">
        <v>1963</v>
      </c>
      <c r="O22" s="664" t="s">
        <v>630</v>
      </c>
      <c r="P22" s="664" t="s">
        <v>631</v>
      </c>
      <c r="Q22" s="53">
        <f>+(Q23*R22)</f>
        <v>7.6923076923076927E-2</v>
      </c>
      <c r="R22" s="66">
        <f t="shared" si="1"/>
        <v>1</v>
      </c>
      <c r="S22" s="45"/>
      <c r="T22" s="45"/>
      <c r="U22" s="45"/>
      <c r="V22" s="43"/>
      <c r="W22" s="43"/>
      <c r="X22" s="43"/>
      <c r="Y22" s="43">
        <v>1</v>
      </c>
      <c r="Z22" s="43"/>
      <c r="AA22" s="44"/>
      <c r="AB22" s="44"/>
      <c r="AC22" s="44"/>
      <c r="AD22" s="44"/>
      <c r="AE22" s="44"/>
      <c r="AF22" s="680"/>
      <c r="AG22" s="540" t="s">
        <v>250</v>
      </c>
      <c r="AH22" s="540"/>
      <c r="AI22" s="540"/>
      <c r="AJ22" s="142"/>
      <c r="AK22" s="142"/>
      <c r="AL22" s="142"/>
      <c r="AM22" s="142"/>
      <c r="AN22" s="142"/>
      <c r="AO22" s="142"/>
    </row>
    <row r="23" spans="1:41" ht="133.5" customHeight="1" thickBot="1" x14ac:dyDescent="0.4">
      <c r="A23" s="676"/>
      <c r="B23" s="676"/>
      <c r="C23" s="676"/>
      <c r="D23" s="676"/>
      <c r="E23" s="676"/>
      <c r="F23" s="667"/>
      <c r="G23" s="665"/>
      <c r="H23" s="665"/>
      <c r="I23" s="665"/>
      <c r="J23" s="665"/>
      <c r="K23" s="665"/>
      <c r="L23" s="665"/>
      <c r="M23" s="665"/>
      <c r="N23" s="665"/>
      <c r="O23" s="665"/>
      <c r="P23" s="665"/>
      <c r="Q23" s="52">
        <f>100%/13</f>
        <v>7.6923076923076927E-2</v>
      </c>
      <c r="R23" s="66">
        <f t="shared" si="1"/>
        <v>1</v>
      </c>
      <c r="S23" s="42"/>
      <c r="T23" s="42"/>
      <c r="U23" s="42"/>
      <c r="V23" s="42"/>
      <c r="W23" s="42"/>
      <c r="X23" s="42"/>
      <c r="Y23" s="42">
        <v>1</v>
      </c>
      <c r="Z23" s="42"/>
      <c r="AA23" s="42"/>
      <c r="AB23" s="42"/>
      <c r="AC23" s="42"/>
      <c r="AD23" s="42"/>
      <c r="AE23" s="42"/>
      <c r="AF23" s="680"/>
      <c r="AG23" s="540"/>
      <c r="AH23" s="540"/>
      <c r="AI23" s="540"/>
      <c r="AJ23" s="142"/>
      <c r="AK23" s="142"/>
      <c r="AL23" s="142"/>
      <c r="AM23" s="142"/>
      <c r="AN23" s="142"/>
      <c r="AO23" s="142"/>
    </row>
    <row r="24" spans="1:41" ht="133.5" customHeight="1" thickBot="1" x14ac:dyDescent="0.4">
      <c r="A24" s="675">
        <v>6</v>
      </c>
      <c r="B24" s="675" t="s">
        <v>510</v>
      </c>
      <c r="C24" s="675" t="s">
        <v>830</v>
      </c>
      <c r="D24" s="675" t="s">
        <v>118</v>
      </c>
      <c r="E24" s="675" t="s">
        <v>119</v>
      </c>
      <c r="F24" s="666" t="s">
        <v>632</v>
      </c>
      <c r="G24" s="664" t="s">
        <v>258</v>
      </c>
      <c r="H24" s="664" t="s">
        <v>633</v>
      </c>
      <c r="I24" s="664" t="s">
        <v>634</v>
      </c>
      <c r="J24" s="664" t="s">
        <v>627</v>
      </c>
      <c r="K24" s="664" t="s">
        <v>248</v>
      </c>
      <c r="L24" s="664" t="s">
        <v>248</v>
      </c>
      <c r="M24" s="664" t="s">
        <v>525</v>
      </c>
      <c r="N24" s="664" t="s">
        <v>630</v>
      </c>
      <c r="O24" s="664" t="s">
        <v>1948</v>
      </c>
      <c r="P24" s="664" t="s">
        <v>1964</v>
      </c>
      <c r="Q24" s="53">
        <f>+(Q25*R24)</f>
        <v>7.6923076923076927E-2</v>
      </c>
      <c r="R24" s="66">
        <f t="shared" ref="R24:R25" si="2">SUM(S24:AE24)</f>
        <v>1</v>
      </c>
      <c r="S24" s="59"/>
      <c r="T24" s="59"/>
      <c r="U24" s="59"/>
      <c r="V24" s="43"/>
      <c r="W24" s="43"/>
      <c r="X24" s="43"/>
      <c r="Y24" s="43">
        <v>1</v>
      </c>
      <c r="Z24" s="43"/>
      <c r="AA24" s="44"/>
      <c r="AB24" s="44"/>
      <c r="AC24" s="44"/>
      <c r="AD24" s="44"/>
      <c r="AE24" s="44"/>
      <c r="AF24" s="680"/>
      <c r="AG24" s="540" t="s">
        <v>250</v>
      </c>
      <c r="AH24" s="540"/>
      <c r="AI24" s="540"/>
      <c r="AJ24" s="142"/>
      <c r="AK24" s="142"/>
      <c r="AL24" s="142"/>
      <c r="AM24" s="142"/>
      <c r="AN24" s="142"/>
      <c r="AO24" s="142"/>
    </row>
    <row r="25" spans="1:41" ht="133.5" customHeight="1" thickBot="1" x14ac:dyDescent="0.4">
      <c r="A25" s="676"/>
      <c r="B25" s="676"/>
      <c r="C25" s="676"/>
      <c r="D25" s="676"/>
      <c r="E25" s="676"/>
      <c r="F25" s="667"/>
      <c r="G25" s="665"/>
      <c r="H25" s="665"/>
      <c r="I25" s="665"/>
      <c r="J25" s="665"/>
      <c r="K25" s="665"/>
      <c r="L25" s="665"/>
      <c r="M25" s="665"/>
      <c r="N25" s="665"/>
      <c r="O25" s="665"/>
      <c r="P25" s="665"/>
      <c r="Q25" s="52">
        <f>100%/13</f>
        <v>7.6923076923076927E-2</v>
      </c>
      <c r="R25" s="66">
        <f t="shared" si="2"/>
        <v>1</v>
      </c>
      <c r="S25" s="42"/>
      <c r="T25" s="42"/>
      <c r="U25" s="42"/>
      <c r="V25" s="42"/>
      <c r="W25" s="42"/>
      <c r="X25" s="42"/>
      <c r="Y25" s="42">
        <v>1</v>
      </c>
      <c r="Z25" s="42"/>
      <c r="AA25" s="42"/>
      <c r="AB25" s="42"/>
      <c r="AC25" s="42"/>
      <c r="AD25" s="42"/>
      <c r="AE25" s="42"/>
      <c r="AF25" s="680"/>
      <c r="AG25" s="540"/>
      <c r="AH25" s="540"/>
      <c r="AI25" s="540"/>
      <c r="AJ25" s="142"/>
      <c r="AK25" s="142"/>
      <c r="AL25" s="142"/>
      <c r="AM25" s="142"/>
      <c r="AN25" s="142"/>
      <c r="AO25" s="142"/>
    </row>
    <row r="26" spans="1:41" ht="133.5" customHeight="1" thickBot="1" x14ac:dyDescent="0.4">
      <c r="A26" s="675">
        <v>7</v>
      </c>
      <c r="B26" s="675" t="s">
        <v>510</v>
      </c>
      <c r="C26" s="675" t="s">
        <v>830</v>
      </c>
      <c r="D26" s="675" t="s">
        <v>118</v>
      </c>
      <c r="E26" s="675" t="s">
        <v>119</v>
      </c>
      <c r="F26" s="666" t="s">
        <v>260</v>
      </c>
      <c r="G26" s="664" t="s">
        <v>1965</v>
      </c>
      <c r="H26" s="664" t="s">
        <v>1966</v>
      </c>
      <c r="I26" s="664" t="s">
        <v>1967</v>
      </c>
      <c r="J26" s="664" t="s">
        <v>627</v>
      </c>
      <c r="K26" s="664" t="s">
        <v>248</v>
      </c>
      <c r="L26" s="664" t="s">
        <v>248</v>
      </c>
      <c r="M26" s="664" t="s">
        <v>525</v>
      </c>
      <c r="N26" s="664" t="s">
        <v>1954</v>
      </c>
      <c r="O26" s="664" t="s">
        <v>1968</v>
      </c>
      <c r="P26" s="664" t="s">
        <v>1969</v>
      </c>
      <c r="Q26" s="53">
        <f>+(Q27*R26)</f>
        <v>7.6923076923076927E-2</v>
      </c>
      <c r="R26" s="66">
        <f t="shared" si="1"/>
        <v>1</v>
      </c>
      <c r="S26" s="59"/>
      <c r="T26" s="59"/>
      <c r="U26" s="59"/>
      <c r="V26" s="43"/>
      <c r="W26" s="43"/>
      <c r="X26" s="43"/>
      <c r="Y26" s="43">
        <v>1</v>
      </c>
      <c r="Z26" s="43"/>
      <c r="AA26" s="44"/>
      <c r="AB26" s="44"/>
      <c r="AC26" s="44"/>
      <c r="AD26" s="44"/>
      <c r="AE26" s="44"/>
      <c r="AF26" s="680"/>
      <c r="AG26" s="540" t="s">
        <v>250</v>
      </c>
      <c r="AH26" s="540"/>
      <c r="AI26" s="540"/>
      <c r="AJ26" s="142"/>
      <c r="AK26" s="142"/>
      <c r="AL26" s="142"/>
      <c r="AM26" s="142"/>
      <c r="AN26" s="142"/>
      <c r="AO26" s="142"/>
    </row>
    <row r="27" spans="1:41" ht="133.5" customHeight="1" thickBot="1" x14ac:dyDescent="0.4">
      <c r="A27" s="676"/>
      <c r="B27" s="676"/>
      <c r="C27" s="676"/>
      <c r="D27" s="676"/>
      <c r="E27" s="676"/>
      <c r="F27" s="667"/>
      <c r="G27" s="665"/>
      <c r="H27" s="665"/>
      <c r="I27" s="665"/>
      <c r="J27" s="665"/>
      <c r="K27" s="665"/>
      <c r="L27" s="665"/>
      <c r="M27" s="665"/>
      <c r="N27" s="665"/>
      <c r="O27" s="665"/>
      <c r="P27" s="665"/>
      <c r="Q27" s="52">
        <f>100%/13</f>
        <v>7.6923076923076927E-2</v>
      </c>
      <c r="R27" s="66">
        <f t="shared" si="1"/>
        <v>1</v>
      </c>
      <c r="S27" s="42"/>
      <c r="T27" s="42"/>
      <c r="U27" s="42"/>
      <c r="V27" s="42"/>
      <c r="W27" s="42"/>
      <c r="X27" s="42"/>
      <c r="Y27" s="42">
        <v>1</v>
      </c>
      <c r="Z27" s="42"/>
      <c r="AA27" s="42"/>
      <c r="AB27" s="42"/>
      <c r="AC27" s="42"/>
      <c r="AD27" s="42"/>
      <c r="AE27" s="42"/>
      <c r="AF27" s="680"/>
      <c r="AG27" s="540"/>
      <c r="AH27" s="540"/>
      <c r="AI27" s="540"/>
      <c r="AJ27" s="142"/>
      <c r="AK27" s="142"/>
      <c r="AL27" s="142"/>
      <c r="AM27" s="142"/>
      <c r="AN27" s="142"/>
      <c r="AO27" s="142"/>
    </row>
    <row r="28" spans="1:41" ht="133.5" customHeight="1" thickBot="1" x14ac:dyDescent="0.4">
      <c r="A28" s="675">
        <v>8</v>
      </c>
      <c r="B28" s="675" t="s">
        <v>510</v>
      </c>
      <c r="C28" s="675" t="s">
        <v>830</v>
      </c>
      <c r="D28" s="675" t="s">
        <v>118</v>
      </c>
      <c r="E28" s="675" t="s">
        <v>119</v>
      </c>
      <c r="F28" s="666" t="s">
        <v>260</v>
      </c>
      <c r="G28" s="664" t="s">
        <v>1970</v>
      </c>
      <c r="H28" s="664" t="s">
        <v>1971</v>
      </c>
      <c r="I28" s="664" t="s">
        <v>1972</v>
      </c>
      <c r="J28" s="664" t="s">
        <v>627</v>
      </c>
      <c r="K28" s="664" t="s">
        <v>248</v>
      </c>
      <c r="L28" s="664" t="s">
        <v>248</v>
      </c>
      <c r="M28" s="664" t="s">
        <v>525</v>
      </c>
      <c r="N28" s="664" t="s">
        <v>1973</v>
      </c>
      <c r="O28" s="664" t="s">
        <v>1974</v>
      </c>
      <c r="P28" s="664" t="s">
        <v>1975</v>
      </c>
      <c r="Q28" s="53">
        <f>+(Q29*R28)</f>
        <v>7.6923076923076927E-2</v>
      </c>
      <c r="R28" s="66">
        <f t="shared" ref="R28:R29" si="3">SUM(S28:AE28)</f>
        <v>1</v>
      </c>
      <c r="S28" s="59"/>
      <c r="T28" s="59"/>
      <c r="U28" s="59"/>
      <c r="V28" s="43"/>
      <c r="W28" s="43"/>
      <c r="X28" s="43"/>
      <c r="Y28" s="43">
        <v>1</v>
      </c>
      <c r="Z28" s="43"/>
      <c r="AA28" s="44"/>
      <c r="AB28" s="44"/>
      <c r="AC28" s="44"/>
      <c r="AD28" s="44"/>
      <c r="AE28" s="44"/>
      <c r="AF28" s="680"/>
      <c r="AG28" s="540" t="s">
        <v>250</v>
      </c>
      <c r="AH28" s="540"/>
      <c r="AI28" s="540"/>
      <c r="AJ28" s="142"/>
      <c r="AK28" s="142"/>
      <c r="AL28" s="142"/>
      <c r="AM28" s="142"/>
      <c r="AN28" s="142"/>
      <c r="AO28" s="142"/>
    </row>
    <row r="29" spans="1:41" ht="133.5" customHeight="1" thickBot="1" x14ac:dyDescent="0.4">
      <c r="A29" s="676"/>
      <c r="B29" s="676"/>
      <c r="C29" s="676"/>
      <c r="D29" s="676"/>
      <c r="E29" s="676"/>
      <c r="F29" s="667"/>
      <c r="G29" s="665"/>
      <c r="H29" s="665"/>
      <c r="I29" s="665"/>
      <c r="J29" s="665"/>
      <c r="K29" s="665"/>
      <c r="L29" s="665"/>
      <c r="M29" s="665"/>
      <c r="N29" s="665"/>
      <c r="O29" s="665"/>
      <c r="P29" s="665"/>
      <c r="Q29" s="52">
        <f>100%/13</f>
        <v>7.6923076923076927E-2</v>
      </c>
      <c r="R29" s="66">
        <f t="shared" si="3"/>
        <v>1</v>
      </c>
      <c r="S29" s="42"/>
      <c r="T29" s="42"/>
      <c r="U29" s="42"/>
      <c r="V29" s="42"/>
      <c r="W29" s="42"/>
      <c r="X29" s="42"/>
      <c r="Y29" s="42">
        <v>1</v>
      </c>
      <c r="Z29" s="42"/>
      <c r="AA29" s="42"/>
      <c r="AB29" s="42"/>
      <c r="AC29" s="42"/>
      <c r="AD29" s="42"/>
      <c r="AE29" s="42"/>
      <c r="AF29" s="680"/>
      <c r="AG29" s="540"/>
      <c r="AH29" s="540"/>
      <c r="AI29" s="540"/>
      <c r="AJ29" s="142"/>
      <c r="AK29" s="142"/>
      <c r="AL29" s="142"/>
      <c r="AM29" s="142"/>
      <c r="AN29" s="142"/>
      <c r="AO29" s="142"/>
    </row>
    <row r="30" spans="1:41" ht="133.5" customHeight="1" thickBot="1" x14ac:dyDescent="0.4">
      <c r="A30" s="675">
        <v>9</v>
      </c>
      <c r="B30" s="675" t="s">
        <v>510</v>
      </c>
      <c r="C30" s="675" t="s">
        <v>830</v>
      </c>
      <c r="D30" s="675" t="s">
        <v>118</v>
      </c>
      <c r="E30" s="675" t="s">
        <v>119</v>
      </c>
      <c r="F30" s="666" t="s">
        <v>635</v>
      </c>
      <c r="G30" s="664" t="s">
        <v>262</v>
      </c>
      <c r="H30" s="664" t="s">
        <v>263</v>
      </c>
      <c r="I30" s="664" t="s">
        <v>264</v>
      </c>
      <c r="J30" s="664" t="s">
        <v>625</v>
      </c>
      <c r="K30" s="664" t="s">
        <v>248</v>
      </c>
      <c r="L30" s="664" t="s">
        <v>248</v>
      </c>
      <c r="M30" s="664" t="s">
        <v>525</v>
      </c>
      <c r="N30" s="664" t="s">
        <v>1976</v>
      </c>
      <c r="O30" s="664" t="s">
        <v>1977</v>
      </c>
      <c r="P30" s="692" t="s">
        <v>636</v>
      </c>
      <c r="Q30" s="53">
        <f>+(Q31*R30)</f>
        <v>7.6923076923076927E-2</v>
      </c>
      <c r="R30" s="66">
        <f t="shared" si="1"/>
        <v>1</v>
      </c>
      <c r="S30" s="59"/>
      <c r="T30" s="59"/>
      <c r="U30" s="59"/>
      <c r="V30" s="43"/>
      <c r="W30" s="43"/>
      <c r="X30" s="43"/>
      <c r="Y30" s="43">
        <v>1</v>
      </c>
      <c r="Z30" s="43"/>
      <c r="AA30" s="44"/>
      <c r="AB30" s="44"/>
      <c r="AC30" s="44"/>
      <c r="AD30" s="44"/>
      <c r="AE30" s="44"/>
      <c r="AF30" s="680"/>
      <c r="AG30" s="540" t="s">
        <v>250</v>
      </c>
      <c r="AH30" s="540"/>
      <c r="AI30" s="540"/>
      <c r="AJ30" s="142"/>
      <c r="AK30" s="142"/>
      <c r="AL30" s="142"/>
      <c r="AM30" s="142"/>
      <c r="AN30" s="142"/>
      <c r="AO30" s="142"/>
    </row>
    <row r="31" spans="1:41" ht="133.5" customHeight="1" x14ac:dyDescent="0.35">
      <c r="A31" s="676"/>
      <c r="B31" s="676"/>
      <c r="C31" s="676"/>
      <c r="D31" s="676"/>
      <c r="E31" s="676"/>
      <c r="F31" s="667"/>
      <c r="G31" s="665"/>
      <c r="H31" s="665"/>
      <c r="I31" s="665"/>
      <c r="J31" s="665"/>
      <c r="K31" s="665"/>
      <c r="L31" s="665"/>
      <c r="M31" s="665"/>
      <c r="N31" s="665"/>
      <c r="O31" s="665"/>
      <c r="P31" s="693"/>
      <c r="Q31" s="52">
        <f>100%/13</f>
        <v>7.6923076923076927E-2</v>
      </c>
      <c r="R31" s="66">
        <f t="shared" si="1"/>
        <v>1</v>
      </c>
      <c r="S31" s="42"/>
      <c r="T31" s="42"/>
      <c r="U31" s="42"/>
      <c r="V31" s="42"/>
      <c r="W31" s="42"/>
      <c r="X31" s="42"/>
      <c r="Y31" s="42">
        <v>1</v>
      </c>
      <c r="Z31" s="42"/>
      <c r="AA31" s="42"/>
      <c r="AB31" s="42"/>
      <c r="AC31" s="42"/>
      <c r="AD31" s="42"/>
      <c r="AE31" s="42"/>
      <c r="AF31" s="680"/>
      <c r="AG31" s="540"/>
      <c r="AH31" s="540"/>
      <c r="AI31" s="540"/>
      <c r="AJ31" s="142"/>
      <c r="AK31" s="142"/>
      <c r="AL31" s="142"/>
      <c r="AM31" s="142"/>
      <c r="AN31" s="142"/>
      <c r="AO31" s="142"/>
    </row>
    <row r="33" spans="2:13" hidden="1" x14ac:dyDescent="0.35">
      <c r="B33" s="371" t="s">
        <v>51</v>
      </c>
      <c r="C33" s="371" t="s">
        <v>52</v>
      </c>
      <c r="D33" s="371" t="s">
        <v>53</v>
      </c>
      <c r="E33" s="371" t="s">
        <v>54</v>
      </c>
      <c r="F33" s="371" t="s">
        <v>30</v>
      </c>
      <c r="G33" s="373" t="s">
        <v>55</v>
      </c>
      <c r="H33" s="1"/>
      <c r="I33" s="1"/>
      <c r="J33" s="1"/>
      <c r="K33" s="1"/>
      <c r="L33" s="1"/>
      <c r="M33" s="373" t="s">
        <v>509</v>
      </c>
    </row>
    <row r="34" spans="2:13" ht="14.5" hidden="1" customHeight="1" x14ac:dyDescent="0.35">
      <c r="B34" s="372"/>
      <c r="C34" s="372"/>
      <c r="D34" s="372"/>
      <c r="E34" s="372"/>
      <c r="F34" s="372"/>
      <c r="G34" s="372"/>
      <c r="H34" s="1"/>
      <c r="I34" s="1"/>
      <c r="J34" s="1"/>
      <c r="K34" s="1"/>
      <c r="L34" s="1"/>
      <c r="M34" s="372"/>
    </row>
    <row r="35" spans="2:13" hidden="1" x14ac:dyDescent="0.35">
      <c r="B35" s="1" t="s">
        <v>510</v>
      </c>
      <c r="C35" s="13" t="s">
        <v>829</v>
      </c>
      <c r="D35" s="1" t="s">
        <v>118</v>
      </c>
      <c r="E35" s="1" t="s">
        <v>119</v>
      </c>
      <c r="F35" s="1" t="s">
        <v>512</v>
      </c>
      <c r="G35" s="1" t="s">
        <v>513</v>
      </c>
      <c r="H35" s="1"/>
      <c r="I35" s="1"/>
      <c r="J35" s="1"/>
      <c r="K35" s="1"/>
      <c r="L35" s="1"/>
      <c r="M35" s="13" t="s">
        <v>514</v>
      </c>
    </row>
    <row r="36" spans="2:13" ht="14.5" hidden="1" customHeight="1" x14ac:dyDescent="0.35">
      <c r="B36" s="1" t="s">
        <v>515</v>
      </c>
      <c r="C36" s="13" t="s">
        <v>830</v>
      </c>
      <c r="D36" s="1" t="s">
        <v>254</v>
      </c>
      <c r="E36" s="1" t="s">
        <v>517</v>
      </c>
      <c r="F36" s="1" t="s">
        <v>518</v>
      </c>
      <c r="G36" s="1" t="s">
        <v>519</v>
      </c>
      <c r="H36" s="1"/>
      <c r="I36" s="1"/>
      <c r="J36" s="1"/>
      <c r="K36" s="1"/>
      <c r="L36" s="1"/>
      <c r="M36" s="13" t="s">
        <v>520</v>
      </c>
    </row>
    <row r="37" spans="2:13" hidden="1" x14ac:dyDescent="0.35">
      <c r="B37" s="1" t="s">
        <v>521</v>
      </c>
      <c r="C37" s="13" t="s">
        <v>826</v>
      </c>
      <c r="D37" s="1" t="s">
        <v>84</v>
      </c>
      <c r="E37" s="1" t="s">
        <v>255</v>
      </c>
      <c r="F37" s="1" t="s">
        <v>523</v>
      </c>
      <c r="G37" s="1" t="s">
        <v>524</v>
      </c>
      <c r="H37" s="1"/>
      <c r="I37" s="1"/>
      <c r="J37" s="1"/>
      <c r="K37" s="1"/>
      <c r="L37" s="1"/>
      <c r="M37" s="13" t="s">
        <v>525</v>
      </c>
    </row>
    <row r="38" spans="2:13" hidden="1" x14ac:dyDescent="0.35">
      <c r="B38" s="1" t="s">
        <v>526</v>
      </c>
      <c r="C38" s="13" t="s">
        <v>827</v>
      </c>
      <c r="D38" s="1" t="s">
        <v>157</v>
      </c>
      <c r="E38" s="1" t="s">
        <v>528</v>
      </c>
      <c r="F38" s="1" t="s">
        <v>529</v>
      </c>
      <c r="G38" s="1" t="s">
        <v>530</v>
      </c>
      <c r="H38" s="1"/>
      <c r="I38" s="1"/>
      <c r="J38" s="1"/>
      <c r="K38" s="1"/>
      <c r="L38" s="1"/>
      <c r="M38" s="1"/>
    </row>
    <row r="39" spans="2:13" hidden="1" x14ac:dyDescent="0.35">
      <c r="B39" s="1" t="s">
        <v>531</v>
      </c>
      <c r="C39" s="13" t="s">
        <v>828</v>
      </c>
      <c r="D39" s="1" t="s">
        <v>533</v>
      </c>
      <c r="E39" s="1" t="s">
        <v>534</v>
      </c>
      <c r="F39" s="1" t="s">
        <v>535</v>
      </c>
      <c r="G39" s="1" t="s">
        <v>536</v>
      </c>
      <c r="H39" s="1"/>
      <c r="I39" s="1"/>
      <c r="J39" s="1"/>
      <c r="K39" s="1"/>
      <c r="L39" s="1"/>
      <c r="M39" s="1"/>
    </row>
    <row r="40" spans="2:13" hidden="1" x14ac:dyDescent="0.35">
      <c r="B40" s="1" t="s">
        <v>537</v>
      </c>
      <c r="C40" s="13" t="s">
        <v>825</v>
      </c>
      <c r="D40" s="1" t="s">
        <v>539</v>
      </c>
      <c r="E40" s="1" t="s">
        <v>150</v>
      </c>
      <c r="F40" s="1" t="s">
        <v>244</v>
      </c>
      <c r="G40" s="1" t="s">
        <v>384</v>
      </c>
      <c r="H40" s="1"/>
      <c r="I40" s="1"/>
      <c r="J40" s="1"/>
      <c r="K40" s="1"/>
      <c r="L40" s="1"/>
      <c r="M40" s="1"/>
    </row>
    <row r="41" spans="2:13" hidden="1" x14ac:dyDescent="0.35">
      <c r="B41" s="1" t="s">
        <v>540</v>
      </c>
      <c r="C41" s="13" t="s">
        <v>823</v>
      </c>
      <c r="D41" s="1" t="s">
        <v>542</v>
      </c>
      <c r="E41" s="1" t="s">
        <v>112</v>
      </c>
      <c r="F41" s="1" t="s">
        <v>543</v>
      </c>
      <c r="G41" s="1" t="s">
        <v>544</v>
      </c>
      <c r="H41" s="1"/>
      <c r="I41" s="1"/>
      <c r="J41" s="1"/>
      <c r="K41" s="1"/>
      <c r="L41" s="1"/>
      <c r="M41" s="1"/>
    </row>
    <row r="42" spans="2:13" hidden="1" x14ac:dyDescent="0.35">
      <c r="B42" s="1" t="s">
        <v>545</v>
      </c>
      <c r="C42" s="13" t="s">
        <v>821</v>
      </c>
      <c r="D42" s="1"/>
      <c r="E42" s="1" t="s">
        <v>451</v>
      </c>
      <c r="F42" s="1" t="s">
        <v>547</v>
      </c>
      <c r="G42" s="1" t="s">
        <v>426</v>
      </c>
      <c r="H42" s="1"/>
      <c r="I42" s="1"/>
      <c r="J42" s="1"/>
      <c r="K42" s="1"/>
      <c r="L42" s="1"/>
      <c r="M42" s="1"/>
    </row>
    <row r="43" spans="2:13" hidden="1" x14ac:dyDescent="0.35">
      <c r="B43" s="1"/>
      <c r="C43" s="13" t="s">
        <v>822</v>
      </c>
      <c r="D43" s="1"/>
      <c r="E43" s="1" t="s">
        <v>123</v>
      </c>
      <c r="F43" s="1" t="s">
        <v>549</v>
      </c>
      <c r="G43" s="1" t="s">
        <v>97</v>
      </c>
      <c r="H43" s="1"/>
      <c r="I43" s="1"/>
      <c r="J43" s="1"/>
      <c r="K43" s="1"/>
      <c r="L43" s="1"/>
      <c r="M43" s="1"/>
    </row>
    <row r="44" spans="2:13" hidden="1" x14ac:dyDescent="0.35">
      <c r="B44" s="1"/>
      <c r="C44" s="13" t="s">
        <v>824</v>
      </c>
      <c r="D44" s="1"/>
      <c r="E44" s="1" t="s">
        <v>551</v>
      </c>
      <c r="F44" s="1" t="s">
        <v>552</v>
      </c>
      <c r="G44" s="1" t="s">
        <v>120</v>
      </c>
      <c r="H44" s="1"/>
      <c r="I44" s="1"/>
      <c r="J44" s="1"/>
      <c r="K44" s="1"/>
      <c r="L44" s="1"/>
      <c r="M44" s="1"/>
    </row>
    <row r="45" spans="2:13" hidden="1" x14ac:dyDescent="0.35">
      <c r="B45" s="1"/>
      <c r="C45" s="1"/>
      <c r="D45" s="1"/>
      <c r="E45" s="1" t="s">
        <v>85</v>
      </c>
      <c r="F45" s="1" t="s">
        <v>553</v>
      </c>
      <c r="G45" s="1" t="s">
        <v>108</v>
      </c>
      <c r="H45" s="1"/>
      <c r="I45" s="1"/>
      <c r="J45" s="1"/>
      <c r="K45" s="1"/>
      <c r="L45" s="1"/>
      <c r="M45" s="1"/>
    </row>
    <row r="46" spans="2:13" hidden="1" x14ac:dyDescent="0.35">
      <c r="B46" s="1"/>
      <c r="C46" s="1"/>
      <c r="D46" s="1"/>
      <c r="E46" s="1" t="s">
        <v>554</v>
      </c>
      <c r="F46" s="1" t="s">
        <v>555</v>
      </c>
      <c r="G46" s="1" t="s">
        <v>556</v>
      </c>
      <c r="H46" s="1"/>
      <c r="I46" s="1"/>
      <c r="J46" s="1"/>
      <c r="K46" s="1"/>
      <c r="L46" s="1"/>
      <c r="M46" s="1"/>
    </row>
    <row r="47" spans="2:13" hidden="1" x14ac:dyDescent="0.35">
      <c r="B47" s="1"/>
      <c r="C47" s="1"/>
      <c r="D47" s="1"/>
      <c r="E47" s="1" t="s">
        <v>154</v>
      </c>
      <c r="F47" s="1"/>
      <c r="G47" s="1" t="s">
        <v>557</v>
      </c>
      <c r="H47" s="1"/>
      <c r="I47" s="1"/>
      <c r="J47" s="1"/>
      <c r="K47" s="1"/>
      <c r="L47" s="1"/>
      <c r="M47" s="1"/>
    </row>
    <row r="48" spans="2:13" hidden="1" x14ac:dyDescent="0.35">
      <c r="B48" s="1"/>
      <c r="C48" s="1"/>
      <c r="D48" s="1"/>
      <c r="E48" s="1" t="s">
        <v>558</v>
      </c>
      <c r="F48" s="1"/>
      <c r="G48" s="1" t="s">
        <v>559</v>
      </c>
      <c r="H48" s="1"/>
      <c r="I48" s="1"/>
      <c r="J48" s="1"/>
      <c r="K48" s="1"/>
      <c r="L48" s="1"/>
      <c r="M48" s="1"/>
    </row>
    <row r="49" spans="2:13" hidden="1" x14ac:dyDescent="0.35">
      <c r="B49" s="1"/>
      <c r="C49" s="1"/>
      <c r="D49" s="1"/>
      <c r="E49" s="1" t="s">
        <v>560</v>
      </c>
      <c r="F49" s="1"/>
      <c r="G49" s="1" t="s">
        <v>561</v>
      </c>
      <c r="H49" s="1"/>
      <c r="I49" s="1"/>
      <c r="J49" s="1"/>
      <c r="K49" s="1"/>
      <c r="L49" s="1"/>
      <c r="M49" s="1"/>
    </row>
    <row r="50" spans="2:13" hidden="1" x14ac:dyDescent="0.35">
      <c r="B50" s="1"/>
      <c r="C50" s="1"/>
      <c r="D50" s="1"/>
      <c r="E50" s="1" t="s">
        <v>107</v>
      </c>
      <c r="F50" s="1"/>
      <c r="G50" s="1" t="s">
        <v>562</v>
      </c>
      <c r="H50" s="1"/>
      <c r="I50" s="1"/>
      <c r="J50" s="1"/>
      <c r="K50" s="1"/>
      <c r="L50" s="1"/>
      <c r="M50" s="1"/>
    </row>
    <row r="51" spans="2:13" hidden="1" x14ac:dyDescent="0.35">
      <c r="B51" s="1"/>
      <c r="C51" s="1"/>
      <c r="D51" s="1"/>
      <c r="E51" s="1" t="s">
        <v>563</v>
      </c>
      <c r="F51" s="1"/>
      <c r="G51" s="1" t="s">
        <v>564</v>
      </c>
      <c r="H51" s="1"/>
      <c r="I51" s="1"/>
      <c r="J51" s="1"/>
      <c r="K51" s="1"/>
      <c r="L51" s="1"/>
      <c r="M51" s="1"/>
    </row>
    <row r="52" spans="2:13" hidden="1" x14ac:dyDescent="0.35">
      <c r="B52" s="1"/>
      <c r="C52" s="1"/>
      <c r="D52" s="1"/>
      <c r="E52" s="1" t="s">
        <v>565</v>
      </c>
      <c r="F52" s="1"/>
      <c r="G52" s="1" t="s">
        <v>566</v>
      </c>
      <c r="H52" s="1"/>
      <c r="I52" s="1"/>
      <c r="J52" s="1"/>
      <c r="K52" s="1"/>
      <c r="L52" s="1"/>
      <c r="M52" s="1"/>
    </row>
    <row r="53" spans="2:13" hidden="1" x14ac:dyDescent="0.35">
      <c r="B53" s="1"/>
      <c r="C53" s="1"/>
      <c r="D53" s="1"/>
      <c r="E53" s="1" t="s">
        <v>567</v>
      </c>
      <c r="F53" s="1"/>
      <c r="G53" s="1" t="s">
        <v>568</v>
      </c>
      <c r="H53" s="1"/>
      <c r="I53" s="1"/>
      <c r="J53" s="1"/>
      <c r="K53" s="1"/>
      <c r="L53" s="1"/>
      <c r="M53" s="1"/>
    </row>
    <row r="54" spans="2:13" hidden="1" x14ac:dyDescent="0.35">
      <c r="B54" s="1"/>
      <c r="C54" s="1"/>
      <c r="D54" s="1"/>
      <c r="E54" s="1"/>
      <c r="F54" s="1"/>
      <c r="G54" s="1" t="s">
        <v>569</v>
      </c>
      <c r="H54" s="1"/>
      <c r="I54" s="1"/>
      <c r="J54" s="1"/>
      <c r="K54" s="1"/>
      <c r="L54" s="1"/>
      <c r="M54" s="1"/>
    </row>
    <row r="55" spans="2:13" hidden="1" x14ac:dyDescent="0.35">
      <c r="B55" s="1"/>
      <c r="C55" s="1"/>
      <c r="D55" s="1"/>
      <c r="E55" s="1"/>
      <c r="F55" s="1"/>
      <c r="G55" s="1" t="s">
        <v>570</v>
      </c>
      <c r="H55" s="1"/>
      <c r="I55" s="1"/>
      <c r="J55" s="1"/>
      <c r="K55" s="1"/>
      <c r="L55" s="1"/>
      <c r="M55" s="1"/>
    </row>
    <row r="56" spans="2:13" hidden="1" x14ac:dyDescent="0.35">
      <c r="B56" s="1"/>
      <c r="C56" s="1"/>
      <c r="D56" s="1"/>
      <c r="E56" s="1"/>
      <c r="F56" s="1"/>
      <c r="G56" s="1" t="s">
        <v>571</v>
      </c>
      <c r="H56" s="1"/>
      <c r="I56" s="1"/>
      <c r="J56" s="1"/>
      <c r="K56" s="1"/>
      <c r="L56" s="1"/>
      <c r="M56" s="1"/>
    </row>
    <row r="57" spans="2:13" hidden="1" x14ac:dyDescent="0.35">
      <c r="B57" s="1"/>
      <c r="C57" s="1"/>
      <c r="D57" s="1"/>
      <c r="E57" s="1"/>
      <c r="F57" s="1"/>
      <c r="G57" s="1" t="s">
        <v>572</v>
      </c>
      <c r="H57" s="1"/>
      <c r="I57" s="1"/>
      <c r="J57" s="1"/>
      <c r="K57" s="1"/>
      <c r="L57" s="1"/>
      <c r="M57" s="1"/>
    </row>
    <row r="58" spans="2:13" hidden="1" x14ac:dyDescent="0.35">
      <c r="B58" s="1"/>
      <c r="C58" s="1"/>
      <c r="D58" s="1"/>
      <c r="E58" s="1"/>
      <c r="F58" s="1"/>
      <c r="G58" s="1" t="s">
        <v>573</v>
      </c>
      <c r="H58" s="1"/>
      <c r="I58" s="1"/>
      <c r="J58" s="1"/>
      <c r="K58" s="1"/>
      <c r="L58" s="1"/>
      <c r="M58" s="1"/>
    </row>
    <row r="59" spans="2:13" hidden="1" x14ac:dyDescent="0.35">
      <c r="B59" s="1"/>
      <c r="C59" s="1"/>
      <c r="D59" s="1"/>
      <c r="E59" s="1"/>
      <c r="F59" s="1"/>
      <c r="G59" s="1" t="s">
        <v>574</v>
      </c>
      <c r="H59" s="1"/>
      <c r="I59" s="1"/>
      <c r="J59" s="1"/>
      <c r="K59" s="1"/>
      <c r="L59" s="1"/>
      <c r="M59" s="1"/>
    </row>
    <row r="60" spans="2:13" hidden="1" x14ac:dyDescent="0.35">
      <c r="B60" s="1"/>
      <c r="C60" s="1"/>
      <c r="D60" s="1"/>
      <c r="E60" s="1"/>
      <c r="F60" s="1"/>
      <c r="G60" s="1" t="s">
        <v>575</v>
      </c>
      <c r="H60" s="1"/>
      <c r="I60" s="1"/>
      <c r="J60" s="1"/>
      <c r="K60" s="1"/>
      <c r="L60" s="1"/>
      <c r="M60" s="1"/>
    </row>
    <row r="61" spans="2:13" hidden="1" x14ac:dyDescent="0.35">
      <c r="B61" s="1"/>
      <c r="C61" s="1"/>
      <c r="D61" s="1"/>
      <c r="E61" s="1"/>
      <c r="F61" s="1"/>
      <c r="G61" s="1" t="s">
        <v>576</v>
      </c>
      <c r="H61" s="1"/>
      <c r="I61" s="1"/>
      <c r="J61" s="1"/>
      <c r="K61" s="1"/>
      <c r="L61" s="1"/>
      <c r="M61" s="1"/>
    </row>
    <row r="62" spans="2:13" hidden="1" x14ac:dyDescent="0.35">
      <c r="B62" s="1"/>
      <c r="C62" s="1"/>
      <c r="D62" s="1"/>
      <c r="E62" s="1"/>
      <c r="F62" s="1"/>
      <c r="G62" s="1" t="s">
        <v>577</v>
      </c>
      <c r="H62" s="1"/>
      <c r="I62" s="1"/>
      <c r="J62" s="1"/>
      <c r="K62" s="1"/>
      <c r="L62" s="1"/>
      <c r="M62" s="1"/>
    </row>
    <row r="63" spans="2:13" hidden="1" x14ac:dyDescent="0.35">
      <c r="B63" s="1"/>
      <c r="C63" s="1"/>
      <c r="D63" s="1"/>
      <c r="E63" s="1"/>
      <c r="F63" s="1"/>
      <c r="G63" s="1" t="s">
        <v>578</v>
      </c>
      <c r="H63" s="1"/>
      <c r="I63" s="1"/>
      <c r="J63" s="1"/>
      <c r="K63" s="1"/>
      <c r="L63" s="1"/>
      <c r="M63" s="1"/>
    </row>
    <row r="64" spans="2:13" hidden="1" x14ac:dyDescent="0.35">
      <c r="B64" s="1"/>
      <c r="C64" s="1"/>
      <c r="D64" s="1"/>
      <c r="E64" s="1"/>
      <c r="F64" s="1"/>
      <c r="G64" s="1" t="s">
        <v>579</v>
      </c>
      <c r="H64" s="1"/>
      <c r="I64" s="1"/>
      <c r="J64" s="1"/>
      <c r="K64" s="1"/>
      <c r="L64" s="1"/>
      <c r="M64" s="1"/>
    </row>
    <row r="65" spans="2:13" hidden="1" x14ac:dyDescent="0.35">
      <c r="B65" s="1"/>
      <c r="C65" s="1"/>
      <c r="D65" s="1"/>
      <c r="E65" s="1"/>
      <c r="F65" s="1"/>
      <c r="G65" s="1" t="s">
        <v>580</v>
      </c>
      <c r="H65" s="1"/>
      <c r="I65" s="1"/>
      <c r="J65" s="1"/>
      <c r="K65" s="1"/>
      <c r="L65" s="1"/>
      <c r="M65" s="1"/>
    </row>
    <row r="66" spans="2:13" hidden="1" x14ac:dyDescent="0.35">
      <c r="B66" s="1"/>
      <c r="C66" s="1"/>
      <c r="D66" s="1"/>
      <c r="E66" s="1"/>
      <c r="F66" s="1"/>
      <c r="G66" s="1" t="s">
        <v>581</v>
      </c>
      <c r="H66" s="1"/>
      <c r="I66" s="1"/>
      <c r="J66" s="1"/>
      <c r="K66" s="1"/>
      <c r="L66" s="1"/>
      <c r="M66" s="1"/>
    </row>
    <row r="67" spans="2:13" hidden="1" x14ac:dyDescent="0.35">
      <c r="B67" s="1"/>
      <c r="C67" s="1"/>
      <c r="D67" s="1"/>
      <c r="E67" s="1"/>
      <c r="F67" s="1"/>
      <c r="G67" s="1" t="s">
        <v>582</v>
      </c>
      <c r="H67" s="1"/>
      <c r="I67" s="1"/>
      <c r="J67" s="1"/>
      <c r="K67" s="1"/>
      <c r="L67" s="1"/>
      <c r="M67" s="1"/>
    </row>
    <row r="68" spans="2:13" hidden="1" x14ac:dyDescent="0.35">
      <c r="B68" s="1"/>
      <c r="C68" s="1"/>
      <c r="D68" s="1"/>
      <c r="E68" s="1"/>
      <c r="F68" s="1"/>
      <c r="G68" s="1" t="s">
        <v>124</v>
      </c>
      <c r="H68" s="1"/>
      <c r="I68" s="1"/>
      <c r="J68" s="1"/>
      <c r="K68" s="1"/>
      <c r="L68" s="1"/>
      <c r="M68" s="1"/>
    </row>
    <row r="69" spans="2:13" hidden="1" x14ac:dyDescent="0.35">
      <c r="B69" s="1"/>
      <c r="C69" s="1"/>
      <c r="D69" s="1"/>
      <c r="E69" s="1"/>
      <c r="F69" s="1"/>
      <c r="G69" s="1" t="s">
        <v>583</v>
      </c>
      <c r="H69" s="1"/>
      <c r="I69" s="1"/>
      <c r="J69" s="1"/>
      <c r="K69" s="1"/>
      <c r="L69" s="1"/>
      <c r="M69" s="1"/>
    </row>
    <row r="70" spans="2:13" hidden="1" x14ac:dyDescent="0.35">
      <c r="B70" s="1"/>
      <c r="C70" s="1"/>
      <c r="D70" s="1"/>
      <c r="E70" s="1"/>
      <c r="F70" s="1"/>
      <c r="G70" s="1" t="s">
        <v>584</v>
      </c>
      <c r="H70" s="1"/>
      <c r="I70" s="1"/>
      <c r="J70" s="1"/>
      <c r="K70" s="1"/>
      <c r="L70" s="1"/>
      <c r="M70" s="1"/>
    </row>
    <row r="71" spans="2:13" hidden="1" x14ac:dyDescent="0.35">
      <c r="B71" s="1"/>
      <c r="C71" s="1"/>
      <c r="D71" s="1"/>
      <c r="E71" s="1"/>
      <c r="F71" s="1"/>
      <c r="G71" s="1" t="s">
        <v>585</v>
      </c>
      <c r="H71" s="1"/>
      <c r="I71" s="1"/>
      <c r="J71" s="1"/>
      <c r="K71" s="1"/>
      <c r="L71" s="1"/>
      <c r="M71" s="1"/>
    </row>
    <row r="72" spans="2:13" hidden="1" x14ac:dyDescent="0.35">
      <c r="B72" s="1"/>
      <c r="C72" s="1"/>
      <c r="D72" s="1"/>
      <c r="E72" s="1"/>
      <c r="F72" s="1"/>
      <c r="G72" s="1" t="s">
        <v>586</v>
      </c>
      <c r="H72" s="1"/>
      <c r="I72" s="1"/>
      <c r="J72" s="1"/>
      <c r="K72" s="1"/>
      <c r="L72" s="1"/>
      <c r="M72" s="1"/>
    </row>
    <row r="73" spans="2:13" hidden="1" x14ac:dyDescent="0.35">
      <c r="B73" s="1"/>
      <c r="C73" s="1"/>
      <c r="D73" s="1"/>
      <c r="E73" s="1"/>
      <c r="F73" s="1"/>
      <c r="G73" s="1" t="s">
        <v>87</v>
      </c>
      <c r="H73" s="1"/>
      <c r="I73" s="1"/>
      <c r="J73" s="1"/>
      <c r="K73" s="1"/>
      <c r="L73" s="1"/>
      <c r="M73" s="1"/>
    </row>
    <row r="74" spans="2:13" hidden="1" x14ac:dyDescent="0.35">
      <c r="B74" s="1"/>
      <c r="C74" s="1"/>
      <c r="D74" s="1"/>
      <c r="E74" s="1"/>
      <c r="F74" s="1"/>
      <c r="G74" s="1" t="s">
        <v>587</v>
      </c>
      <c r="H74" s="1"/>
      <c r="I74" s="1"/>
      <c r="J74" s="1"/>
      <c r="K74" s="1"/>
      <c r="L74" s="1"/>
      <c r="M74" s="1"/>
    </row>
    <row r="75" spans="2:13" hidden="1" x14ac:dyDescent="0.35">
      <c r="B75" s="1"/>
      <c r="C75" s="1"/>
      <c r="D75" s="1"/>
      <c r="E75" s="1"/>
      <c r="F75" s="1"/>
      <c r="G75" s="1" t="s">
        <v>588</v>
      </c>
      <c r="H75" s="1"/>
      <c r="I75" s="1"/>
      <c r="J75" s="1"/>
      <c r="K75" s="1"/>
      <c r="L75" s="1"/>
      <c r="M75" s="1"/>
    </row>
    <row r="76" spans="2:13" hidden="1" x14ac:dyDescent="0.35">
      <c r="B76" s="1"/>
      <c r="C76" s="1"/>
      <c r="D76" s="1"/>
      <c r="E76" s="1"/>
      <c r="F76" s="1"/>
      <c r="G76" s="1" t="s">
        <v>261</v>
      </c>
      <c r="H76" s="1"/>
      <c r="I76" s="1"/>
      <c r="J76" s="1"/>
      <c r="K76" s="1"/>
      <c r="L76" s="1"/>
      <c r="M76" s="1"/>
    </row>
    <row r="77" spans="2:13" hidden="1" x14ac:dyDescent="0.35">
      <c r="B77" s="1"/>
      <c r="C77" s="1"/>
      <c r="D77" s="1"/>
      <c r="E77" s="1"/>
      <c r="F77" s="1"/>
      <c r="G77" s="1" t="s">
        <v>589</v>
      </c>
      <c r="H77" s="1"/>
      <c r="I77" s="1"/>
      <c r="J77" s="1"/>
      <c r="K77" s="1"/>
      <c r="L77" s="1"/>
      <c r="M77" s="1"/>
    </row>
    <row r="78" spans="2:13" hidden="1" x14ac:dyDescent="0.35">
      <c r="B78" s="1"/>
      <c r="C78" s="1"/>
      <c r="D78" s="1"/>
      <c r="E78" s="1"/>
      <c r="F78" s="1"/>
      <c r="G78" s="1" t="s">
        <v>590</v>
      </c>
      <c r="H78" s="1"/>
      <c r="I78" s="1"/>
      <c r="J78" s="1"/>
      <c r="K78" s="1"/>
      <c r="L78" s="1"/>
      <c r="M78" s="1"/>
    </row>
    <row r="79" spans="2:13" hidden="1" x14ac:dyDescent="0.35">
      <c r="B79" s="1"/>
      <c r="C79" s="1"/>
      <c r="D79" s="1"/>
      <c r="E79" s="1"/>
      <c r="F79" s="1"/>
      <c r="G79" s="1" t="s">
        <v>591</v>
      </c>
      <c r="H79" s="1"/>
      <c r="I79" s="1"/>
      <c r="J79" s="1"/>
      <c r="K79" s="1"/>
      <c r="L79" s="1"/>
      <c r="M79" s="1"/>
    </row>
    <row r="80" spans="2:13" hidden="1" x14ac:dyDescent="0.35">
      <c r="B80" s="1"/>
      <c r="C80" s="1"/>
      <c r="D80" s="1"/>
      <c r="E80" s="1"/>
      <c r="F80" s="1"/>
      <c r="G80" s="1" t="s">
        <v>592</v>
      </c>
      <c r="H80" s="1"/>
      <c r="I80" s="1"/>
      <c r="J80" s="1"/>
      <c r="K80" s="1"/>
      <c r="L80" s="1"/>
      <c r="M80" s="1"/>
    </row>
    <row r="81" spans="2:13" hidden="1" x14ac:dyDescent="0.35">
      <c r="B81" s="1"/>
      <c r="C81" s="1"/>
      <c r="D81" s="1"/>
      <c r="E81" s="1"/>
      <c r="F81" s="1"/>
      <c r="G81" s="1" t="s">
        <v>593</v>
      </c>
      <c r="H81" s="1"/>
      <c r="I81" s="1"/>
      <c r="J81" s="1"/>
      <c r="K81" s="1"/>
      <c r="L81" s="1"/>
      <c r="M81" s="1"/>
    </row>
    <row r="82" spans="2:13" hidden="1" x14ac:dyDescent="0.35">
      <c r="B82" s="1"/>
      <c r="C82" s="1"/>
      <c r="D82" s="1"/>
      <c r="E82" s="1"/>
      <c r="F82" s="1"/>
      <c r="G82" s="1" t="s">
        <v>594</v>
      </c>
      <c r="H82" s="1"/>
      <c r="I82" s="1"/>
      <c r="J82" s="1"/>
      <c r="K82" s="1"/>
      <c r="L82" s="1"/>
      <c r="M82" s="1"/>
    </row>
    <row r="83" spans="2:13" hidden="1" x14ac:dyDescent="0.35">
      <c r="B83" s="1"/>
      <c r="C83" s="1"/>
      <c r="D83" s="1"/>
      <c r="E83" s="1"/>
      <c r="F83" s="1"/>
      <c r="G83" s="1" t="s">
        <v>595</v>
      </c>
      <c r="H83" s="1"/>
      <c r="I83" s="1"/>
      <c r="J83" s="1"/>
      <c r="K83" s="1"/>
      <c r="L83" s="1"/>
      <c r="M83" s="1"/>
    </row>
    <row r="84" spans="2:13" hidden="1" x14ac:dyDescent="0.35">
      <c r="B84" s="1"/>
      <c r="C84" s="1"/>
      <c r="D84" s="1"/>
      <c r="E84" s="1"/>
      <c r="F84" s="1"/>
      <c r="G84" s="1" t="s">
        <v>596</v>
      </c>
      <c r="H84" s="1"/>
      <c r="I84" s="1"/>
      <c r="J84" s="1"/>
      <c r="K84" s="1"/>
      <c r="L84" s="1"/>
      <c r="M84" s="1"/>
    </row>
    <row r="85" spans="2:13" hidden="1" x14ac:dyDescent="0.35">
      <c r="B85" s="1"/>
      <c r="C85" s="1"/>
      <c r="D85" s="1"/>
      <c r="E85" s="1"/>
      <c r="F85" s="1"/>
      <c r="G85" s="1" t="s">
        <v>597</v>
      </c>
      <c r="H85" s="1"/>
      <c r="I85" s="1"/>
      <c r="J85" s="1"/>
      <c r="K85" s="1"/>
      <c r="L85" s="1"/>
      <c r="M85" s="1"/>
    </row>
    <row r="86" spans="2:13" hidden="1" x14ac:dyDescent="0.35">
      <c r="B86" s="1"/>
      <c r="C86" s="1"/>
      <c r="D86" s="1"/>
      <c r="E86" s="1"/>
      <c r="F86" s="1"/>
      <c r="G86" s="1" t="s">
        <v>259</v>
      </c>
      <c r="H86" s="1"/>
      <c r="I86" s="1"/>
      <c r="J86" s="1"/>
      <c r="K86" s="1"/>
      <c r="L86" s="1"/>
      <c r="M86" s="1"/>
    </row>
    <row r="87" spans="2:13" hidden="1" x14ac:dyDescent="0.35">
      <c r="B87" s="1"/>
      <c r="C87" s="1"/>
      <c r="D87" s="1"/>
      <c r="E87" s="1"/>
      <c r="F87" s="1"/>
      <c r="G87" s="1" t="s">
        <v>39</v>
      </c>
      <c r="H87" s="1"/>
      <c r="I87" s="1"/>
      <c r="J87" s="1"/>
      <c r="K87" s="1"/>
      <c r="L87" s="1"/>
      <c r="M87" s="1"/>
    </row>
    <row r="88" spans="2:13" hidden="1" x14ac:dyDescent="0.35">
      <c r="B88" s="1"/>
      <c r="C88" s="1"/>
      <c r="D88" s="1"/>
      <c r="E88" s="1"/>
      <c r="F88" s="1"/>
      <c r="G88" s="1" t="s">
        <v>153</v>
      </c>
      <c r="H88" s="1"/>
      <c r="I88" s="1"/>
      <c r="J88" s="1"/>
      <c r="K88" s="1"/>
      <c r="L88" s="1"/>
      <c r="M88" s="1"/>
    </row>
    <row r="89" spans="2:13" hidden="1" x14ac:dyDescent="0.35">
      <c r="B89" s="1"/>
      <c r="C89" s="1"/>
      <c r="D89" s="1"/>
      <c r="E89" s="1"/>
      <c r="F89" s="1"/>
      <c r="G89" s="1" t="s">
        <v>598</v>
      </c>
      <c r="H89" s="1"/>
      <c r="I89" s="1"/>
      <c r="J89" s="1"/>
      <c r="K89" s="1"/>
      <c r="L89" s="1"/>
      <c r="M89" s="1"/>
    </row>
    <row r="90" spans="2:13" hidden="1" x14ac:dyDescent="0.35">
      <c r="B90" s="1"/>
      <c r="C90" s="1"/>
      <c r="D90" s="1"/>
      <c r="E90" s="1"/>
      <c r="F90" s="1"/>
      <c r="G90" s="1" t="s">
        <v>599</v>
      </c>
      <c r="H90" s="1"/>
      <c r="I90" s="1"/>
      <c r="J90" s="1"/>
      <c r="K90" s="1"/>
      <c r="L90" s="1"/>
      <c r="M90" s="1"/>
    </row>
    <row r="91" spans="2:13" hidden="1" x14ac:dyDescent="0.35">
      <c r="B91" s="1"/>
      <c r="C91" s="1"/>
      <c r="D91" s="1"/>
      <c r="E91" s="1"/>
      <c r="F91" s="1"/>
      <c r="G91" s="1" t="s">
        <v>600</v>
      </c>
      <c r="H91" s="1"/>
      <c r="I91" s="1"/>
      <c r="J91" s="1"/>
      <c r="K91" s="1"/>
      <c r="L91" s="1"/>
      <c r="M91" s="1"/>
    </row>
    <row r="92" spans="2:13" hidden="1" x14ac:dyDescent="0.35">
      <c r="B92" s="1"/>
      <c r="C92" s="1"/>
      <c r="D92" s="1"/>
      <c r="E92" s="1"/>
      <c r="F92" s="1"/>
      <c r="G92" s="1" t="s">
        <v>601</v>
      </c>
      <c r="H92" s="1"/>
      <c r="I92" s="1"/>
      <c r="J92" s="1"/>
      <c r="K92" s="1"/>
      <c r="L92" s="1"/>
      <c r="M92" s="1"/>
    </row>
    <row r="93" spans="2:13" hidden="1" x14ac:dyDescent="0.35">
      <c r="B93" s="1"/>
      <c r="C93" s="1"/>
      <c r="D93" s="1"/>
      <c r="E93" s="1"/>
      <c r="F93" s="1"/>
      <c r="G93" s="1" t="s">
        <v>602</v>
      </c>
      <c r="H93" s="1"/>
      <c r="I93" s="1"/>
      <c r="J93" s="1"/>
      <c r="K93" s="1"/>
      <c r="L93" s="1"/>
      <c r="M93" s="1"/>
    </row>
    <row r="94" spans="2:13" hidden="1" x14ac:dyDescent="0.35">
      <c r="B94" s="1"/>
      <c r="C94" s="1"/>
      <c r="D94" s="1"/>
      <c r="E94" s="1"/>
      <c r="F94" s="1"/>
      <c r="G94" s="1" t="s">
        <v>603</v>
      </c>
      <c r="H94" s="1"/>
      <c r="I94" s="1"/>
      <c r="J94" s="1"/>
      <c r="K94" s="1"/>
      <c r="L94" s="1"/>
      <c r="M94" s="1"/>
    </row>
  </sheetData>
  <sheetProtection formatCells="0" formatColumns="0" formatRows="0" insertColumns="0" insertRows="0" insertHyperlinks="0" deleteColumns="0" deleteRows="0" sort="0" autoFilter="0" pivotTables="0"/>
  <mergeCells count="243">
    <mergeCell ref="O24:O25"/>
    <mergeCell ref="P24:P25"/>
    <mergeCell ref="AF24:AF25"/>
    <mergeCell ref="AG24:AG25"/>
    <mergeCell ref="J26:J27"/>
    <mergeCell ref="K26:K27"/>
    <mergeCell ref="L26:L27"/>
    <mergeCell ref="M26:M27"/>
    <mergeCell ref="N26:N27"/>
    <mergeCell ref="O26:O27"/>
    <mergeCell ref="P26:P27"/>
    <mergeCell ref="AF26:AF27"/>
    <mergeCell ref="AG26:AG27"/>
    <mergeCell ref="A26:A27"/>
    <mergeCell ref="B26:B27"/>
    <mergeCell ref="C26:C27"/>
    <mergeCell ref="D26:D27"/>
    <mergeCell ref="E26:E27"/>
    <mergeCell ref="F26:F27"/>
    <mergeCell ref="G26:G27"/>
    <mergeCell ref="H26:H27"/>
    <mergeCell ref="I26:I27"/>
    <mergeCell ref="J28:J29"/>
    <mergeCell ref="K28:K29"/>
    <mergeCell ref="L28:L29"/>
    <mergeCell ref="M28:M29"/>
    <mergeCell ref="N28:N29"/>
    <mergeCell ref="O28:O29"/>
    <mergeCell ref="P28:P29"/>
    <mergeCell ref="F30:F31"/>
    <mergeCell ref="G30:G31"/>
    <mergeCell ref="H30:H31"/>
    <mergeCell ref="I30:I31"/>
    <mergeCell ref="J30:J31"/>
    <mergeCell ref="K30:K31"/>
    <mergeCell ref="A28:A29"/>
    <mergeCell ref="B28:B29"/>
    <mergeCell ref="C28:C29"/>
    <mergeCell ref="D28:D29"/>
    <mergeCell ref="E28:E29"/>
    <mergeCell ref="F28:F29"/>
    <mergeCell ref="G28:G29"/>
    <mergeCell ref="H28:H29"/>
    <mergeCell ref="I28:I29"/>
    <mergeCell ref="L30:L31"/>
    <mergeCell ref="M30:M31"/>
    <mergeCell ref="N30:N31"/>
    <mergeCell ref="AF22:AF23"/>
    <mergeCell ref="AG22:AG23"/>
    <mergeCell ref="AH22:AH23"/>
    <mergeCell ref="AI22:AI23"/>
    <mergeCell ref="AF30:AF31"/>
    <mergeCell ref="AG30:AG31"/>
    <mergeCell ref="AH30:AH31"/>
    <mergeCell ref="AI30:AI31"/>
    <mergeCell ref="O22:O23"/>
    <mergeCell ref="P22:P23"/>
    <mergeCell ref="O30:O31"/>
    <mergeCell ref="P30:P31"/>
    <mergeCell ref="AG28:AG29"/>
    <mergeCell ref="AH28:AH29"/>
    <mergeCell ref="AI28:AI29"/>
    <mergeCell ref="AH26:AH27"/>
    <mergeCell ref="AI26:AI27"/>
    <mergeCell ref="AF28:AF29"/>
    <mergeCell ref="AH24:AH25"/>
    <mergeCell ref="AI24:AI25"/>
    <mergeCell ref="L24:L25"/>
    <mergeCell ref="D1:AI3"/>
    <mergeCell ref="R6:U10"/>
    <mergeCell ref="V6:AA10"/>
    <mergeCell ref="AB6:AI10"/>
    <mergeCell ref="AF16:AF17"/>
    <mergeCell ref="AG16:AG17"/>
    <mergeCell ref="AH16:AH17"/>
    <mergeCell ref="AI16:AI17"/>
    <mergeCell ref="AF18:AF19"/>
    <mergeCell ref="AG18:AG19"/>
    <mergeCell ref="AH18:AH19"/>
    <mergeCell ref="AI18:AI19"/>
    <mergeCell ref="G6:H10"/>
    <mergeCell ref="I6:I10"/>
    <mergeCell ref="J6:K10"/>
    <mergeCell ref="L6:L10"/>
    <mergeCell ref="M6:N10"/>
    <mergeCell ref="O6:Q10"/>
    <mergeCell ref="P11:AE11"/>
    <mergeCell ref="AF11:AI11"/>
    <mergeCell ref="S12:S13"/>
    <mergeCell ref="T12:T13"/>
    <mergeCell ref="AA12:AA13"/>
    <mergeCell ref="H16:H17"/>
    <mergeCell ref="AF20:AF21"/>
    <mergeCell ref="AG20:AG21"/>
    <mergeCell ref="AH20:AH21"/>
    <mergeCell ref="AI20:AI21"/>
    <mergeCell ref="AB12:AB13"/>
    <mergeCell ref="AC12:AC13"/>
    <mergeCell ref="AD12:AD13"/>
    <mergeCell ref="AE12:AE13"/>
    <mergeCell ref="AF12:AF13"/>
    <mergeCell ref="AG12:AG13"/>
    <mergeCell ref="AH12:AH13"/>
    <mergeCell ref="AI12:AI13"/>
    <mergeCell ref="AF14:AF15"/>
    <mergeCell ref="AG14:AG15"/>
    <mergeCell ref="AH14:AH15"/>
    <mergeCell ref="AI14:AI15"/>
    <mergeCell ref="A1:C3"/>
    <mergeCell ref="A4:A5"/>
    <mergeCell ref="F4:F5"/>
    <mergeCell ref="A6:B10"/>
    <mergeCell ref="C6:D10"/>
    <mergeCell ref="E6:E10"/>
    <mergeCell ref="F6:F10"/>
    <mergeCell ref="A30:A31"/>
    <mergeCell ref="B30:B31"/>
    <mergeCell ref="C30:C31"/>
    <mergeCell ref="D30:D31"/>
    <mergeCell ref="E30:E31"/>
    <mergeCell ref="A20:A21"/>
    <mergeCell ref="B20:B21"/>
    <mergeCell ref="C20:C21"/>
    <mergeCell ref="D20:D21"/>
    <mergeCell ref="A14:A15"/>
    <mergeCell ref="B14:B15"/>
    <mergeCell ref="C14:C15"/>
    <mergeCell ref="D14:D15"/>
    <mergeCell ref="E14:E15"/>
    <mergeCell ref="F12:F13"/>
    <mergeCell ref="A24:A25"/>
    <mergeCell ref="A22:A23"/>
    <mergeCell ref="U12:U13"/>
    <mergeCell ref="V12:V13"/>
    <mergeCell ref="W12:W13"/>
    <mergeCell ref="X12:X13"/>
    <mergeCell ref="Y12:Y13"/>
    <mergeCell ref="Z12:Z13"/>
    <mergeCell ref="O20:O21"/>
    <mergeCell ref="I18:I19"/>
    <mergeCell ref="J18:J19"/>
    <mergeCell ref="Q12:Q13"/>
    <mergeCell ref="R12:R13"/>
    <mergeCell ref="J14:J15"/>
    <mergeCell ref="N16:N17"/>
    <mergeCell ref="O16:O17"/>
    <mergeCell ref="I16:I17"/>
    <mergeCell ref="J16:J17"/>
    <mergeCell ref="P14:P15"/>
    <mergeCell ref="P16:P17"/>
    <mergeCell ref="P18:P19"/>
    <mergeCell ref="P20:P21"/>
    <mergeCell ref="B22:B23"/>
    <mergeCell ref="C22:C23"/>
    <mergeCell ref="D22:D23"/>
    <mergeCell ref="E22:E23"/>
    <mergeCell ref="K22:K23"/>
    <mergeCell ref="F22:F23"/>
    <mergeCell ref="G22:G23"/>
    <mergeCell ref="H22:H23"/>
    <mergeCell ref="I22:I23"/>
    <mergeCell ref="J22:J23"/>
    <mergeCell ref="H24:H25"/>
    <mergeCell ref="I24:I25"/>
    <mergeCell ref="N20:N21"/>
    <mergeCell ref="L20:L21"/>
    <mergeCell ref="M20:M21"/>
    <mergeCell ref="L22:L23"/>
    <mergeCell ref="M22:M23"/>
    <mergeCell ref="N22:N23"/>
    <mergeCell ref="H20:H21"/>
    <mergeCell ref="I20:I21"/>
    <mergeCell ref="J20:J21"/>
    <mergeCell ref="K20:K21"/>
    <mergeCell ref="J24:J25"/>
    <mergeCell ref="K24:K25"/>
    <mergeCell ref="M24:M25"/>
    <mergeCell ref="N24:N25"/>
    <mergeCell ref="A18:A19"/>
    <mergeCell ref="B18:B19"/>
    <mergeCell ref="C18:C19"/>
    <mergeCell ref="D18:D19"/>
    <mergeCell ref="E18:E19"/>
    <mergeCell ref="E20:E21"/>
    <mergeCell ref="F20:F21"/>
    <mergeCell ref="G20:G21"/>
    <mergeCell ref="P12:P13"/>
    <mergeCell ref="A16:A17"/>
    <mergeCell ref="B16:B17"/>
    <mergeCell ref="C16:C17"/>
    <mergeCell ref="D16:D17"/>
    <mergeCell ref="E16:E17"/>
    <mergeCell ref="F16:F17"/>
    <mergeCell ref="G16:G17"/>
    <mergeCell ref="K14:K15"/>
    <mergeCell ref="L14:L15"/>
    <mergeCell ref="M14:M15"/>
    <mergeCell ref="N14:N15"/>
    <mergeCell ref="O14:O15"/>
    <mergeCell ref="F14:F15"/>
    <mergeCell ref="G14:G15"/>
    <mergeCell ref="I14:I15"/>
    <mergeCell ref="G12:G13"/>
    <mergeCell ref="H12:H13"/>
    <mergeCell ref="I12:I13"/>
    <mergeCell ref="H14:H15"/>
    <mergeCell ref="A11:E11"/>
    <mergeCell ref="F11:O11"/>
    <mergeCell ref="A12:A13"/>
    <mergeCell ref="B12:B13"/>
    <mergeCell ref="C12:C13"/>
    <mergeCell ref="D12:D13"/>
    <mergeCell ref="E12:E13"/>
    <mergeCell ref="L12:L13"/>
    <mergeCell ref="M12:M13"/>
    <mergeCell ref="N12:N13"/>
    <mergeCell ref="O12:O13"/>
    <mergeCell ref="J12:J13"/>
    <mergeCell ref="K12:K13"/>
    <mergeCell ref="B33:B34"/>
    <mergeCell ref="C33:C34"/>
    <mergeCell ref="D33:D34"/>
    <mergeCell ref="E33:E34"/>
    <mergeCell ref="F33:F34"/>
    <mergeCell ref="G33:G34"/>
    <mergeCell ref="M33:M34"/>
    <mergeCell ref="O18:O19"/>
    <mergeCell ref="K16:K17"/>
    <mergeCell ref="L16:L17"/>
    <mergeCell ref="M16:M17"/>
    <mergeCell ref="L18:L19"/>
    <mergeCell ref="M18:M19"/>
    <mergeCell ref="N18:N19"/>
    <mergeCell ref="K18:K19"/>
    <mergeCell ref="F18:F19"/>
    <mergeCell ref="G18:G19"/>
    <mergeCell ref="H18:H19"/>
    <mergeCell ref="B24:B25"/>
    <mergeCell ref="C24:C25"/>
    <mergeCell ref="D24:D25"/>
    <mergeCell ref="E24:E25"/>
    <mergeCell ref="F24:F25"/>
    <mergeCell ref="G24:G25"/>
  </mergeCells>
  <conditionalFormatting sqref="H4">
    <cfRule type="cellIs" dxfId="79" priority="10" operator="lessThanOrEqual">
      <formula>$C$4</formula>
    </cfRule>
  </conditionalFormatting>
  <conditionalFormatting sqref="I6">
    <cfRule type="cellIs" dxfId="78" priority="11" operator="greaterThanOrEqual">
      <formula>$C$5</formula>
    </cfRule>
    <cfRule type="cellIs" dxfId="77" priority="12" operator="lessThanOrEqual">
      <formula>$C$4</formula>
    </cfRule>
    <cfRule type="cellIs" dxfId="76" priority="13" operator="between">
      <formula>$C$5</formula>
      <formula>$C$4</formula>
    </cfRule>
  </conditionalFormatting>
  <conditionalFormatting sqref="O6">
    <cfRule type="cellIs" dxfId="75" priority="7" operator="greaterThanOrEqual">
      <formula>$H$5</formula>
    </cfRule>
    <cfRule type="cellIs" dxfId="74" priority="8" operator="lessThanOrEqual">
      <formula>$H$4</formula>
    </cfRule>
    <cfRule type="cellIs" dxfId="73" priority="9" operator="between">
      <formula>$H$5</formula>
      <formula>$H$4</formula>
    </cfRule>
  </conditionalFormatting>
  <conditionalFormatting sqref="R14:R31">
    <cfRule type="cellIs" dxfId="72" priority="1" operator="greaterThanOrEqual">
      <formula>$C$5</formula>
    </cfRule>
    <cfRule type="cellIs" dxfId="71" priority="2" operator="lessThanOrEqual">
      <formula>$C$4</formula>
    </cfRule>
    <cfRule type="cellIs" dxfId="70" priority="3" operator="between">
      <formula>$C$5</formula>
      <formula>$C$4</formula>
    </cfRule>
  </conditionalFormatting>
  <conditionalFormatting sqref="V6">
    <cfRule type="cellIs" dxfId="69" priority="4" operator="greaterThanOrEqual">
      <formula>$H$5</formula>
    </cfRule>
    <cfRule type="cellIs" dxfId="68" priority="5" operator="lessThanOrEqual">
      <formula>$H$4</formula>
    </cfRule>
    <cfRule type="cellIs" dxfId="67" priority="6" operator="between">
      <formula>$H$5</formula>
      <formula>$H$4</formula>
    </cfRule>
  </conditionalFormatting>
  <dataValidations count="9">
    <dataValidation allowBlank="1" showErrorMessage="1" sqref="R14:R31" xr:uid="{CC0EC8F5-D1EA-420F-8704-C2E7ED3E82D0}"/>
    <dataValidation type="decimal" allowBlank="1" showInputMessage="1" showErrorMessage="1" prompt="% de avance en la actividad - indique el % programado de avance durante esta semana_x000a_" sqref="V24:AE31 S31:U31 S29:U29 S27:U27 S14:AE23 S25:U25" xr:uid="{4C90E57F-CB82-4253-A451-5016AFC29FF7}">
      <formula1>0</formula1>
      <formula2>1</formula2>
    </dataValidation>
    <dataValidation type="decimal" allowBlank="1" showInputMessage="1" showErrorMessage="1" prompt="campo calculado  - indica el % de avance  que aporta la activadad a todo el proyecto" sqref="Q21 Q19 Q17 Q15 Q31 Q29 Q27 Q23 Q25" xr:uid="{2447D415-5599-4092-BBC6-D698A98D98DF}">
      <formula1>0</formula1>
      <formula2>1</formula2>
    </dataValidation>
    <dataValidation type="decimal" allowBlank="1" showInputMessage="1" showErrorMessage="1" prompt="valor porcentual de la activida - Indique el peso porcentual de la actividad dentro del proyecto" sqref="Q14 Q20 Q16 Q18 Q30 Q22 Q28 Q26 Q24" xr:uid="{659EA557-69C8-45BC-8FFE-AA6FF3BA4A43}">
      <formula1>0</formula1>
      <formula2>1</formula2>
    </dataValidation>
    <dataValidation type="list" allowBlank="1" showInputMessage="1" showErrorMessage="1" sqref="E14:E31" xr:uid="{A9BBBEFB-FAA1-46B4-9B49-EF911BE2E53C}">
      <formula1>$E$35:$E$53</formula1>
    </dataValidation>
    <dataValidation type="list" allowBlank="1" showInputMessage="1" showErrorMessage="1" sqref="D14:D31" xr:uid="{7703082F-D4DD-4391-82DC-872BAA8A46AA}">
      <formula1>$D$35:$D$44</formula1>
    </dataValidation>
    <dataValidation type="list" allowBlank="1" showInputMessage="1" showErrorMessage="1" sqref="C14:C31" xr:uid="{AD36718A-8F6E-4537-9561-A0E9BDCB66E1}">
      <formula1>$C$35:$C$44</formula1>
    </dataValidation>
    <dataValidation type="list" allowBlank="1" showInputMessage="1" showErrorMessage="1" sqref="B14:B31" xr:uid="{09C0F57C-A509-4BD7-BFED-40CB77E408F4}">
      <formula1>$B$35:$B$42</formula1>
    </dataValidation>
    <dataValidation type="list" allowBlank="1" showInputMessage="1" showErrorMessage="1" sqref="M14:M31" xr:uid="{F60FE361-BF3E-4242-8119-54095F88BA78}">
      <formula1>$K$44:$K$46</formula1>
    </dataValidation>
  </dataValidations>
  <pageMargins left="0.7" right="0.7" top="0.75" bottom="0.75" header="0.3" footer="0.3"/>
  <pageSetup scale="10" orientation="portrait" r:id="rId1"/>
  <headerFooter>
    <oddFooter>&amp;C_x000D_&amp;1#&amp;"Calibri"&amp;10&amp;K008000 DOCUMENTO PÚBLICO</oddFooter>
  </headerFooter>
  <colBreaks count="1" manualBreakCount="1">
    <brk id="35" max="1048575"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51CB-FFDF-4B66-9DFF-B1AA7CAF69BE}">
  <dimension ref="A1:AK146"/>
  <sheetViews>
    <sheetView showGridLines="0" view="pageBreakPreview" topLeftCell="A75" zoomScale="67" zoomScaleNormal="10" zoomScaleSheetLayoutView="67" zoomScalePageLayoutView="48" workbookViewId="0">
      <selection activeCell="A85" sqref="A85:XFD146"/>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7" width="18.26953125" style="1" customWidth="1"/>
    <col min="18" max="20" width="13.7265625" style="1" hidden="1" customWidth="1"/>
    <col min="21" max="33" width="9.54296875" style="1" hidden="1" customWidth="1"/>
    <col min="34" max="34" width="35.7265625" style="1" hidden="1" customWidth="1"/>
    <col min="35" max="37" width="42.54296875" style="1" hidden="1" customWidth="1"/>
    <col min="38" max="16384" width="12.54296875" style="1"/>
  </cols>
  <sheetData>
    <row r="1" spans="1:37" s="56" customFormat="1" ht="15" customHeight="1" x14ac:dyDescent="0.35">
      <c r="A1" s="407"/>
      <c r="B1" s="408"/>
      <c r="C1" s="409"/>
      <c r="D1" s="463" t="s">
        <v>815</v>
      </c>
      <c r="E1" s="463"/>
      <c r="F1" s="463"/>
      <c r="G1" s="463"/>
      <c r="H1" s="463"/>
      <c r="I1" s="463"/>
      <c r="J1" s="463"/>
      <c r="K1" s="463"/>
      <c r="L1" s="463"/>
      <c r="M1" s="463"/>
      <c r="N1" s="463"/>
      <c r="O1" s="463"/>
      <c r="P1" s="463"/>
      <c r="Q1" s="463"/>
      <c r="R1" s="463"/>
      <c r="S1" s="463"/>
      <c r="T1" s="463"/>
      <c r="U1" s="463"/>
      <c r="V1" s="463"/>
      <c r="W1" s="463"/>
      <c r="X1" s="463"/>
      <c r="Y1" s="463"/>
      <c r="Z1" s="463"/>
      <c r="AA1" s="463"/>
      <c r="AB1" s="463"/>
      <c r="AC1" s="463"/>
      <c r="AD1" s="463"/>
      <c r="AE1" s="463"/>
      <c r="AF1" s="463"/>
      <c r="AG1" s="463"/>
      <c r="AH1" s="463"/>
      <c r="AI1" s="463"/>
      <c r="AJ1" s="463"/>
      <c r="AK1" s="463"/>
    </row>
    <row r="2" spans="1:37" s="56" customFormat="1" ht="20.149999999999999" customHeight="1" x14ac:dyDescent="0.35">
      <c r="A2" s="410"/>
      <c r="B2" s="411"/>
      <c r="C2" s="412"/>
      <c r="D2" s="463"/>
      <c r="E2" s="463"/>
      <c r="F2" s="463"/>
      <c r="G2" s="463"/>
      <c r="H2" s="463"/>
      <c r="I2" s="463"/>
      <c r="J2" s="463"/>
      <c r="K2" s="463"/>
      <c r="L2" s="463"/>
      <c r="M2" s="463"/>
      <c r="N2" s="463"/>
      <c r="O2" s="463"/>
      <c r="P2" s="463"/>
      <c r="Q2" s="463"/>
      <c r="R2" s="463"/>
      <c r="S2" s="463"/>
      <c r="T2" s="463"/>
      <c r="U2" s="463"/>
      <c r="V2" s="463"/>
      <c r="W2" s="463"/>
      <c r="X2" s="463"/>
      <c r="Y2" s="463"/>
      <c r="Z2" s="463"/>
      <c r="AA2" s="463"/>
      <c r="AB2" s="463"/>
      <c r="AC2" s="463"/>
      <c r="AD2" s="463"/>
      <c r="AE2" s="463"/>
      <c r="AF2" s="463"/>
      <c r="AG2" s="463"/>
      <c r="AH2" s="463"/>
      <c r="AI2" s="463"/>
      <c r="AJ2" s="463"/>
      <c r="AK2" s="463"/>
    </row>
    <row r="3" spans="1:37" s="56" customFormat="1" ht="60" customHeight="1" x14ac:dyDescent="0.35">
      <c r="A3" s="413"/>
      <c r="B3" s="414"/>
      <c r="C3" s="415"/>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row>
    <row r="4" spans="1:37" s="56" customFormat="1" ht="60" hidden="1" customHeight="1" x14ac:dyDescent="0.35">
      <c r="A4" s="405" t="s">
        <v>34</v>
      </c>
      <c r="B4" s="8" t="s">
        <v>35</v>
      </c>
      <c r="C4" s="10">
        <v>0.7</v>
      </c>
      <c r="D4" s="10"/>
      <c r="E4" s="10"/>
      <c r="F4" s="9"/>
      <c r="G4" s="405"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c r="AG4" s="58"/>
      <c r="AH4" s="58"/>
      <c r="AI4" s="58"/>
    </row>
    <row r="5" spans="1:37" s="56" customFormat="1" ht="60" hidden="1" customHeight="1" thickBot="1" x14ac:dyDescent="0.4">
      <c r="A5" s="405"/>
      <c r="B5" s="8" t="s">
        <v>37</v>
      </c>
      <c r="C5" s="11">
        <v>0.9</v>
      </c>
      <c r="D5" s="11"/>
      <c r="E5" s="11"/>
      <c r="F5" s="11">
        <v>1</v>
      </c>
      <c r="G5" s="405"/>
      <c r="H5" s="8" t="s">
        <v>37</v>
      </c>
      <c r="I5" s="11">
        <v>0.95</v>
      </c>
      <c r="J5" s="57"/>
      <c r="K5" s="58"/>
      <c r="L5" s="58"/>
      <c r="M5" s="58"/>
      <c r="N5" s="58"/>
      <c r="O5" s="58"/>
      <c r="P5" s="58"/>
      <c r="Q5" s="58"/>
      <c r="R5" s="58"/>
      <c r="S5" s="58"/>
      <c r="T5" s="58"/>
      <c r="U5" s="58"/>
      <c r="V5" s="58"/>
      <c r="W5" s="58"/>
      <c r="X5" s="58"/>
      <c r="Y5" s="58"/>
      <c r="Z5" s="58"/>
      <c r="AA5" s="58"/>
      <c r="AB5" s="58"/>
      <c r="AC5" s="58"/>
      <c r="AD5" s="58"/>
      <c r="AE5" s="58"/>
      <c r="AF5" s="58"/>
      <c r="AG5" s="58"/>
      <c r="AH5" s="58"/>
      <c r="AI5" s="58"/>
    </row>
    <row r="6" spans="1:37" ht="20.149999999999999" hidden="1" customHeight="1" x14ac:dyDescent="0.35">
      <c r="A6" s="548" t="s">
        <v>38</v>
      </c>
      <c r="B6" s="548"/>
      <c r="C6" s="513" t="s">
        <v>120</v>
      </c>
      <c r="D6" s="513"/>
      <c r="E6" s="549" t="s">
        <v>40</v>
      </c>
      <c r="F6" s="549"/>
      <c r="G6" s="515" t="e">
        <f>+S15+S17+S19+S21+S23+S25+S27+S29+S31+S33+S35+S37+S39+S41+S43+S45+S47+S49+S51+S53+S55+S57+S59+S61+S63+S65+S67+S69+S71+S73+S75+S77+S79+S81+S83+#REF!+#REF!+#REF!+#REF!+#REF!+#REF!+#REF!+#REF!+#REF!+#REF!+#REF!+#REF!+#REF!+#REF!</f>
        <v>#REF!</v>
      </c>
      <c r="H6" s="549" t="s">
        <v>41</v>
      </c>
      <c r="I6" s="549"/>
      <c r="J6" s="601" t="e">
        <f>+S14+S16+S18+S20+S22+S24+S26+S28+S30+S32+S34+S36+S38+S40+S42+S44+S46+S48+S50+S52+S54+S56+S58+S60+S62+S64+S66+S70+S72+S74+S76+S78+S80+S82+#REF!+#REF!+#REF!+#REF!+#REF!+#REF!+#REF!+#REF!+#REF!+#REF!+#REF!+#REF!+#REF!+#REF!+S68</f>
        <v>#REF!</v>
      </c>
      <c r="K6" s="554" t="s">
        <v>42</v>
      </c>
      <c r="L6" s="555"/>
      <c r="M6" s="443">
        <v>0.95</v>
      </c>
      <c r="N6" s="560" t="s">
        <v>43</v>
      </c>
      <c r="O6" s="561"/>
      <c r="P6" s="561"/>
      <c r="Q6" s="562"/>
      <c r="R6" s="428" t="e">
        <f>(SUM(X14,X16,X18,X20,X22,X24,X26,X28,X30,X32,X34,V36:X36,X40,X42,X44,X46,X48,X50,X52,X54,X56,V58:X58,V62:X62,X64,X66,X68,V70:X70,X72,V74:X74,X76,X78,V80:X80,X82,#REF!,#REF!,#REF!,#REF!,#REF!,#REF!,#REF!,#REF!,#REF!,#REF!,#REF!,#REF!,#REF!,V38:X38,V60:X60)/SUM(X15,X17,X19,X21,X23,X25,X27,X29,X31,X33,X35,V37:X37,X41,X43,X45,X47,X49,X51,X53,X55,X57,V59:X59,X61,V63:X63,X65,X67,X69,V71:X71,X73,V75:X75,X77,X79,V81:X81,X83,#REF!,#REF!,#REF!,#REF!,#REF!,#REF!,#REF!,#REF!,#REF!,#REF!,#REF!,#REF!,#REF!,#REF!,V39:X39,))/M6</f>
        <v>#REF!</v>
      </c>
      <c r="S6" s="429"/>
      <c r="T6" s="430"/>
      <c r="U6" s="560" t="s">
        <v>44</v>
      </c>
      <c r="V6" s="561"/>
      <c r="W6" s="561"/>
      <c r="X6" s="562"/>
      <c r="Y6" s="428" t="e">
        <f>(SUM(Y14:AA14,Y16:AA16,Y18:AA18,Y20:AA20,Y22:AA22,Y24:AA24,Y26:AA26,Y28:AA28,Y30:AA30,Y32:AA32,Y34:AA34,Y36:AA36,Y40:AA40,Y42:AA42,Y44:AA44,Y46:AA46,Y48:AA48,Y50:AA50,Y52:AA52,Y54:AA54,Y56:AA56,Y58:AA58,Y62:AA62,Y64:AA64,Y66:AA66,Y68:AA68,Y70:AA70,Y72:AA72,Y74:AA74,Y76:AA76,Y78:AA78,Y80:AA80,Y82:AA82,#REF!,#REF!,#REF!,#REF!,#REF!,#REF!,#REF!,#REF!,#REF!,#REF!,#REF!,#REF!,#REF!,#REF!,Y38:AA38,Y60:AA60)/SUM(Y15:AA15,Y17:AA17,Y19:AA19,Y21:AA21,Y23:AA23,Y25:AA25,Y27:AA27,Y29:AA29,Y31:AA31,Y33:AA33,Y35:AA35,Y37:AA37,Y41:AA41,Y43:AA43,Y45:AA45,Y47:AA47,Y49:AA49,Y51:AA51,Y53:AA53,Y55:AA55,Y57:AA57,Y59:AA59,Y61:AA61,Y63:AA63,Y65:AA65,Y67:AA67,AA69,Y71:AA71,Y73:AA73,Y75:AA75,Y77:AA77,Y79:AA79,Y81:AA81,Y83:AA83,#REF!,#REF!,#REF!,#REF!,#REF!,#REF!,#REF!,#REF!,#REF!,#REF!,#REF!,#REF!,#REF!,#REF!,Y39:AA39,))/M6</f>
        <v>#REF!</v>
      </c>
      <c r="Z6" s="429"/>
      <c r="AA6" s="429"/>
      <c r="AB6" s="430"/>
      <c r="AC6" s="560" t="s">
        <v>45</v>
      </c>
      <c r="AD6" s="561"/>
      <c r="AE6" s="561"/>
      <c r="AF6" s="562"/>
      <c r="AG6" s="428" t="e">
        <f>(SUM(AD14,AD16,AD18,AD20,AD22,AD24,AD26,AD28,AD30,AD32,AD34,AB36:AD36,AD40,AD42,AD44,AD46,AD48,AD50,AD52,AD54,AD56,AB58:AD58,AD62:AD62,AD64,AD66,AD68,AB70:AD70,AD72,AB74:AD74,AD76,AD78,AB80:AD80,AD82,#REF!,#REF!,#REF!,#REF!,#REF!,#REF!,#REF!,#REF!,#REF!,#REF!,#REF!,#REF!,#REF!,#REF!,AD38:AD38,AD60:AD60)/SUM(AD15,AD17,AD19,AD21,AD23,AD25,AD27,AD29,AD31,AD33,AD35,AB37:AD37,AD41,AD43,AD45,AD47,AD49,AD51,AD53,AD55,AD57,AB59:AD59,AD61,AD63:AD63,AD65,AD67,AD69,AB71:AD71,AD73,AB75:AD75,AD77,AD79,AB81:AD81,AD83,#REF!,#REF!,#REF!,#REF!,#REF!,#REF!,#REF!,#REF!,#REF!,#REF!,#REF!,#REF!,#REF!,#REF!,AD39:AD39,))/M6</f>
        <v>#REF!</v>
      </c>
      <c r="AH6" s="430"/>
      <c r="AI6" s="560" t="s">
        <v>46</v>
      </c>
      <c r="AJ6" s="428" t="e">
        <f>(SUM(AG14,AG16,AG18,AG20,AG22,AG24,AG26,AG28,AG30,AG32,AG34,AE36:AG36,AG40,AG42,AG44,AG46,AG48,AG50,AG52,AG54,AG56,AE58:AG58,AG62:AG62,AG64,AG66,AG68,AE70:AG70,AG72,AE74:AG74,AG76,AG78,AE80:AG80,AG82,#REF!,#REF!,#REF!,#REF!,#REF!,#REF!,#REF!,#REF!,#REF!,#REF!,#REF!,AG8,#REF!,#REF!,AG38:AG38,AG60:AG60)/SUM(AG15,AG17,AG19,AG21,AG23,AG25,AG27,AG29,AG31,AG33,AG35,AE37:AG37,AG41,AG43,AG45,AG47,AG49,AG51,AG53,AG55,AG57,AE59:AG59,AG61,AG63:AG63,AG65,AG67,AG69,AE71:AG71,AG73,AE75:AG75,AG77,AG79,AE81:AG81,AG83,#REF!,#REF!,#REF!,#REF!,#REF!,#REF!,#REF!,#REF!,#REF!,#REF!,#REF!,#REF!,#REF!,#REF!,AG39:AG39,))/M6</f>
        <v>#REF!</v>
      </c>
    </row>
    <row r="7" spans="1:37" ht="15" hidden="1" customHeight="1" x14ac:dyDescent="0.35">
      <c r="A7" s="548"/>
      <c r="B7" s="548"/>
      <c r="C7" s="513"/>
      <c r="D7" s="513"/>
      <c r="E7" s="549"/>
      <c r="F7" s="549"/>
      <c r="G7" s="516"/>
      <c r="H7" s="549"/>
      <c r="I7" s="549"/>
      <c r="J7" s="602"/>
      <c r="K7" s="556"/>
      <c r="L7" s="557"/>
      <c r="M7" s="444"/>
      <c r="N7" s="563"/>
      <c r="O7" s="564"/>
      <c r="P7" s="564"/>
      <c r="Q7" s="565"/>
      <c r="R7" s="431"/>
      <c r="S7" s="432"/>
      <c r="T7" s="433"/>
      <c r="U7" s="563"/>
      <c r="V7" s="564"/>
      <c r="W7" s="564"/>
      <c r="X7" s="565"/>
      <c r="Y7" s="431"/>
      <c r="Z7" s="432"/>
      <c r="AA7" s="432"/>
      <c r="AB7" s="433"/>
      <c r="AC7" s="563"/>
      <c r="AD7" s="564"/>
      <c r="AE7" s="564"/>
      <c r="AF7" s="565"/>
      <c r="AG7" s="431"/>
      <c r="AH7" s="433"/>
      <c r="AI7" s="563"/>
      <c r="AJ7" s="431"/>
    </row>
    <row r="8" spans="1:37" ht="25.4" hidden="1" customHeight="1" thickBot="1" x14ac:dyDescent="0.4">
      <c r="A8" s="548"/>
      <c r="B8" s="548"/>
      <c r="C8" s="513"/>
      <c r="D8" s="513"/>
      <c r="E8" s="549"/>
      <c r="F8" s="549"/>
      <c r="G8" s="516"/>
      <c r="H8" s="549"/>
      <c r="I8" s="549"/>
      <c r="J8" s="602"/>
      <c r="K8" s="556"/>
      <c r="L8" s="557"/>
      <c r="M8" s="444"/>
      <c r="N8" s="563"/>
      <c r="O8" s="564"/>
      <c r="P8" s="564"/>
      <c r="Q8" s="565"/>
      <c r="R8" s="431"/>
      <c r="S8" s="432"/>
      <c r="T8" s="433"/>
      <c r="U8" s="563"/>
      <c r="V8" s="564"/>
      <c r="W8" s="564"/>
      <c r="X8" s="565"/>
      <c r="Y8" s="431"/>
      <c r="Z8" s="432"/>
      <c r="AA8" s="432"/>
      <c r="AB8" s="433"/>
      <c r="AC8" s="563"/>
      <c r="AD8" s="564"/>
      <c r="AE8" s="564"/>
      <c r="AF8" s="565"/>
      <c r="AG8" s="431"/>
      <c r="AH8" s="433"/>
      <c r="AI8" s="563"/>
      <c r="AJ8" s="431"/>
    </row>
    <row r="9" spans="1:37" ht="25.4" hidden="1" customHeight="1" thickBot="1" x14ac:dyDescent="0.4">
      <c r="A9" s="548"/>
      <c r="B9" s="548"/>
      <c r="C9" s="513"/>
      <c r="D9" s="513"/>
      <c r="E9" s="549"/>
      <c r="F9" s="549"/>
      <c r="G9" s="516"/>
      <c r="H9" s="549"/>
      <c r="I9" s="549"/>
      <c r="J9" s="602"/>
      <c r="K9" s="556"/>
      <c r="L9" s="557"/>
      <c r="M9" s="444"/>
      <c r="N9" s="563"/>
      <c r="O9" s="564"/>
      <c r="P9" s="564"/>
      <c r="Q9" s="565"/>
      <c r="R9" s="431"/>
      <c r="S9" s="432"/>
      <c r="T9" s="433"/>
      <c r="U9" s="563"/>
      <c r="V9" s="564"/>
      <c r="W9" s="564"/>
      <c r="X9" s="565"/>
      <c r="Y9" s="431"/>
      <c r="Z9" s="432"/>
      <c r="AA9" s="432"/>
      <c r="AB9" s="433"/>
      <c r="AC9" s="563"/>
      <c r="AD9" s="564"/>
      <c r="AE9" s="564"/>
      <c r="AF9" s="565"/>
      <c r="AG9" s="431"/>
      <c r="AH9" s="433"/>
      <c r="AI9" s="563"/>
      <c r="AJ9" s="431"/>
    </row>
    <row r="10" spans="1:37" ht="15" hidden="1" customHeight="1" thickBot="1" x14ac:dyDescent="0.4">
      <c r="A10" s="548"/>
      <c r="B10" s="548"/>
      <c r="C10" s="513"/>
      <c r="D10" s="513"/>
      <c r="E10" s="549"/>
      <c r="F10" s="549"/>
      <c r="G10" s="550"/>
      <c r="H10" s="549"/>
      <c r="I10" s="549"/>
      <c r="J10" s="603"/>
      <c r="K10" s="558"/>
      <c r="L10" s="559"/>
      <c r="M10" s="445"/>
      <c r="N10" s="566"/>
      <c r="O10" s="567"/>
      <c r="P10" s="567"/>
      <c r="Q10" s="568"/>
      <c r="R10" s="434"/>
      <c r="S10" s="435"/>
      <c r="T10" s="436"/>
      <c r="U10" s="566"/>
      <c r="V10" s="567"/>
      <c r="W10" s="567"/>
      <c r="X10" s="568"/>
      <c r="Y10" s="434"/>
      <c r="Z10" s="435"/>
      <c r="AA10" s="435"/>
      <c r="AB10" s="436"/>
      <c r="AC10" s="566"/>
      <c r="AD10" s="567"/>
      <c r="AE10" s="567"/>
      <c r="AF10" s="568"/>
      <c r="AG10" s="434"/>
      <c r="AH10" s="436"/>
      <c r="AI10" s="566"/>
      <c r="AJ10" s="434"/>
    </row>
    <row r="11" spans="1:37" s="12" customFormat="1" ht="40.4" customHeight="1" thickBot="1" x14ac:dyDescent="0.4">
      <c r="A11" s="390" t="s">
        <v>47</v>
      </c>
      <c r="B11" s="390"/>
      <c r="C11" s="390"/>
      <c r="D11" s="390"/>
      <c r="E11" s="390"/>
      <c r="F11" s="391"/>
      <c r="G11" s="696" t="s">
        <v>820</v>
      </c>
      <c r="H11" s="697"/>
      <c r="I11" s="697"/>
      <c r="J11" s="697"/>
      <c r="K11" s="697"/>
      <c r="L11" s="697"/>
      <c r="M11" s="697"/>
      <c r="N11" s="697"/>
      <c r="O11" s="697"/>
      <c r="P11" s="697"/>
      <c r="Q11" s="698"/>
      <c r="R11" s="604" t="s">
        <v>48</v>
      </c>
      <c r="S11" s="605"/>
      <c r="T11" s="605"/>
      <c r="U11" s="605"/>
      <c r="V11" s="605"/>
      <c r="W11" s="605"/>
      <c r="X11" s="605"/>
      <c r="Y11" s="605"/>
      <c r="Z11" s="605"/>
      <c r="AA11" s="605"/>
      <c r="AB11" s="605"/>
      <c r="AC11" s="605"/>
      <c r="AD11" s="605"/>
      <c r="AE11" s="605"/>
      <c r="AF11" s="605"/>
      <c r="AG11" s="606"/>
      <c r="AH11" s="604" t="s">
        <v>49</v>
      </c>
      <c r="AI11" s="605"/>
      <c r="AJ11" s="605"/>
      <c r="AK11" s="605"/>
    </row>
    <row r="12" spans="1:37" ht="39" customHeight="1" x14ac:dyDescent="0.35">
      <c r="A12" s="395" t="s">
        <v>50</v>
      </c>
      <c r="B12" s="397" t="s">
        <v>51</v>
      </c>
      <c r="C12" s="397" t="s">
        <v>52</v>
      </c>
      <c r="D12" s="397" t="s">
        <v>53</v>
      </c>
      <c r="E12" s="397" t="s">
        <v>54</v>
      </c>
      <c r="F12" s="397" t="s">
        <v>30</v>
      </c>
      <c r="G12" s="397" t="s">
        <v>265</v>
      </c>
      <c r="H12" s="397" t="s">
        <v>42</v>
      </c>
      <c r="I12" s="397" t="s">
        <v>266</v>
      </c>
      <c r="J12" s="397" t="s">
        <v>267</v>
      </c>
      <c r="K12" s="397" t="s">
        <v>268</v>
      </c>
      <c r="L12" s="397" t="s">
        <v>269</v>
      </c>
      <c r="M12" s="397" t="s">
        <v>58</v>
      </c>
      <c r="N12" s="397" t="s">
        <v>59</v>
      </c>
      <c r="O12" s="397" t="s">
        <v>270</v>
      </c>
      <c r="P12" s="397" t="s">
        <v>62</v>
      </c>
      <c r="Q12" s="397" t="s">
        <v>63</v>
      </c>
      <c r="R12" s="633" t="s">
        <v>64</v>
      </c>
      <c r="S12" s="634" t="s">
        <v>65</v>
      </c>
      <c r="T12" s="635" t="s">
        <v>66</v>
      </c>
      <c r="U12" s="620" t="s">
        <v>67</v>
      </c>
      <c r="V12" s="618" t="s">
        <v>68</v>
      </c>
      <c r="W12" s="616" t="s">
        <v>69</v>
      </c>
      <c r="X12" s="622" t="s">
        <v>70</v>
      </c>
      <c r="Y12" s="624" t="s">
        <v>71</v>
      </c>
      <c r="Z12" s="622" t="s">
        <v>72</v>
      </c>
      <c r="AA12" s="616" t="s">
        <v>73</v>
      </c>
      <c r="AB12" s="618" t="s">
        <v>74</v>
      </c>
      <c r="AC12" s="620" t="s">
        <v>75</v>
      </c>
      <c r="AD12" s="618" t="s">
        <v>76</v>
      </c>
      <c r="AE12" s="616" t="s">
        <v>77</v>
      </c>
      <c r="AF12" s="622" t="s">
        <v>78</v>
      </c>
      <c r="AG12" s="613" t="s">
        <v>79</v>
      </c>
      <c r="AH12" s="615" t="s">
        <v>80</v>
      </c>
      <c r="AI12" s="615" t="s">
        <v>81</v>
      </c>
      <c r="AJ12" s="615" t="s">
        <v>82</v>
      </c>
      <c r="AK12" s="615" t="s">
        <v>83</v>
      </c>
    </row>
    <row r="13" spans="1:37" ht="60" customHeight="1" thickBot="1" x14ac:dyDescent="0.4">
      <c r="A13" s="396"/>
      <c r="B13" s="396"/>
      <c r="C13" s="396"/>
      <c r="D13" s="396"/>
      <c r="E13" s="396"/>
      <c r="F13" s="396"/>
      <c r="G13" s="396"/>
      <c r="H13" s="396"/>
      <c r="I13" s="396"/>
      <c r="J13" s="396"/>
      <c r="K13" s="396"/>
      <c r="L13" s="396"/>
      <c r="M13" s="396"/>
      <c r="N13" s="396"/>
      <c r="O13" s="396"/>
      <c r="P13" s="396"/>
      <c r="Q13" s="396"/>
      <c r="R13" s="633"/>
      <c r="S13" s="634"/>
      <c r="T13" s="635"/>
      <c r="U13" s="621"/>
      <c r="V13" s="619"/>
      <c r="W13" s="617"/>
      <c r="X13" s="623"/>
      <c r="Y13" s="625"/>
      <c r="Z13" s="623"/>
      <c r="AA13" s="617"/>
      <c r="AB13" s="619"/>
      <c r="AC13" s="621"/>
      <c r="AD13" s="619"/>
      <c r="AE13" s="617"/>
      <c r="AF13" s="623"/>
      <c r="AG13" s="614"/>
      <c r="AH13" s="615"/>
      <c r="AI13" s="615"/>
      <c r="AJ13" s="615"/>
      <c r="AK13" s="615"/>
    </row>
    <row r="14" spans="1:37" ht="40.4" customHeight="1" thickBot="1" x14ac:dyDescent="0.4">
      <c r="A14" s="384">
        <v>1</v>
      </c>
      <c r="B14" s="384" t="s">
        <v>510</v>
      </c>
      <c r="C14" s="384" t="s">
        <v>828</v>
      </c>
      <c r="D14" s="384" t="s">
        <v>118</v>
      </c>
      <c r="E14" s="384" t="s">
        <v>119</v>
      </c>
      <c r="F14" s="382" t="s">
        <v>86</v>
      </c>
      <c r="G14" s="403" t="s">
        <v>637</v>
      </c>
      <c r="H14" s="711" t="s">
        <v>641</v>
      </c>
      <c r="I14" s="701" t="s">
        <v>647</v>
      </c>
      <c r="J14" s="694" t="s">
        <v>271</v>
      </c>
      <c r="K14" s="694" t="s">
        <v>648</v>
      </c>
      <c r="L14" s="384" t="s">
        <v>120</v>
      </c>
      <c r="M14" s="694" t="s">
        <v>649</v>
      </c>
      <c r="N14" s="694" t="s">
        <v>650</v>
      </c>
      <c r="O14" s="694" t="s">
        <v>649</v>
      </c>
      <c r="P14" s="709">
        <v>45901</v>
      </c>
      <c r="Q14" s="709">
        <v>45991</v>
      </c>
      <c r="R14" s="60" t="s">
        <v>91</v>
      </c>
      <c r="S14" s="53">
        <f>+(S15*T14)</f>
        <v>2.0408163265306121E-2</v>
      </c>
      <c r="T14" s="66">
        <f t="shared" ref="T14:T45" si="0">SUM(U14:AG14)</f>
        <v>1</v>
      </c>
      <c r="U14" s="43"/>
      <c r="V14" s="43"/>
      <c r="W14" s="43"/>
      <c r="X14" s="43"/>
      <c r="Y14" s="43"/>
      <c r="Z14" s="43"/>
      <c r="AA14" s="43"/>
      <c r="AB14" s="43"/>
      <c r="AC14" s="44"/>
      <c r="AD14" s="44"/>
      <c r="AE14" s="44"/>
      <c r="AF14" s="44"/>
      <c r="AG14" s="44">
        <v>1</v>
      </c>
      <c r="AH14" s="703"/>
      <c r="AI14" s="705"/>
      <c r="AJ14" s="699"/>
      <c r="AK14" s="703" t="s">
        <v>272</v>
      </c>
    </row>
    <row r="15" spans="1:37" ht="64.5" customHeight="1" thickBot="1" x14ac:dyDescent="0.4">
      <c r="A15" s="385"/>
      <c r="B15" s="385"/>
      <c r="C15" s="385"/>
      <c r="D15" s="385"/>
      <c r="E15" s="385"/>
      <c r="F15" s="399"/>
      <c r="G15" s="403"/>
      <c r="H15" s="711"/>
      <c r="I15" s="702"/>
      <c r="J15" s="695"/>
      <c r="K15" s="695"/>
      <c r="L15" s="385"/>
      <c r="M15" s="695"/>
      <c r="N15" s="695"/>
      <c r="O15" s="695"/>
      <c r="P15" s="710"/>
      <c r="Q15" s="710"/>
      <c r="R15" s="60" t="s">
        <v>96</v>
      </c>
      <c r="S15" s="52">
        <f>100%/49</f>
        <v>2.0408163265306121E-2</v>
      </c>
      <c r="T15" s="66">
        <f t="shared" si="0"/>
        <v>1</v>
      </c>
      <c r="U15" s="42"/>
      <c r="V15" s="42"/>
      <c r="W15" s="42"/>
      <c r="X15" s="42"/>
      <c r="Y15" s="42"/>
      <c r="Z15" s="42"/>
      <c r="AA15" s="42"/>
      <c r="AB15" s="42"/>
      <c r="AC15" s="42"/>
      <c r="AD15" s="42"/>
      <c r="AE15" s="42"/>
      <c r="AF15" s="42"/>
      <c r="AG15" s="42">
        <v>1</v>
      </c>
      <c r="AH15" s="704"/>
      <c r="AI15" s="706"/>
      <c r="AJ15" s="700"/>
      <c r="AK15" s="704"/>
    </row>
    <row r="16" spans="1:37" ht="37.4" customHeight="1" thickBot="1" x14ac:dyDescent="0.4">
      <c r="A16" s="384">
        <v>2</v>
      </c>
      <c r="B16" s="384" t="s">
        <v>510</v>
      </c>
      <c r="C16" s="384" t="s">
        <v>828</v>
      </c>
      <c r="D16" s="384" t="s">
        <v>118</v>
      </c>
      <c r="E16" s="384" t="s">
        <v>119</v>
      </c>
      <c r="F16" s="382" t="s">
        <v>86</v>
      </c>
      <c r="G16" s="403"/>
      <c r="H16" s="711"/>
      <c r="I16" s="701" t="s">
        <v>647</v>
      </c>
      <c r="J16" s="707" t="s">
        <v>348</v>
      </c>
      <c r="K16" s="707" t="s">
        <v>349</v>
      </c>
      <c r="L16" s="384" t="s">
        <v>120</v>
      </c>
      <c r="M16" s="707" t="s">
        <v>525</v>
      </c>
      <c r="N16" s="707" t="s">
        <v>650</v>
      </c>
      <c r="O16" s="707" t="s">
        <v>525</v>
      </c>
      <c r="P16" s="715">
        <v>45838</v>
      </c>
      <c r="Q16" s="715">
        <v>46021</v>
      </c>
      <c r="R16" s="60" t="s">
        <v>91</v>
      </c>
      <c r="S16" s="53">
        <f>+(S17*T16)</f>
        <v>2.0408163265306121E-2</v>
      </c>
      <c r="T16" s="66">
        <f t="shared" si="0"/>
        <v>1</v>
      </c>
      <c r="U16" s="43"/>
      <c r="V16" s="43"/>
      <c r="W16" s="43"/>
      <c r="X16" s="43"/>
      <c r="Y16" s="43"/>
      <c r="Z16" s="43"/>
      <c r="AA16" s="43"/>
      <c r="AB16" s="43"/>
      <c r="AC16" s="44"/>
      <c r="AD16" s="44"/>
      <c r="AE16" s="44"/>
      <c r="AF16" s="44"/>
      <c r="AG16" s="172">
        <v>1</v>
      </c>
      <c r="AH16" s="703"/>
      <c r="AI16" s="705"/>
      <c r="AJ16" s="699"/>
      <c r="AK16" s="699" t="s">
        <v>273</v>
      </c>
    </row>
    <row r="17" spans="1:37" ht="37.4" customHeight="1" thickBot="1" x14ac:dyDescent="0.4">
      <c r="A17" s="385"/>
      <c r="B17" s="385"/>
      <c r="C17" s="385"/>
      <c r="D17" s="385"/>
      <c r="E17" s="385"/>
      <c r="F17" s="383"/>
      <c r="G17" s="403"/>
      <c r="H17" s="711"/>
      <c r="I17" s="702" t="s">
        <v>647</v>
      </c>
      <c r="J17" s="708"/>
      <c r="K17" s="708"/>
      <c r="L17" s="385"/>
      <c r="M17" s="708"/>
      <c r="N17" s="708"/>
      <c r="O17" s="708"/>
      <c r="P17" s="716"/>
      <c r="Q17" s="716"/>
      <c r="R17" s="60" t="s">
        <v>96</v>
      </c>
      <c r="S17" s="52">
        <f>100%/49</f>
        <v>2.0408163265306121E-2</v>
      </c>
      <c r="T17" s="66">
        <f t="shared" si="0"/>
        <v>1</v>
      </c>
      <c r="U17" s="42"/>
      <c r="V17" s="42"/>
      <c r="W17" s="42"/>
      <c r="X17" s="42"/>
      <c r="Y17" s="42"/>
      <c r="Z17" s="42"/>
      <c r="AA17" s="42"/>
      <c r="AB17" s="42"/>
      <c r="AC17" s="42"/>
      <c r="AD17" s="42"/>
      <c r="AE17" s="42"/>
      <c r="AF17" s="42"/>
      <c r="AG17" s="42">
        <v>1</v>
      </c>
      <c r="AH17" s="704"/>
      <c r="AI17" s="706"/>
      <c r="AJ17" s="700"/>
      <c r="AK17" s="700"/>
    </row>
    <row r="18" spans="1:37" ht="37.4" customHeight="1" thickBot="1" x14ac:dyDescent="0.4">
      <c r="A18" s="384">
        <v>3</v>
      </c>
      <c r="B18" s="384" t="s">
        <v>510</v>
      </c>
      <c r="C18" s="384" t="s">
        <v>828</v>
      </c>
      <c r="D18" s="384" t="s">
        <v>118</v>
      </c>
      <c r="E18" s="384" t="s">
        <v>119</v>
      </c>
      <c r="F18" s="382" t="s">
        <v>86</v>
      </c>
      <c r="G18" s="403"/>
      <c r="H18" s="711"/>
      <c r="I18" s="701" t="s">
        <v>647</v>
      </c>
      <c r="J18" s="694" t="s">
        <v>350</v>
      </c>
      <c r="K18" s="694" t="s">
        <v>651</v>
      </c>
      <c r="L18" s="384" t="s">
        <v>120</v>
      </c>
      <c r="M18" s="694" t="s">
        <v>525</v>
      </c>
      <c r="N18" s="694" t="s">
        <v>650</v>
      </c>
      <c r="O18" s="694" t="s">
        <v>525</v>
      </c>
      <c r="P18" s="709">
        <v>45839</v>
      </c>
      <c r="Q18" s="709">
        <v>46022</v>
      </c>
      <c r="R18" s="60" t="s">
        <v>91</v>
      </c>
      <c r="S18" s="53">
        <f>+(S19*T18)</f>
        <v>2.0408163265306121E-2</v>
      </c>
      <c r="T18" s="66">
        <f t="shared" si="0"/>
        <v>1</v>
      </c>
      <c r="U18" s="43"/>
      <c r="V18" s="43"/>
      <c r="W18" s="43"/>
      <c r="X18" s="43"/>
      <c r="Y18" s="43"/>
      <c r="Z18" s="43"/>
      <c r="AA18" s="43">
        <v>0.5</v>
      </c>
      <c r="AB18" s="43"/>
      <c r="AC18" s="44"/>
      <c r="AD18" s="44"/>
      <c r="AE18" s="44"/>
      <c r="AF18" s="44"/>
      <c r="AG18" s="43">
        <v>0.5</v>
      </c>
      <c r="AH18" s="703"/>
      <c r="AI18" s="705" t="s">
        <v>276</v>
      </c>
      <c r="AJ18" s="699"/>
      <c r="AK18" s="705" t="s">
        <v>276</v>
      </c>
    </row>
    <row r="19" spans="1:37" ht="37.4" customHeight="1" thickBot="1" x14ac:dyDescent="0.4">
      <c r="A19" s="385"/>
      <c r="B19" s="385"/>
      <c r="C19" s="385"/>
      <c r="D19" s="385"/>
      <c r="E19" s="385"/>
      <c r="F19" s="383"/>
      <c r="G19" s="403"/>
      <c r="H19" s="711"/>
      <c r="I19" s="702" t="s">
        <v>647</v>
      </c>
      <c r="J19" s="695"/>
      <c r="K19" s="695"/>
      <c r="L19" s="385"/>
      <c r="M19" s="695"/>
      <c r="N19" s="695"/>
      <c r="O19" s="695"/>
      <c r="P19" s="710"/>
      <c r="Q19" s="710"/>
      <c r="R19" s="60" t="s">
        <v>96</v>
      </c>
      <c r="S19" s="52">
        <f>100%/49</f>
        <v>2.0408163265306121E-2</v>
      </c>
      <c r="T19" s="66">
        <f t="shared" si="0"/>
        <v>1</v>
      </c>
      <c r="U19" s="42"/>
      <c r="V19" s="42"/>
      <c r="W19" s="42"/>
      <c r="X19" s="42"/>
      <c r="Y19" s="42"/>
      <c r="Z19" s="42"/>
      <c r="AA19" s="42">
        <v>0.5</v>
      </c>
      <c r="AB19" s="42"/>
      <c r="AC19" s="42"/>
      <c r="AD19" s="42"/>
      <c r="AE19" s="42"/>
      <c r="AF19" s="42"/>
      <c r="AG19" s="42">
        <v>0.5</v>
      </c>
      <c r="AH19" s="704"/>
      <c r="AI19" s="706"/>
      <c r="AJ19" s="700"/>
      <c r="AK19" s="706"/>
    </row>
    <row r="20" spans="1:37" ht="37.4" customHeight="1" thickBot="1" x14ac:dyDescent="0.4">
      <c r="A20" s="384">
        <v>4</v>
      </c>
      <c r="B20" s="384" t="s">
        <v>510</v>
      </c>
      <c r="C20" s="384" t="s">
        <v>828</v>
      </c>
      <c r="D20" s="384" t="s">
        <v>118</v>
      </c>
      <c r="E20" s="384" t="s">
        <v>119</v>
      </c>
      <c r="F20" s="382" t="s">
        <v>86</v>
      </c>
      <c r="G20" s="403"/>
      <c r="H20" s="711"/>
      <c r="I20" s="701" t="s">
        <v>647</v>
      </c>
      <c r="J20" s="694" t="s">
        <v>291</v>
      </c>
      <c r="K20" s="694" t="s">
        <v>292</v>
      </c>
      <c r="L20" s="384" t="s">
        <v>120</v>
      </c>
      <c r="M20" s="694" t="s">
        <v>514</v>
      </c>
      <c r="N20" s="694" t="s">
        <v>650</v>
      </c>
      <c r="O20" s="694" t="s">
        <v>514</v>
      </c>
      <c r="P20" s="709">
        <v>45689</v>
      </c>
      <c r="Q20" s="709">
        <v>46022</v>
      </c>
      <c r="R20" s="60" t="s">
        <v>91</v>
      </c>
      <c r="S20" s="53">
        <f>+(S21*T20)</f>
        <v>2.0408163265306121E-2</v>
      </c>
      <c r="T20" s="66">
        <f t="shared" si="0"/>
        <v>1</v>
      </c>
      <c r="U20" s="43"/>
      <c r="V20" s="43"/>
      <c r="W20" s="43"/>
      <c r="X20" s="43"/>
      <c r="Y20" s="43"/>
      <c r="Z20" s="43"/>
      <c r="AA20" s="43"/>
      <c r="AB20" s="43"/>
      <c r="AC20" s="44"/>
      <c r="AD20" s="44"/>
      <c r="AE20" s="44"/>
      <c r="AF20" s="44"/>
      <c r="AG20" s="44">
        <v>1</v>
      </c>
      <c r="AH20" s="703"/>
      <c r="AI20" s="705"/>
      <c r="AJ20" s="699"/>
      <c r="AK20" s="699" t="s">
        <v>273</v>
      </c>
    </row>
    <row r="21" spans="1:37" ht="37.4" customHeight="1" thickBot="1" x14ac:dyDescent="0.4">
      <c r="A21" s="385"/>
      <c r="B21" s="385"/>
      <c r="C21" s="385"/>
      <c r="D21" s="385"/>
      <c r="E21" s="385"/>
      <c r="F21" s="383"/>
      <c r="G21" s="403"/>
      <c r="H21" s="711"/>
      <c r="I21" s="702" t="s">
        <v>647</v>
      </c>
      <c r="J21" s="695"/>
      <c r="K21" s="695"/>
      <c r="L21" s="385"/>
      <c r="M21" s="695"/>
      <c r="N21" s="695"/>
      <c r="O21" s="695"/>
      <c r="P21" s="710"/>
      <c r="Q21" s="710"/>
      <c r="R21" s="60" t="s">
        <v>96</v>
      </c>
      <c r="S21" s="52">
        <f>100%/49</f>
        <v>2.0408163265306121E-2</v>
      </c>
      <c r="T21" s="66">
        <f t="shared" si="0"/>
        <v>1</v>
      </c>
      <c r="U21" s="42"/>
      <c r="V21" s="42"/>
      <c r="W21" s="42"/>
      <c r="X21" s="42"/>
      <c r="Y21" s="42"/>
      <c r="Z21" s="42"/>
      <c r="AA21" s="42"/>
      <c r="AB21" s="42"/>
      <c r="AC21" s="42"/>
      <c r="AD21" s="42"/>
      <c r="AE21" s="42"/>
      <c r="AF21" s="42"/>
      <c r="AG21" s="42">
        <v>1</v>
      </c>
      <c r="AH21" s="704"/>
      <c r="AI21" s="706"/>
      <c r="AJ21" s="700"/>
      <c r="AK21" s="700"/>
    </row>
    <row r="22" spans="1:37" ht="37.4" customHeight="1" thickBot="1" x14ac:dyDescent="0.4">
      <c r="A22" s="384">
        <v>5</v>
      </c>
      <c r="B22" s="384" t="s">
        <v>510</v>
      </c>
      <c r="C22" s="384" t="s">
        <v>828</v>
      </c>
      <c r="D22" s="384" t="s">
        <v>118</v>
      </c>
      <c r="E22" s="384" t="s">
        <v>119</v>
      </c>
      <c r="F22" s="382" t="s">
        <v>86</v>
      </c>
      <c r="G22" s="403"/>
      <c r="H22" s="711"/>
      <c r="I22" s="701" t="s">
        <v>647</v>
      </c>
      <c r="J22" s="694" t="s">
        <v>291</v>
      </c>
      <c r="K22" s="694" t="s">
        <v>652</v>
      </c>
      <c r="L22" s="384" t="s">
        <v>120</v>
      </c>
      <c r="M22" s="694" t="s">
        <v>653</v>
      </c>
      <c r="N22" s="694" t="s">
        <v>650</v>
      </c>
      <c r="O22" s="694" t="s">
        <v>653</v>
      </c>
      <c r="P22" s="709">
        <v>45689</v>
      </c>
      <c r="Q22" s="709">
        <v>46022</v>
      </c>
      <c r="R22" s="60" t="s">
        <v>91</v>
      </c>
      <c r="S22" s="53">
        <f>+(S23*T22)</f>
        <v>2.0408163265306121E-2</v>
      </c>
      <c r="T22" s="66">
        <f t="shared" si="0"/>
        <v>1</v>
      </c>
      <c r="U22" s="45"/>
      <c r="V22" s="45"/>
      <c r="W22" s="45"/>
      <c r="X22" s="43"/>
      <c r="Y22" s="43"/>
      <c r="Z22" s="43"/>
      <c r="AA22" s="43"/>
      <c r="AB22" s="43"/>
      <c r="AC22" s="44"/>
      <c r="AD22" s="44"/>
      <c r="AE22" s="44"/>
      <c r="AF22" s="44"/>
      <c r="AG22" s="44">
        <v>1</v>
      </c>
      <c r="AH22" s="703"/>
      <c r="AI22" s="705"/>
      <c r="AJ22" s="699"/>
      <c r="AK22" s="699" t="s">
        <v>278</v>
      </c>
    </row>
    <row r="23" spans="1:37" ht="37.4" customHeight="1" thickBot="1" x14ac:dyDescent="0.4">
      <c r="A23" s="385"/>
      <c r="B23" s="385"/>
      <c r="C23" s="385"/>
      <c r="D23" s="385"/>
      <c r="E23" s="385"/>
      <c r="F23" s="383"/>
      <c r="G23" s="403"/>
      <c r="H23" s="711"/>
      <c r="I23" s="702" t="s">
        <v>647</v>
      </c>
      <c r="J23" s="695"/>
      <c r="K23" s="695"/>
      <c r="L23" s="385"/>
      <c r="M23" s="695"/>
      <c r="N23" s="695"/>
      <c r="O23" s="695"/>
      <c r="P23" s="710"/>
      <c r="Q23" s="710"/>
      <c r="R23" s="60" t="s">
        <v>96</v>
      </c>
      <c r="S23" s="52">
        <f>100%/49</f>
        <v>2.0408163265306121E-2</v>
      </c>
      <c r="T23" s="66">
        <f t="shared" si="0"/>
        <v>1</v>
      </c>
      <c r="U23" s="42"/>
      <c r="V23" s="42"/>
      <c r="W23" s="42"/>
      <c r="X23" s="42"/>
      <c r="Y23" s="42"/>
      <c r="Z23" s="42"/>
      <c r="AA23" s="42"/>
      <c r="AB23" s="42"/>
      <c r="AC23" s="42"/>
      <c r="AD23" s="42"/>
      <c r="AE23" s="42"/>
      <c r="AF23" s="42"/>
      <c r="AG23" s="42">
        <v>1</v>
      </c>
      <c r="AH23" s="704"/>
      <c r="AI23" s="706"/>
      <c r="AJ23" s="700"/>
      <c r="AK23" s="700"/>
    </row>
    <row r="24" spans="1:37" ht="37.4" customHeight="1" thickBot="1" x14ac:dyDescent="0.4">
      <c r="A24" s="384">
        <v>6</v>
      </c>
      <c r="B24" s="384" t="s">
        <v>510</v>
      </c>
      <c r="C24" s="384" t="s">
        <v>828</v>
      </c>
      <c r="D24" s="384" t="s">
        <v>118</v>
      </c>
      <c r="E24" s="384" t="s">
        <v>119</v>
      </c>
      <c r="F24" s="382" t="s">
        <v>86</v>
      </c>
      <c r="G24" s="403"/>
      <c r="H24" s="711"/>
      <c r="I24" s="701" t="s">
        <v>647</v>
      </c>
      <c r="J24" s="694" t="s">
        <v>351</v>
      </c>
      <c r="K24" s="694" t="s">
        <v>654</v>
      </c>
      <c r="L24" s="384" t="s">
        <v>120</v>
      </c>
      <c r="M24" s="694" t="s">
        <v>520</v>
      </c>
      <c r="N24" s="694" t="s">
        <v>650</v>
      </c>
      <c r="O24" s="694" t="s">
        <v>520</v>
      </c>
      <c r="P24" s="709">
        <v>45748</v>
      </c>
      <c r="Q24" s="709">
        <v>46022</v>
      </c>
      <c r="R24" s="60" t="s">
        <v>91</v>
      </c>
      <c r="S24" s="53">
        <f>+(S25*T24)</f>
        <v>2.0408163265306121E-2</v>
      </c>
      <c r="T24" s="66">
        <f>SUM(U24:AG24)</f>
        <v>1</v>
      </c>
      <c r="U24" s="59"/>
      <c r="V24" s="59"/>
      <c r="W24" s="59"/>
      <c r="X24" s="43"/>
      <c r="Y24" s="43"/>
      <c r="Z24" s="43"/>
      <c r="AA24" s="43"/>
      <c r="AB24" s="43"/>
      <c r="AC24" s="44"/>
      <c r="AD24" s="44"/>
      <c r="AE24" s="44"/>
      <c r="AF24" s="44"/>
      <c r="AG24" s="44">
        <v>1</v>
      </c>
      <c r="AH24" s="703"/>
      <c r="AI24" s="705"/>
      <c r="AJ24" s="699"/>
      <c r="AK24" s="699" t="s">
        <v>280</v>
      </c>
    </row>
    <row r="25" spans="1:37" ht="40.4" customHeight="1" thickBot="1" x14ac:dyDescent="0.4">
      <c r="A25" s="385"/>
      <c r="B25" s="385"/>
      <c r="C25" s="385"/>
      <c r="D25" s="385"/>
      <c r="E25" s="385"/>
      <c r="F25" s="383"/>
      <c r="G25" s="403"/>
      <c r="H25" s="711"/>
      <c r="I25" s="702" t="s">
        <v>647</v>
      </c>
      <c r="J25" s="695"/>
      <c r="K25" s="695"/>
      <c r="L25" s="385"/>
      <c r="M25" s="695"/>
      <c r="N25" s="695"/>
      <c r="O25" s="695"/>
      <c r="P25" s="710"/>
      <c r="Q25" s="710"/>
      <c r="R25" s="60" t="s">
        <v>96</v>
      </c>
      <c r="S25" s="52">
        <f>100%/49</f>
        <v>2.0408163265306121E-2</v>
      </c>
      <c r="T25" s="66">
        <f t="shared" si="0"/>
        <v>1</v>
      </c>
      <c r="U25" s="42"/>
      <c r="V25" s="42"/>
      <c r="W25" s="42"/>
      <c r="X25" s="42"/>
      <c r="Y25" s="42"/>
      <c r="Z25" s="42"/>
      <c r="AA25" s="42"/>
      <c r="AB25" s="42"/>
      <c r="AC25" s="42"/>
      <c r="AD25" s="42"/>
      <c r="AE25" s="42"/>
      <c r="AF25" s="42"/>
      <c r="AG25" s="42">
        <v>1</v>
      </c>
      <c r="AH25" s="704"/>
      <c r="AI25" s="706"/>
      <c r="AJ25" s="700"/>
      <c r="AK25" s="700"/>
    </row>
    <row r="26" spans="1:37" ht="37.4" customHeight="1" thickBot="1" x14ac:dyDescent="0.4">
      <c r="A26" s="384">
        <v>7</v>
      </c>
      <c r="B26" s="384" t="s">
        <v>510</v>
      </c>
      <c r="C26" s="384" t="s">
        <v>828</v>
      </c>
      <c r="D26" s="384" t="s">
        <v>118</v>
      </c>
      <c r="E26" s="384" t="s">
        <v>119</v>
      </c>
      <c r="F26" s="404" t="s">
        <v>86</v>
      </c>
      <c r="G26" s="403"/>
      <c r="H26" s="711"/>
      <c r="I26" s="701" t="s">
        <v>647</v>
      </c>
      <c r="J26" s="694" t="s">
        <v>1978</v>
      </c>
      <c r="K26" s="694" t="s">
        <v>1979</v>
      </c>
      <c r="L26" s="384" t="s">
        <v>120</v>
      </c>
      <c r="M26" s="694" t="s">
        <v>520</v>
      </c>
      <c r="N26" s="694" t="s">
        <v>650</v>
      </c>
      <c r="O26" s="694" t="s">
        <v>520</v>
      </c>
      <c r="P26" s="709">
        <v>45748</v>
      </c>
      <c r="Q26" s="709">
        <v>46022</v>
      </c>
      <c r="R26" s="60" t="s">
        <v>91</v>
      </c>
      <c r="S26" s="53">
        <f>+(S27*T26)</f>
        <v>2.0408163265306121E-2</v>
      </c>
      <c r="T26" s="66">
        <f t="shared" si="0"/>
        <v>1</v>
      </c>
      <c r="U26" s="45"/>
      <c r="V26" s="45"/>
      <c r="W26" s="45"/>
      <c r="X26" s="45"/>
      <c r="Y26" s="45"/>
      <c r="Z26" s="45"/>
      <c r="AA26" s="45"/>
      <c r="AB26" s="45"/>
      <c r="AC26" s="45"/>
      <c r="AD26" s="45"/>
      <c r="AE26" s="45"/>
      <c r="AF26" s="45"/>
      <c r="AG26" s="44">
        <v>1</v>
      </c>
      <c r="AH26" s="703"/>
      <c r="AI26" s="705"/>
      <c r="AJ26" s="699"/>
      <c r="AK26" s="699" t="s">
        <v>282</v>
      </c>
    </row>
    <row r="27" spans="1:37" ht="37.4" customHeight="1" thickBot="1" x14ac:dyDescent="0.4">
      <c r="A27" s="385"/>
      <c r="B27" s="385"/>
      <c r="C27" s="385"/>
      <c r="D27" s="385"/>
      <c r="E27" s="385"/>
      <c r="F27" s="404"/>
      <c r="G27" s="403"/>
      <c r="H27" s="711"/>
      <c r="I27" s="702" t="s">
        <v>647</v>
      </c>
      <c r="J27" s="695"/>
      <c r="K27" s="695"/>
      <c r="L27" s="385"/>
      <c r="M27" s="695"/>
      <c r="N27" s="695"/>
      <c r="O27" s="695"/>
      <c r="P27" s="710"/>
      <c r="Q27" s="710"/>
      <c r="R27" s="60" t="s">
        <v>96</v>
      </c>
      <c r="S27" s="52">
        <f>100%/49</f>
        <v>2.0408163265306121E-2</v>
      </c>
      <c r="T27" s="66">
        <f t="shared" si="0"/>
        <v>1</v>
      </c>
      <c r="U27" s="42"/>
      <c r="V27" s="42"/>
      <c r="W27" s="42"/>
      <c r="X27" s="42"/>
      <c r="Y27" s="42"/>
      <c r="Z27" s="42"/>
      <c r="AA27" s="42"/>
      <c r="AB27" s="42"/>
      <c r="AC27" s="42"/>
      <c r="AD27" s="42"/>
      <c r="AE27" s="42"/>
      <c r="AF27" s="42"/>
      <c r="AG27" s="42">
        <v>1</v>
      </c>
      <c r="AH27" s="704"/>
      <c r="AI27" s="706"/>
      <c r="AJ27" s="700"/>
      <c r="AK27" s="700"/>
    </row>
    <row r="28" spans="1:37" ht="37.4" customHeight="1" thickBot="1" x14ac:dyDescent="0.4">
      <c r="A28" s="403">
        <v>8</v>
      </c>
      <c r="B28" s="403" t="s">
        <v>510</v>
      </c>
      <c r="C28" s="384" t="s">
        <v>828</v>
      </c>
      <c r="D28" s="403" t="s">
        <v>118</v>
      </c>
      <c r="E28" s="403" t="s">
        <v>119</v>
      </c>
      <c r="F28" s="404" t="s">
        <v>86</v>
      </c>
      <c r="G28" s="403" t="s">
        <v>637</v>
      </c>
      <c r="H28" s="711" t="s">
        <v>642</v>
      </c>
      <c r="I28" s="701" t="s">
        <v>655</v>
      </c>
      <c r="J28" s="694" t="s">
        <v>301</v>
      </c>
      <c r="K28" s="694" t="s">
        <v>656</v>
      </c>
      <c r="L28" s="384" t="s">
        <v>120</v>
      </c>
      <c r="M28" s="694" t="s">
        <v>649</v>
      </c>
      <c r="N28" s="694" t="s">
        <v>650</v>
      </c>
      <c r="O28" s="694" t="s">
        <v>649</v>
      </c>
      <c r="P28" s="709">
        <v>45901</v>
      </c>
      <c r="Q28" s="709">
        <v>46022</v>
      </c>
      <c r="R28" s="60" t="s">
        <v>91</v>
      </c>
      <c r="S28" s="53">
        <f>+(S29*T28)</f>
        <v>2.0408163265306121E-2</v>
      </c>
      <c r="T28" s="66">
        <f t="shared" si="0"/>
        <v>1</v>
      </c>
      <c r="U28" s="45"/>
      <c r="V28" s="45"/>
      <c r="W28" s="45"/>
      <c r="X28" s="45"/>
      <c r="Y28" s="45"/>
      <c r="Z28" s="45"/>
      <c r="AA28" s="45"/>
      <c r="AB28" s="45"/>
      <c r="AC28" s="45"/>
      <c r="AD28" s="45"/>
      <c r="AE28" s="45"/>
      <c r="AF28" s="45"/>
      <c r="AG28" s="44">
        <v>1</v>
      </c>
      <c r="AH28" s="703"/>
      <c r="AI28" s="705"/>
      <c r="AJ28" s="699"/>
      <c r="AK28" s="699" t="s">
        <v>284</v>
      </c>
    </row>
    <row r="29" spans="1:37" ht="37.4" customHeight="1" thickBot="1" x14ac:dyDescent="0.4">
      <c r="A29" s="403"/>
      <c r="B29" s="403"/>
      <c r="C29" s="385"/>
      <c r="D29" s="403"/>
      <c r="E29" s="403"/>
      <c r="F29" s="404"/>
      <c r="G29" s="403"/>
      <c r="H29" s="711"/>
      <c r="I29" s="702" t="s">
        <v>655</v>
      </c>
      <c r="J29" s="695"/>
      <c r="K29" s="695"/>
      <c r="L29" s="385"/>
      <c r="M29" s="695"/>
      <c r="N29" s="695"/>
      <c r="O29" s="695"/>
      <c r="P29" s="710"/>
      <c r="Q29" s="710"/>
      <c r="R29" s="60" t="s">
        <v>96</v>
      </c>
      <c r="S29" s="52">
        <f>100%/49</f>
        <v>2.0408163265306121E-2</v>
      </c>
      <c r="T29" s="66">
        <f t="shared" si="0"/>
        <v>1</v>
      </c>
      <c r="U29" s="42"/>
      <c r="V29" s="42"/>
      <c r="W29" s="42"/>
      <c r="X29" s="42"/>
      <c r="Y29" s="42"/>
      <c r="Z29" s="42"/>
      <c r="AA29" s="42"/>
      <c r="AB29" s="42"/>
      <c r="AC29" s="42"/>
      <c r="AD29" s="42"/>
      <c r="AE29" s="42"/>
      <c r="AF29" s="42"/>
      <c r="AG29" s="42">
        <v>1</v>
      </c>
      <c r="AH29" s="704"/>
      <c r="AI29" s="706"/>
      <c r="AJ29" s="700"/>
      <c r="AK29" s="700"/>
    </row>
    <row r="30" spans="1:37" ht="37.4" customHeight="1" thickBot="1" x14ac:dyDescent="0.4">
      <c r="A30" s="403">
        <v>9</v>
      </c>
      <c r="B30" s="403" t="s">
        <v>510</v>
      </c>
      <c r="C30" s="384" t="s">
        <v>828</v>
      </c>
      <c r="D30" s="403" t="s">
        <v>118</v>
      </c>
      <c r="E30" s="403" t="s">
        <v>119</v>
      </c>
      <c r="F30" s="404" t="s">
        <v>86</v>
      </c>
      <c r="G30" s="403"/>
      <c r="H30" s="711"/>
      <c r="I30" s="701" t="s">
        <v>655</v>
      </c>
      <c r="J30" s="694" t="s">
        <v>657</v>
      </c>
      <c r="K30" s="694" t="s">
        <v>658</v>
      </c>
      <c r="L30" s="384" t="s">
        <v>120</v>
      </c>
      <c r="M30" s="694" t="s">
        <v>649</v>
      </c>
      <c r="N30" s="694" t="s">
        <v>650</v>
      </c>
      <c r="O30" s="694" t="s">
        <v>649</v>
      </c>
      <c r="P30" s="709">
        <v>45992</v>
      </c>
      <c r="Q30" s="709" t="s">
        <v>1980</v>
      </c>
      <c r="R30" s="60" t="s">
        <v>91</v>
      </c>
      <c r="S30" s="53">
        <f>+(S31*T30)</f>
        <v>2.0408163265306121E-2</v>
      </c>
      <c r="T30" s="66">
        <f>SUM(U30:AG30)</f>
        <v>1</v>
      </c>
      <c r="U30" s="45"/>
      <c r="V30" s="45"/>
      <c r="W30" s="45"/>
      <c r="X30" s="45">
        <v>0.25</v>
      </c>
      <c r="Y30" s="45"/>
      <c r="Z30" s="45"/>
      <c r="AA30" s="45">
        <v>0.25</v>
      </c>
      <c r="AB30" s="45"/>
      <c r="AC30" s="45"/>
      <c r="AD30" s="45">
        <v>0.25</v>
      </c>
      <c r="AE30" s="45"/>
      <c r="AF30" s="45"/>
      <c r="AG30" s="44">
        <v>0.25</v>
      </c>
      <c r="AH30" s="703" t="s">
        <v>286</v>
      </c>
      <c r="AI30" s="703" t="s">
        <v>286</v>
      </c>
      <c r="AJ30" s="703" t="s">
        <v>286</v>
      </c>
      <c r="AK30" s="703" t="s">
        <v>286</v>
      </c>
    </row>
    <row r="31" spans="1:37" ht="37.4" customHeight="1" thickBot="1" x14ac:dyDescent="0.4">
      <c r="A31" s="403"/>
      <c r="B31" s="403"/>
      <c r="C31" s="385"/>
      <c r="D31" s="403"/>
      <c r="E31" s="403"/>
      <c r="F31" s="404"/>
      <c r="G31" s="403"/>
      <c r="H31" s="711"/>
      <c r="I31" s="702" t="s">
        <v>655</v>
      </c>
      <c r="J31" s="695"/>
      <c r="K31" s="695"/>
      <c r="L31" s="385"/>
      <c r="M31" s="695"/>
      <c r="N31" s="695"/>
      <c r="O31" s="695"/>
      <c r="P31" s="710"/>
      <c r="Q31" s="710"/>
      <c r="R31" s="60" t="s">
        <v>96</v>
      </c>
      <c r="S31" s="52">
        <f>100%/49</f>
        <v>2.0408163265306121E-2</v>
      </c>
      <c r="T31" s="66">
        <f t="shared" si="0"/>
        <v>1</v>
      </c>
      <c r="U31" s="42"/>
      <c r="V31" s="42"/>
      <c r="W31" s="42"/>
      <c r="X31" s="42">
        <v>0.25</v>
      </c>
      <c r="Y31" s="42"/>
      <c r="Z31" s="42"/>
      <c r="AA31" s="42">
        <v>0.25</v>
      </c>
      <c r="AB31" s="42"/>
      <c r="AC31" s="42"/>
      <c r="AD31" s="42">
        <v>0.25</v>
      </c>
      <c r="AE31" s="42"/>
      <c r="AF31" s="42"/>
      <c r="AG31" s="42">
        <v>0.25</v>
      </c>
      <c r="AH31" s="704"/>
      <c r="AI31" s="704"/>
      <c r="AJ31" s="704"/>
      <c r="AK31" s="704"/>
    </row>
    <row r="32" spans="1:37" ht="37.4" customHeight="1" thickBot="1" x14ac:dyDescent="0.4">
      <c r="A32" s="403">
        <v>10</v>
      </c>
      <c r="B32" s="403" t="s">
        <v>510</v>
      </c>
      <c r="C32" s="384" t="s">
        <v>828</v>
      </c>
      <c r="D32" s="403" t="s">
        <v>118</v>
      </c>
      <c r="E32" s="403" t="s">
        <v>119</v>
      </c>
      <c r="F32" s="404" t="s">
        <v>86</v>
      </c>
      <c r="G32" s="403"/>
      <c r="H32" s="711"/>
      <c r="I32" s="701" t="s">
        <v>655</v>
      </c>
      <c r="J32" s="694" t="s">
        <v>659</v>
      </c>
      <c r="K32" s="694" t="s">
        <v>660</v>
      </c>
      <c r="L32" s="384" t="s">
        <v>120</v>
      </c>
      <c r="M32" s="694" t="s">
        <v>649</v>
      </c>
      <c r="N32" s="694" t="s">
        <v>650</v>
      </c>
      <c r="O32" s="694" t="s">
        <v>649</v>
      </c>
      <c r="P32" s="709">
        <v>45689</v>
      </c>
      <c r="Q32" s="709">
        <v>45962</v>
      </c>
      <c r="R32" s="60" t="s">
        <v>91</v>
      </c>
      <c r="S32" s="53">
        <f>+(S33*T32)</f>
        <v>2.0408163265306121E-2</v>
      </c>
      <c r="T32" s="66">
        <f t="shared" si="0"/>
        <v>1</v>
      </c>
      <c r="U32" s="45"/>
      <c r="V32" s="45"/>
      <c r="W32" s="45"/>
      <c r="X32" s="45"/>
      <c r="Y32" s="45"/>
      <c r="Z32" s="45"/>
      <c r="AA32" s="45"/>
      <c r="AB32" s="45"/>
      <c r="AC32" s="45"/>
      <c r="AD32" s="45"/>
      <c r="AE32" s="45"/>
      <c r="AF32" s="45"/>
      <c r="AG32" s="45">
        <v>1</v>
      </c>
      <c r="AH32" s="703"/>
      <c r="AI32" s="705"/>
      <c r="AJ32" s="699"/>
      <c r="AK32" s="699" t="s">
        <v>288</v>
      </c>
    </row>
    <row r="33" spans="1:37" ht="37.4" customHeight="1" thickBot="1" x14ac:dyDescent="0.4">
      <c r="A33" s="403"/>
      <c r="B33" s="403"/>
      <c r="C33" s="385"/>
      <c r="D33" s="403"/>
      <c r="E33" s="403"/>
      <c r="F33" s="404"/>
      <c r="G33" s="403"/>
      <c r="H33" s="711"/>
      <c r="I33" s="702" t="s">
        <v>655</v>
      </c>
      <c r="J33" s="695"/>
      <c r="K33" s="695"/>
      <c r="L33" s="385"/>
      <c r="M33" s="695"/>
      <c r="N33" s="695"/>
      <c r="O33" s="695"/>
      <c r="P33" s="710"/>
      <c r="Q33" s="710"/>
      <c r="R33" s="60" t="s">
        <v>96</v>
      </c>
      <c r="S33" s="52">
        <f>100%/49</f>
        <v>2.0408163265306121E-2</v>
      </c>
      <c r="T33" s="66">
        <f t="shared" si="0"/>
        <v>1</v>
      </c>
      <c r="U33" s="42"/>
      <c r="V33" s="42"/>
      <c r="W33" s="42"/>
      <c r="X33" s="42"/>
      <c r="Y33" s="42"/>
      <c r="Z33" s="42"/>
      <c r="AA33" s="42"/>
      <c r="AB33" s="42"/>
      <c r="AC33" s="42"/>
      <c r="AD33" s="42"/>
      <c r="AE33" s="42"/>
      <c r="AF33" s="42"/>
      <c r="AG33" s="42">
        <v>1</v>
      </c>
      <c r="AH33" s="704"/>
      <c r="AI33" s="706"/>
      <c r="AJ33" s="700"/>
      <c r="AK33" s="700"/>
    </row>
    <row r="34" spans="1:37" ht="37.4" customHeight="1" thickBot="1" x14ac:dyDescent="0.4">
      <c r="A34" s="403">
        <v>11</v>
      </c>
      <c r="B34" s="403" t="s">
        <v>510</v>
      </c>
      <c r="C34" s="384" t="s">
        <v>828</v>
      </c>
      <c r="D34" s="403" t="s">
        <v>118</v>
      </c>
      <c r="E34" s="403" t="s">
        <v>119</v>
      </c>
      <c r="F34" s="404" t="s">
        <v>86</v>
      </c>
      <c r="G34" s="403"/>
      <c r="H34" s="711"/>
      <c r="I34" s="701" t="s">
        <v>655</v>
      </c>
      <c r="J34" s="694" t="s">
        <v>352</v>
      </c>
      <c r="K34" s="694" t="s">
        <v>661</v>
      </c>
      <c r="L34" s="384" t="s">
        <v>120</v>
      </c>
      <c r="M34" s="694" t="s">
        <v>649</v>
      </c>
      <c r="N34" s="694" t="s">
        <v>650</v>
      </c>
      <c r="O34" s="694" t="s">
        <v>649</v>
      </c>
      <c r="P34" s="709">
        <v>45901</v>
      </c>
      <c r="Q34" s="709">
        <v>45991</v>
      </c>
      <c r="R34" s="60" t="s">
        <v>91</v>
      </c>
      <c r="S34" s="53">
        <f>+(S35*T34)</f>
        <v>2.0408163265306121E-2</v>
      </c>
      <c r="T34" s="66">
        <f t="shared" si="0"/>
        <v>1</v>
      </c>
      <c r="U34" s="45"/>
      <c r="V34" s="45"/>
      <c r="W34" s="45"/>
      <c r="X34" s="45"/>
      <c r="Y34" s="45"/>
      <c r="Z34" s="45"/>
      <c r="AA34" s="45"/>
      <c r="AB34" s="45"/>
      <c r="AC34" s="45"/>
      <c r="AD34" s="45"/>
      <c r="AE34" s="45"/>
      <c r="AF34" s="45"/>
      <c r="AG34" s="45">
        <v>1</v>
      </c>
      <c r="AH34" s="703"/>
      <c r="AI34" s="705"/>
      <c r="AJ34" s="699"/>
      <c r="AK34" s="699" t="s">
        <v>290</v>
      </c>
    </row>
    <row r="35" spans="1:37" ht="37.4" customHeight="1" thickBot="1" x14ac:dyDescent="0.4">
      <c r="A35" s="403"/>
      <c r="B35" s="403"/>
      <c r="C35" s="385"/>
      <c r="D35" s="403"/>
      <c r="E35" s="403"/>
      <c r="F35" s="404"/>
      <c r="G35" s="403"/>
      <c r="H35" s="711"/>
      <c r="I35" s="702" t="s">
        <v>655</v>
      </c>
      <c r="J35" s="695"/>
      <c r="K35" s="695"/>
      <c r="L35" s="385"/>
      <c r="M35" s="695"/>
      <c r="N35" s="695"/>
      <c r="O35" s="695"/>
      <c r="P35" s="710"/>
      <c r="Q35" s="710"/>
      <c r="R35" s="60" t="s">
        <v>96</v>
      </c>
      <c r="S35" s="52">
        <f>100%/49</f>
        <v>2.0408163265306121E-2</v>
      </c>
      <c r="T35" s="66">
        <f t="shared" si="0"/>
        <v>1</v>
      </c>
      <c r="U35" s="42"/>
      <c r="V35" s="42"/>
      <c r="W35" s="42"/>
      <c r="X35" s="42"/>
      <c r="Y35" s="42"/>
      <c r="Z35" s="42"/>
      <c r="AA35" s="42"/>
      <c r="AB35" s="42"/>
      <c r="AC35" s="42"/>
      <c r="AD35" s="42"/>
      <c r="AE35" s="42"/>
      <c r="AF35" s="42"/>
      <c r="AG35" s="42">
        <v>1</v>
      </c>
      <c r="AH35" s="704"/>
      <c r="AI35" s="706"/>
      <c r="AJ35" s="700"/>
      <c r="AK35" s="700"/>
    </row>
    <row r="36" spans="1:37" ht="37.4" customHeight="1" thickBot="1" x14ac:dyDescent="0.4">
      <c r="A36" s="403">
        <v>12</v>
      </c>
      <c r="B36" s="403" t="s">
        <v>510</v>
      </c>
      <c r="C36" s="384" t="s">
        <v>828</v>
      </c>
      <c r="D36" s="403" t="s">
        <v>118</v>
      </c>
      <c r="E36" s="403" t="s">
        <v>119</v>
      </c>
      <c r="F36" s="404" t="s">
        <v>86</v>
      </c>
      <c r="G36" s="403"/>
      <c r="H36" s="711"/>
      <c r="I36" s="701" t="s">
        <v>655</v>
      </c>
      <c r="J36" s="694" t="s">
        <v>274</v>
      </c>
      <c r="K36" s="694" t="s">
        <v>275</v>
      </c>
      <c r="L36" s="384" t="s">
        <v>120</v>
      </c>
      <c r="M36" s="694" t="s">
        <v>525</v>
      </c>
      <c r="N36" s="694" t="s">
        <v>650</v>
      </c>
      <c r="O36" s="694" t="s">
        <v>525</v>
      </c>
      <c r="P36" s="709">
        <v>45839</v>
      </c>
      <c r="Q36" s="709">
        <v>46021</v>
      </c>
      <c r="R36" s="60" t="s">
        <v>91</v>
      </c>
      <c r="S36" s="53">
        <f>+(S37*T36)</f>
        <v>1.9999999999999997E-2</v>
      </c>
      <c r="T36" s="66">
        <f t="shared" si="0"/>
        <v>0.97999999999999987</v>
      </c>
      <c r="U36" s="45"/>
      <c r="V36" s="42">
        <v>8.3333333333333343E-2</v>
      </c>
      <c r="W36" s="42">
        <v>8.3333333333333343E-2</v>
      </c>
      <c r="X36" s="42">
        <v>8.3333333333333343E-2</v>
      </c>
      <c r="Y36" s="42">
        <v>8.3333333333333343E-2</v>
      </c>
      <c r="Z36" s="42">
        <v>8.3333333333333343E-2</v>
      </c>
      <c r="AA36" s="42">
        <v>8.3333333333333343E-2</v>
      </c>
      <c r="AB36" s="45">
        <v>0.08</v>
      </c>
      <c r="AC36" s="45">
        <v>0.08</v>
      </c>
      <c r="AD36" s="45">
        <v>0.08</v>
      </c>
      <c r="AE36" s="45">
        <v>0.08</v>
      </c>
      <c r="AF36" s="45">
        <v>0.08</v>
      </c>
      <c r="AG36" s="45">
        <v>0.08</v>
      </c>
      <c r="AH36" s="703" t="s">
        <v>293</v>
      </c>
      <c r="AI36" s="703" t="s">
        <v>294</v>
      </c>
      <c r="AJ36" s="703" t="s">
        <v>295</v>
      </c>
      <c r="AK36" s="703" t="s">
        <v>296</v>
      </c>
    </row>
    <row r="37" spans="1:37" ht="37.4" customHeight="1" thickBot="1" x14ac:dyDescent="0.4">
      <c r="A37" s="403"/>
      <c r="B37" s="403"/>
      <c r="C37" s="385"/>
      <c r="D37" s="403"/>
      <c r="E37" s="403"/>
      <c r="F37" s="404"/>
      <c r="G37" s="403"/>
      <c r="H37" s="711"/>
      <c r="I37" s="702" t="s">
        <v>655</v>
      </c>
      <c r="J37" s="695"/>
      <c r="K37" s="695"/>
      <c r="L37" s="385"/>
      <c r="M37" s="695"/>
      <c r="N37" s="695"/>
      <c r="O37" s="695"/>
      <c r="P37" s="710"/>
      <c r="Q37" s="710"/>
      <c r="R37" s="60" t="s">
        <v>96</v>
      </c>
      <c r="S37" s="52">
        <f>100%/49</f>
        <v>2.0408163265306121E-2</v>
      </c>
      <c r="T37" s="66">
        <f t="shared" si="0"/>
        <v>1.0000000000000002</v>
      </c>
      <c r="U37" s="42"/>
      <c r="V37" s="42">
        <v>8.3333333333333343E-2</v>
      </c>
      <c r="W37" s="42">
        <v>8.3333333333333343E-2</v>
      </c>
      <c r="X37" s="42">
        <v>8.3333333333333343E-2</v>
      </c>
      <c r="Y37" s="42">
        <v>8.3333333333333343E-2</v>
      </c>
      <c r="Z37" s="42">
        <v>8.3333333333333343E-2</v>
      </c>
      <c r="AA37" s="42">
        <v>8.3333333333333343E-2</v>
      </c>
      <c r="AB37" s="42">
        <v>8.3333333333333343E-2</v>
      </c>
      <c r="AC37" s="42">
        <v>8.3333333333333343E-2</v>
      </c>
      <c r="AD37" s="42">
        <v>8.3333333333333343E-2</v>
      </c>
      <c r="AE37" s="42">
        <v>8.3333333333333343E-2</v>
      </c>
      <c r="AF37" s="42">
        <v>8.3333333333333343E-2</v>
      </c>
      <c r="AG37" s="42">
        <v>8.3333333333333343E-2</v>
      </c>
      <c r="AH37" s="704"/>
      <c r="AI37" s="704"/>
      <c r="AJ37" s="704"/>
      <c r="AK37" s="704"/>
    </row>
    <row r="38" spans="1:37" ht="37.4" customHeight="1" thickBot="1" x14ac:dyDescent="0.4">
      <c r="A38" s="403">
        <v>13</v>
      </c>
      <c r="B38" s="403" t="s">
        <v>510</v>
      </c>
      <c r="C38" s="384" t="s">
        <v>828</v>
      </c>
      <c r="D38" s="403" t="s">
        <v>118</v>
      </c>
      <c r="E38" s="403" t="s">
        <v>119</v>
      </c>
      <c r="F38" s="404" t="s">
        <v>86</v>
      </c>
      <c r="G38" s="403"/>
      <c r="H38" s="711"/>
      <c r="I38" s="701" t="s">
        <v>655</v>
      </c>
      <c r="J38" s="694" t="s">
        <v>274</v>
      </c>
      <c r="K38" s="694" t="s">
        <v>662</v>
      </c>
      <c r="L38" s="384" t="s">
        <v>120</v>
      </c>
      <c r="M38" s="694" t="s">
        <v>649</v>
      </c>
      <c r="N38" s="694" t="s">
        <v>650</v>
      </c>
      <c r="O38" s="694" t="s">
        <v>649</v>
      </c>
      <c r="P38" s="709">
        <v>45839</v>
      </c>
      <c r="Q38" s="709">
        <v>46021</v>
      </c>
      <c r="R38" s="60" t="s">
        <v>91</v>
      </c>
      <c r="S38" s="53">
        <f>+(S39*T38)</f>
        <v>2.0408163265306121E-2</v>
      </c>
      <c r="T38" s="66">
        <f t="shared" si="0"/>
        <v>1</v>
      </c>
      <c r="U38" s="45"/>
      <c r="W38" s="45"/>
      <c r="X38" s="45">
        <v>0.25</v>
      </c>
      <c r="Y38" s="45"/>
      <c r="Z38" s="45"/>
      <c r="AA38" s="45">
        <v>0.25</v>
      </c>
      <c r="AB38" s="45"/>
      <c r="AC38" s="45"/>
      <c r="AD38" s="45">
        <v>0.25</v>
      </c>
      <c r="AE38" s="45"/>
      <c r="AF38" s="45"/>
      <c r="AG38" s="45">
        <v>0.25</v>
      </c>
      <c r="AH38" s="703" t="s">
        <v>297</v>
      </c>
      <c r="AI38" s="703" t="s">
        <v>298</v>
      </c>
      <c r="AJ38" s="703" t="s">
        <v>299</v>
      </c>
      <c r="AK38" s="703" t="s">
        <v>300</v>
      </c>
    </row>
    <row r="39" spans="1:37" ht="37.4" customHeight="1" thickBot="1" x14ac:dyDescent="0.4">
      <c r="A39" s="403"/>
      <c r="B39" s="403"/>
      <c r="C39" s="385"/>
      <c r="D39" s="403"/>
      <c r="E39" s="403"/>
      <c r="F39" s="404"/>
      <c r="G39" s="403"/>
      <c r="H39" s="711"/>
      <c r="I39" s="702" t="s">
        <v>655</v>
      </c>
      <c r="J39" s="695"/>
      <c r="K39" s="695"/>
      <c r="L39" s="385"/>
      <c r="M39" s="695"/>
      <c r="N39" s="695"/>
      <c r="O39" s="695"/>
      <c r="P39" s="710"/>
      <c r="Q39" s="710"/>
      <c r="R39" s="60" t="s">
        <v>96</v>
      </c>
      <c r="S39" s="52">
        <f>100%/49</f>
        <v>2.0408163265306121E-2</v>
      </c>
      <c r="T39" s="66">
        <f t="shared" si="0"/>
        <v>1</v>
      </c>
      <c r="U39" s="42"/>
      <c r="V39" s="42"/>
      <c r="W39" s="42"/>
      <c r="X39" s="42">
        <v>0.25</v>
      </c>
      <c r="Y39" s="42"/>
      <c r="Z39" s="42"/>
      <c r="AA39" s="42">
        <v>0.25</v>
      </c>
      <c r="AB39" s="42"/>
      <c r="AC39" s="42"/>
      <c r="AD39" s="42">
        <v>0.25</v>
      </c>
      <c r="AE39" s="42"/>
      <c r="AF39" s="42"/>
      <c r="AG39" s="42">
        <v>0.25</v>
      </c>
      <c r="AH39" s="704"/>
      <c r="AI39" s="704"/>
      <c r="AJ39" s="704"/>
      <c r="AK39" s="704"/>
    </row>
    <row r="40" spans="1:37" ht="37.4" customHeight="1" thickBot="1" x14ac:dyDescent="0.4">
      <c r="A40" s="403">
        <v>14</v>
      </c>
      <c r="B40" s="403" t="s">
        <v>510</v>
      </c>
      <c r="C40" s="384" t="s">
        <v>828</v>
      </c>
      <c r="D40" s="403" t="s">
        <v>118</v>
      </c>
      <c r="E40" s="403" t="s">
        <v>119</v>
      </c>
      <c r="F40" s="404" t="s">
        <v>86</v>
      </c>
      <c r="G40" s="403"/>
      <c r="H40" s="711"/>
      <c r="I40" s="701" t="s">
        <v>655</v>
      </c>
      <c r="J40" s="694" t="s">
        <v>663</v>
      </c>
      <c r="K40" s="694" t="s">
        <v>353</v>
      </c>
      <c r="L40" s="384" t="s">
        <v>120</v>
      </c>
      <c r="M40" s="694" t="s">
        <v>664</v>
      </c>
      <c r="N40" s="694" t="s">
        <v>650</v>
      </c>
      <c r="O40" s="694" t="s">
        <v>664</v>
      </c>
      <c r="P40" s="709">
        <v>45809</v>
      </c>
      <c r="Q40" s="709">
        <v>45991</v>
      </c>
      <c r="R40" s="60" t="s">
        <v>91</v>
      </c>
      <c r="S40" s="53">
        <f>+(S41*T40)</f>
        <v>2.0408163265306121E-2</v>
      </c>
      <c r="T40" s="66">
        <f t="shared" si="0"/>
        <v>1</v>
      </c>
      <c r="U40" s="45"/>
      <c r="V40" s="45"/>
      <c r="W40" s="45"/>
      <c r="X40" s="45"/>
      <c r="Y40" s="45"/>
      <c r="Z40" s="45"/>
      <c r="AA40" s="45"/>
      <c r="AB40" s="45"/>
      <c r="AC40" s="45"/>
      <c r="AD40" s="45"/>
      <c r="AE40" s="45"/>
      <c r="AF40" s="45"/>
      <c r="AG40" s="45">
        <v>1</v>
      </c>
      <c r="AH40" s="703"/>
      <c r="AI40" s="705"/>
      <c r="AJ40" s="699"/>
      <c r="AK40" s="699" t="s">
        <v>302</v>
      </c>
    </row>
    <row r="41" spans="1:37" ht="37.4" customHeight="1" thickBot="1" x14ac:dyDescent="0.4">
      <c r="A41" s="403"/>
      <c r="B41" s="403"/>
      <c r="C41" s="385"/>
      <c r="D41" s="403"/>
      <c r="E41" s="403"/>
      <c r="F41" s="404"/>
      <c r="G41" s="403"/>
      <c r="H41" s="711"/>
      <c r="I41" s="702" t="s">
        <v>655</v>
      </c>
      <c r="J41" s="695"/>
      <c r="K41" s="695"/>
      <c r="L41" s="385"/>
      <c r="M41" s="695"/>
      <c r="N41" s="695"/>
      <c r="O41" s="695"/>
      <c r="P41" s="710"/>
      <c r="Q41" s="710"/>
      <c r="R41" s="60" t="s">
        <v>96</v>
      </c>
      <c r="S41" s="52">
        <f>100%/49</f>
        <v>2.0408163265306121E-2</v>
      </c>
      <c r="T41" s="66">
        <f t="shared" si="0"/>
        <v>1</v>
      </c>
      <c r="U41" s="42"/>
      <c r="V41" s="42"/>
      <c r="W41" s="42"/>
      <c r="X41" s="42"/>
      <c r="Y41" s="42"/>
      <c r="Z41" s="42"/>
      <c r="AA41" s="42"/>
      <c r="AB41" s="42"/>
      <c r="AC41" s="42"/>
      <c r="AD41" s="42"/>
      <c r="AE41" s="42"/>
      <c r="AF41" s="42"/>
      <c r="AG41" s="42">
        <v>1</v>
      </c>
      <c r="AH41" s="704"/>
      <c r="AI41" s="706"/>
      <c r="AJ41" s="700"/>
      <c r="AK41" s="700"/>
    </row>
    <row r="42" spans="1:37" ht="37.4" customHeight="1" thickBot="1" x14ac:dyDescent="0.4">
      <c r="A42" s="403">
        <v>15</v>
      </c>
      <c r="B42" s="403" t="s">
        <v>510</v>
      </c>
      <c r="C42" s="384" t="s">
        <v>828</v>
      </c>
      <c r="D42" s="403" t="s">
        <v>118</v>
      </c>
      <c r="E42" s="403" t="s">
        <v>119</v>
      </c>
      <c r="F42" s="404" t="s">
        <v>86</v>
      </c>
      <c r="G42" s="403"/>
      <c r="H42" s="711"/>
      <c r="I42" s="701" t="s">
        <v>655</v>
      </c>
      <c r="J42" s="694" t="s">
        <v>663</v>
      </c>
      <c r="K42" s="694" t="s">
        <v>665</v>
      </c>
      <c r="L42" s="384" t="s">
        <v>120</v>
      </c>
      <c r="M42" s="694" t="s">
        <v>664</v>
      </c>
      <c r="N42" s="694" t="s">
        <v>650</v>
      </c>
      <c r="O42" s="694" t="s">
        <v>664</v>
      </c>
      <c r="P42" s="709">
        <v>45689</v>
      </c>
      <c r="Q42" s="709">
        <v>46022</v>
      </c>
      <c r="R42" s="60" t="s">
        <v>91</v>
      </c>
      <c r="S42" s="53">
        <f>+(S43*T42)</f>
        <v>2.0408163265306121E-2</v>
      </c>
      <c r="T42" s="66">
        <f t="shared" si="0"/>
        <v>1</v>
      </c>
      <c r="U42" s="45"/>
      <c r="V42" s="45"/>
      <c r="W42" s="45"/>
      <c r="X42" s="45"/>
      <c r="Y42" s="45"/>
      <c r="Z42" s="45"/>
      <c r="AA42" s="45"/>
      <c r="AB42" s="45"/>
      <c r="AC42" s="45"/>
      <c r="AD42" s="45"/>
      <c r="AE42" s="45"/>
      <c r="AF42" s="45"/>
      <c r="AG42" s="45">
        <v>1</v>
      </c>
      <c r="AH42" s="703"/>
      <c r="AI42" s="705"/>
      <c r="AJ42" s="699"/>
      <c r="AK42" s="699" t="s">
        <v>303</v>
      </c>
    </row>
    <row r="43" spans="1:37" ht="37.4" customHeight="1" thickBot="1" x14ac:dyDescent="0.4">
      <c r="A43" s="403"/>
      <c r="B43" s="403"/>
      <c r="C43" s="385"/>
      <c r="D43" s="403"/>
      <c r="E43" s="403"/>
      <c r="F43" s="404"/>
      <c r="G43" s="403"/>
      <c r="H43" s="711"/>
      <c r="I43" s="702" t="s">
        <v>655</v>
      </c>
      <c r="J43" s="695"/>
      <c r="K43" s="695"/>
      <c r="L43" s="385"/>
      <c r="M43" s="695"/>
      <c r="N43" s="695"/>
      <c r="O43" s="695"/>
      <c r="P43" s="710"/>
      <c r="Q43" s="710"/>
      <c r="R43" s="60" t="s">
        <v>96</v>
      </c>
      <c r="S43" s="52">
        <f>100%/49</f>
        <v>2.0408163265306121E-2</v>
      </c>
      <c r="T43" s="66">
        <f t="shared" si="0"/>
        <v>1</v>
      </c>
      <c r="U43" s="42"/>
      <c r="V43" s="42"/>
      <c r="W43" s="42"/>
      <c r="X43" s="42"/>
      <c r="Y43" s="42"/>
      <c r="Z43" s="42"/>
      <c r="AA43" s="42"/>
      <c r="AB43" s="42"/>
      <c r="AC43" s="42"/>
      <c r="AD43" s="42"/>
      <c r="AE43" s="42"/>
      <c r="AF43" s="42"/>
      <c r="AG43" s="42">
        <v>1</v>
      </c>
      <c r="AH43" s="704"/>
      <c r="AI43" s="706"/>
      <c r="AJ43" s="700"/>
      <c r="AK43" s="700"/>
    </row>
    <row r="44" spans="1:37" ht="37.4" customHeight="1" thickBot="1" x14ac:dyDescent="0.4">
      <c r="A44" s="403">
        <v>16</v>
      </c>
      <c r="B44" s="403" t="s">
        <v>510</v>
      </c>
      <c r="C44" s="384" t="s">
        <v>828</v>
      </c>
      <c r="D44" s="403" t="s">
        <v>118</v>
      </c>
      <c r="E44" s="403" t="s">
        <v>119</v>
      </c>
      <c r="F44" s="404" t="s">
        <v>86</v>
      </c>
      <c r="G44" s="403"/>
      <c r="H44" s="711"/>
      <c r="I44" s="701" t="s">
        <v>655</v>
      </c>
      <c r="J44" s="694" t="s">
        <v>354</v>
      </c>
      <c r="K44" s="694" t="s">
        <v>355</v>
      </c>
      <c r="L44" s="384" t="s">
        <v>120</v>
      </c>
      <c r="M44" s="694" t="s">
        <v>525</v>
      </c>
      <c r="N44" s="694" t="s">
        <v>650</v>
      </c>
      <c r="O44" s="694" t="s">
        <v>525</v>
      </c>
      <c r="P44" s="709">
        <v>45839</v>
      </c>
      <c r="Q44" s="709">
        <v>46022</v>
      </c>
      <c r="R44" s="60" t="s">
        <v>91</v>
      </c>
      <c r="S44" s="53">
        <f>+(S45*T44)</f>
        <v>2.0408163265306121E-2</v>
      </c>
      <c r="T44" s="66">
        <f t="shared" si="0"/>
        <v>1</v>
      </c>
      <c r="U44" s="45"/>
      <c r="V44" s="45"/>
      <c r="W44" s="45"/>
      <c r="X44" s="45"/>
      <c r="Y44" s="45"/>
      <c r="Z44" s="45"/>
      <c r="AA44" s="45"/>
      <c r="AB44" s="45"/>
      <c r="AC44" s="45"/>
      <c r="AD44" s="45"/>
      <c r="AE44" s="45"/>
      <c r="AF44" s="45"/>
      <c r="AG44" s="45">
        <v>1</v>
      </c>
      <c r="AH44" s="703"/>
      <c r="AI44" s="705"/>
      <c r="AJ44" s="699"/>
      <c r="AK44" s="699" t="s">
        <v>304</v>
      </c>
    </row>
    <row r="45" spans="1:37" ht="37.4" customHeight="1" thickBot="1" x14ac:dyDescent="0.4">
      <c r="A45" s="403"/>
      <c r="B45" s="403"/>
      <c r="C45" s="385"/>
      <c r="D45" s="403"/>
      <c r="E45" s="403"/>
      <c r="F45" s="404"/>
      <c r="G45" s="403"/>
      <c r="H45" s="711"/>
      <c r="I45" s="702" t="s">
        <v>655</v>
      </c>
      <c r="J45" s="695"/>
      <c r="K45" s="695"/>
      <c r="L45" s="385"/>
      <c r="M45" s="695"/>
      <c r="N45" s="695"/>
      <c r="O45" s="695"/>
      <c r="P45" s="710"/>
      <c r="Q45" s="710"/>
      <c r="R45" s="60" t="s">
        <v>96</v>
      </c>
      <c r="S45" s="52">
        <f>100%/49</f>
        <v>2.0408163265306121E-2</v>
      </c>
      <c r="T45" s="66">
        <f t="shared" si="0"/>
        <v>1</v>
      </c>
      <c r="U45" s="42"/>
      <c r="V45" s="42"/>
      <c r="W45" s="42"/>
      <c r="X45" s="42"/>
      <c r="Y45" s="42"/>
      <c r="Z45" s="42"/>
      <c r="AA45" s="42"/>
      <c r="AB45" s="42"/>
      <c r="AC45" s="42"/>
      <c r="AD45" s="42"/>
      <c r="AE45" s="42"/>
      <c r="AF45" s="42"/>
      <c r="AG45" s="42">
        <v>1</v>
      </c>
      <c r="AH45" s="704"/>
      <c r="AI45" s="706"/>
      <c r="AJ45" s="700"/>
      <c r="AK45" s="700"/>
    </row>
    <row r="46" spans="1:37" ht="37.4" customHeight="1" thickBot="1" x14ac:dyDescent="0.4">
      <c r="A46" s="403">
        <v>17</v>
      </c>
      <c r="B46" s="403" t="s">
        <v>510</v>
      </c>
      <c r="C46" s="384" t="s">
        <v>828</v>
      </c>
      <c r="D46" s="403" t="s">
        <v>118</v>
      </c>
      <c r="E46" s="403" t="s">
        <v>119</v>
      </c>
      <c r="F46" s="404" t="s">
        <v>86</v>
      </c>
      <c r="G46" s="403" t="s">
        <v>638</v>
      </c>
      <c r="H46" s="711" t="s">
        <v>643</v>
      </c>
      <c r="I46" s="701" t="s">
        <v>666</v>
      </c>
      <c r="J46" s="694" t="s">
        <v>277</v>
      </c>
      <c r="K46" s="694" t="s">
        <v>1981</v>
      </c>
      <c r="L46" s="384" t="s">
        <v>120</v>
      </c>
      <c r="M46" s="694" t="s">
        <v>649</v>
      </c>
      <c r="N46" s="694" t="s">
        <v>650</v>
      </c>
      <c r="O46" s="694" t="s">
        <v>649</v>
      </c>
      <c r="P46" s="709">
        <v>45717</v>
      </c>
      <c r="Q46" s="709">
        <v>45991</v>
      </c>
      <c r="R46" s="60" t="s">
        <v>91</v>
      </c>
      <c r="S46" s="53">
        <f>+(S47*T46)</f>
        <v>2.0408163265306121E-2</v>
      </c>
      <c r="T46" s="66">
        <f t="shared" ref="T46:T75" si="1">SUM(U46:AG46)</f>
        <v>1</v>
      </c>
      <c r="U46" s="45"/>
      <c r="V46" s="45"/>
      <c r="W46" s="45"/>
      <c r="X46" s="45"/>
      <c r="Y46" s="45"/>
      <c r="Z46" s="45"/>
      <c r="AA46" s="45"/>
      <c r="AB46" s="45"/>
      <c r="AC46" s="45"/>
      <c r="AD46" s="45"/>
      <c r="AE46" s="45"/>
      <c r="AF46" s="45"/>
      <c r="AG46" s="45">
        <v>1</v>
      </c>
      <c r="AH46" s="703"/>
      <c r="AI46" s="705"/>
      <c r="AJ46" s="699"/>
      <c r="AK46" s="699" t="s">
        <v>305</v>
      </c>
    </row>
    <row r="47" spans="1:37" ht="37.4" customHeight="1" thickBot="1" x14ac:dyDescent="0.4">
      <c r="A47" s="403"/>
      <c r="B47" s="403"/>
      <c r="C47" s="385"/>
      <c r="D47" s="403"/>
      <c r="E47" s="403"/>
      <c r="F47" s="404"/>
      <c r="G47" s="403"/>
      <c r="H47" s="711"/>
      <c r="I47" s="702" t="s">
        <v>666</v>
      </c>
      <c r="J47" s="695"/>
      <c r="K47" s="695"/>
      <c r="L47" s="385"/>
      <c r="M47" s="695"/>
      <c r="N47" s="695"/>
      <c r="O47" s="695"/>
      <c r="P47" s="710"/>
      <c r="Q47" s="710"/>
      <c r="R47" s="60" t="s">
        <v>96</v>
      </c>
      <c r="S47" s="52">
        <f>100%/49</f>
        <v>2.0408163265306121E-2</v>
      </c>
      <c r="T47" s="66">
        <f t="shared" si="1"/>
        <v>1</v>
      </c>
      <c r="U47" s="42"/>
      <c r="V47" s="42"/>
      <c r="W47" s="42"/>
      <c r="X47" s="42"/>
      <c r="Y47" s="42"/>
      <c r="Z47" s="42"/>
      <c r="AA47" s="42"/>
      <c r="AB47" s="42"/>
      <c r="AC47" s="42"/>
      <c r="AD47" s="42"/>
      <c r="AE47" s="42"/>
      <c r="AF47" s="42"/>
      <c r="AG47" s="42">
        <v>1</v>
      </c>
      <c r="AH47" s="704"/>
      <c r="AI47" s="706"/>
      <c r="AJ47" s="700"/>
      <c r="AK47" s="700"/>
    </row>
    <row r="48" spans="1:37" ht="37.4" customHeight="1" thickBot="1" x14ac:dyDescent="0.4">
      <c r="A48" s="403">
        <v>18</v>
      </c>
      <c r="B48" s="403" t="s">
        <v>510</v>
      </c>
      <c r="C48" s="384" t="s">
        <v>828</v>
      </c>
      <c r="D48" s="403" t="s">
        <v>118</v>
      </c>
      <c r="E48" s="403" t="s">
        <v>119</v>
      </c>
      <c r="F48" s="404" t="s">
        <v>86</v>
      </c>
      <c r="G48" s="403"/>
      <c r="H48" s="711"/>
      <c r="I48" s="701" t="s">
        <v>666</v>
      </c>
      <c r="J48" s="694" t="s">
        <v>279</v>
      </c>
      <c r="K48" s="694" t="s">
        <v>1981</v>
      </c>
      <c r="L48" s="384" t="s">
        <v>120</v>
      </c>
      <c r="M48" s="694" t="s">
        <v>514</v>
      </c>
      <c r="N48" s="694" t="s">
        <v>650</v>
      </c>
      <c r="O48" s="694" t="s">
        <v>514</v>
      </c>
      <c r="P48" s="709">
        <v>45717</v>
      </c>
      <c r="Q48" s="709">
        <v>45991</v>
      </c>
      <c r="R48" s="60" t="s">
        <v>91</v>
      </c>
      <c r="S48" s="53">
        <f>+(S49*T48)</f>
        <v>2.0408163265306121E-2</v>
      </c>
      <c r="T48" s="66">
        <f t="shared" si="1"/>
        <v>1</v>
      </c>
      <c r="U48" s="45"/>
      <c r="V48" s="45"/>
      <c r="W48" s="45"/>
      <c r="X48" s="45"/>
      <c r="Y48" s="45"/>
      <c r="Z48" s="45"/>
      <c r="AA48" s="45">
        <v>0.5</v>
      </c>
      <c r="AB48" s="45"/>
      <c r="AC48" s="45"/>
      <c r="AD48" s="45"/>
      <c r="AE48" s="45"/>
      <c r="AF48" s="45"/>
      <c r="AG48" s="45">
        <v>0.5</v>
      </c>
      <c r="AH48" s="703"/>
      <c r="AI48" s="705" t="s">
        <v>306</v>
      </c>
      <c r="AJ48" s="699"/>
      <c r="AK48" s="699" t="s">
        <v>307</v>
      </c>
    </row>
    <row r="49" spans="1:37" ht="37.4" customHeight="1" thickBot="1" x14ac:dyDescent="0.4">
      <c r="A49" s="403"/>
      <c r="B49" s="403"/>
      <c r="C49" s="385"/>
      <c r="D49" s="403"/>
      <c r="E49" s="403"/>
      <c r="F49" s="404"/>
      <c r="G49" s="403"/>
      <c r="H49" s="711"/>
      <c r="I49" s="702" t="s">
        <v>666</v>
      </c>
      <c r="J49" s="695"/>
      <c r="K49" s="695"/>
      <c r="L49" s="385"/>
      <c r="M49" s="695"/>
      <c r="N49" s="695"/>
      <c r="O49" s="695"/>
      <c r="P49" s="710"/>
      <c r="Q49" s="710"/>
      <c r="R49" s="60" t="s">
        <v>96</v>
      </c>
      <c r="S49" s="52">
        <f>100%/49</f>
        <v>2.0408163265306121E-2</v>
      </c>
      <c r="T49" s="66">
        <f t="shared" si="1"/>
        <v>1</v>
      </c>
      <c r="U49" s="42"/>
      <c r="V49" s="42"/>
      <c r="W49" s="42"/>
      <c r="X49" s="42"/>
      <c r="Y49" s="42"/>
      <c r="Z49" s="42"/>
      <c r="AA49" s="42">
        <v>0.5</v>
      </c>
      <c r="AB49" s="42"/>
      <c r="AC49" s="42"/>
      <c r="AD49" s="42"/>
      <c r="AE49" s="42"/>
      <c r="AF49" s="42"/>
      <c r="AG49" s="42">
        <v>0.5</v>
      </c>
      <c r="AH49" s="704"/>
      <c r="AI49" s="706"/>
      <c r="AJ49" s="700"/>
      <c r="AK49" s="700"/>
    </row>
    <row r="50" spans="1:37" ht="37.4" customHeight="1" thickBot="1" x14ac:dyDescent="0.4">
      <c r="A50" s="403">
        <v>19</v>
      </c>
      <c r="B50" s="403" t="s">
        <v>510</v>
      </c>
      <c r="C50" s="384" t="s">
        <v>828</v>
      </c>
      <c r="D50" s="403" t="s">
        <v>118</v>
      </c>
      <c r="E50" s="403" t="s">
        <v>119</v>
      </c>
      <c r="F50" s="404" t="s">
        <v>86</v>
      </c>
      <c r="G50" s="403"/>
      <c r="H50" s="711"/>
      <c r="I50" s="701" t="s">
        <v>666</v>
      </c>
      <c r="J50" s="694" t="s">
        <v>281</v>
      </c>
      <c r="K50" s="694" t="s">
        <v>667</v>
      </c>
      <c r="L50" s="384" t="s">
        <v>120</v>
      </c>
      <c r="M50" s="694" t="s">
        <v>649</v>
      </c>
      <c r="N50" s="694" t="s">
        <v>650</v>
      </c>
      <c r="O50" s="694" t="s">
        <v>649</v>
      </c>
      <c r="P50" s="709">
        <v>45778</v>
      </c>
      <c r="Q50" s="709">
        <v>45807</v>
      </c>
      <c r="R50" s="60" t="s">
        <v>91</v>
      </c>
      <c r="S50" s="53">
        <f>+(S51*T50)</f>
        <v>2.0408163265306121E-2</v>
      </c>
      <c r="T50" s="66">
        <f t="shared" si="1"/>
        <v>1</v>
      </c>
      <c r="U50" s="45"/>
      <c r="V50" s="45"/>
      <c r="W50" s="45"/>
      <c r="X50" s="45"/>
      <c r="Y50" s="45"/>
      <c r="Z50" s="45"/>
      <c r="AA50" s="45"/>
      <c r="AB50" s="45"/>
      <c r="AC50" s="45"/>
      <c r="AD50" s="45"/>
      <c r="AE50" s="45"/>
      <c r="AF50" s="45"/>
      <c r="AG50" s="45">
        <v>1</v>
      </c>
      <c r="AH50" s="703"/>
      <c r="AI50" s="705"/>
      <c r="AJ50" s="699"/>
      <c r="AK50" s="699" t="s">
        <v>308</v>
      </c>
    </row>
    <row r="51" spans="1:37" ht="37.4" customHeight="1" thickBot="1" x14ac:dyDescent="0.4">
      <c r="A51" s="403"/>
      <c r="B51" s="403"/>
      <c r="C51" s="385"/>
      <c r="D51" s="403"/>
      <c r="E51" s="403"/>
      <c r="F51" s="404"/>
      <c r="G51" s="403"/>
      <c r="H51" s="711"/>
      <c r="I51" s="702" t="s">
        <v>666</v>
      </c>
      <c r="J51" s="695"/>
      <c r="K51" s="695"/>
      <c r="L51" s="385"/>
      <c r="M51" s="695"/>
      <c r="N51" s="695"/>
      <c r="O51" s="695"/>
      <c r="P51" s="710"/>
      <c r="Q51" s="710"/>
      <c r="R51" s="60" t="s">
        <v>96</v>
      </c>
      <c r="S51" s="52">
        <f>100%/49</f>
        <v>2.0408163265306121E-2</v>
      </c>
      <c r="T51" s="66">
        <f t="shared" si="1"/>
        <v>1</v>
      </c>
      <c r="U51" s="42"/>
      <c r="V51" s="42"/>
      <c r="W51" s="42"/>
      <c r="X51" s="42"/>
      <c r="Y51" s="42"/>
      <c r="Z51" s="42"/>
      <c r="AA51" s="42"/>
      <c r="AB51" s="42"/>
      <c r="AC51" s="42"/>
      <c r="AD51" s="42"/>
      <c r="AE51" s="42"/>
      <c r="AF51" s="42"/>
      <c r="AG51" s="42">
        <v>1</v>
      </c>
      <c r="AH51" s="704"/>
      <c r="AI51" s="706"/>
      <c r="AJ51" s="700"/>
      <c r="AK51" s="700"/>
    </row>
    <row r="52" spans="1:37" ht="37.4" customHeight="1" thickBot="1" x14ac:dyDescent="0.4">
      <c r="A52" s="403">
        <v>20</v>
      </c>
      <c r="B52" s="403" t="s">
        <v>510</v>
      </c>
      <c r="C52" s="384" t="s">
        <v>828</v>
      </c>
      <c r="D52" s="403" t="s">
        <v>118</v>
      </c>
      <c r="E52" s="403" t="s">
        <v>119</v>
      </c>
      <c r="F52" s="404" t="s">
        <v>86</v>
      </c>
      <c r="G52" s="403"/>
      <c r="H52" s="711"/>
      <c r="I52" s="701" t="s">
        <v>666</v>
      </c>
      <c r="J52" s="694" t="s">
        <v>283</v>
      </c>
      <c r="K52" s="694" t="s">
        <v>668</v>
      </c>
      <c r="L52" s="384" t="s">
        <v>120</v>
      </c>
      <c r="M52" s="694" t="s">
        <v>649</v>
      </c>
      <c r="N52" s="694" t="s">
        <v>650</v>
      </c>
      <c r="O52" s="694" t="s">
        <v>649</v>
      </c>
      <c r="P52" s="709">
        <v>45778</v>
      </c>
      <c r="Q52" s="709">
        <v>45838</v>
      </c>
      <c r="R52" s="60" t="s">
        <v>91</v>
      </c>
      <c r="S52" s="53">
        <f>+(S53*T52)</f>
        <v>2.0408163265306121E-2</v>
      </c>
      <c r="T52" s="66">
        <f t="shared" si="1"/>
        <v>1</v>
      </c>
      <c r="U52" s="45"/>
      <c r="V52" s="45"/>
      <c r="W52" s="45"/>
      <c r="X52" s="45"/>
      <c r="Y52" s="45"/>
      <c r="Z52" s="45"/>
      <c r="AA52" s="45"/>
      <c r="AB52" s="45"/>
      <c r="AC52" s="45"/>
      <c r="AD52" s="45"/>
      <c r="AE52" s="45"/>
      <c r="AF52" s="45"/>
      <c r="AG52" s="45">
        <v>1</v>
      </c>
      <c r="AH52" s="703"/>
      <c r="AI52" s="705"/>
      <c r="AJ52" s="699"/>
      <c r="AK52" s="699" t="s">
        <v>309</v>
      </c>
    </row>
    <row r="53" spans="1:37" ht="37.4" customHeight="1" thickBot="1" x14ac:dyDescent="0.4">
      <c r="A53" s="403"/>
      <c r="B53" s="403"/>
      <c r="C53" s="385"/>
      <c r="D53" s="403"/>
      <c r="E53" s="403"/>
      <c r="F53" s="404"/>
      <c r="G53" s="403"/>
      <c r="H53" s="711"/>
      <c r="I53" s="702" t="s">
        <v>666</v>
      </c>
      <c r="J53" s="695"/>
      <c r="K53" s="695"/>
      <c r="L53" s="385"/>
      <c r="M53" s="695"/>
      <c r="N53" s="695"/>
      <c r="O53" s="695"/>
      <c r="P53" s="710"/>
      <c r="Q53" s="710"/>
      <c r="R53" s="60" t="s">
        <v>96</v>
      </c>
      <c r="S53" s="52">
        <f>100%/49</f>
        <v>2.0408163265306121E-2</v>
      </c>
      <c r="T53" s="66">
        <f t="shared" si="1"/>
        <v>1</v>
      </c>
      <c r="U53" s="42"/>
      <c r="V53" s="42"/>
      <c r="W53" s="42"/>
      <c r="X53" s="42"/>
      <c r="Y53" s="42"/>
      <c r="Z53" s="42"/>
      <c r="AA53" s="42"/>
      <c r="AB53" s="42"/>
      <c r="AC53" s="42"/>
      <c r="AD53" s="42"/>
      <c r="AE53" s="42"/>
      <c r="AF53" s="42"/>
      <c r="AG53" s="42">
        <v>1</v>
      </c>
      <c r="AH53" s="704"/>
      <c r="AI53" s="706"/>
      <c r="AJ53" s="700"/>
      <c r="AK53" s="700"/>
    </row>
    <row r="54" spans="1:37" ht="37.4" customHeight="1" thickBot="1" x14ac:dyDescent="0.4">
      <c r="A54" s="403">
        <v>21</v>
      </c>
      <c r="B54" s="403" t="s">
        <v>510</v>
      </c>
      <c r="C54" s="384" t="s">
        <v>828</v>
      </c>
      <c r="D54" s="403" t="s">
        <v>118</v>
      </c>
      <c r="E54" s="403" t="s">
        <v>119</v>
      </c>
      <c r="F54" s="404" t="s">
        <v>86</v>
      </c>
      <c r="G54" s="403"/>
      <c r="H54" s="711"/>
      <c r="I54" s="701" t="s">
        <v>666</v>
      </c>
      <c r="J54" s="694" t="s">
        <v>325</v>
      </c>
      <c r="K54" s="694" t="s">
        <v>328</v>
      </c>
      <c r="L54" s="384" t="s">
        <v>120</v>
      </c>
      <c r="M54" s="694" t="s">
        <v>514</v>
      </c>
      <c r="N54" s="694" t="s">
        <v>650</v>
      </c>
      <c r="O54" s="694" t="s">
        <v>514</v>
      </c>
      <c r="P54" s="709">
        <v>45658</v>
      </c>
      <c r="Q54" s="709">
        <v>46021</v>
      </c>
      <c r="R54" s="60" t="s">
        <v>91</v>
      </c>
      <c r="S54" s="53">
        <f>+(S55*T54)</f>
        <v>2.0408163265306121E-2</v>
      </c>
      <c r="T54" s="66">
        <f t="shared" si="1"/>
        <v>1</v>
      </c>
      <c r="U54" s="45"/>
      <c r="V54" s="45"/>
      <c r="W54" s="45"/>
      <c r="X54" s="45"/>
      <c r="Y54" s="45"/>
      <c r="Z54" s="45"/>
      <c r="AA54" s="45">
        <v>0.5</v>
      </c>
      <c r="AB54" s="45"/>
      <c r="AC54" s="45"/>
      <c r="AD54" s="45"/>
      <c r="AE54" s="45"/>
      <c r="AF54" s="45"/>
      <c r="AG54" s="45">
        <v>0.5</v>
      </c>
      <c r="AH54" s="703"/>
      <c r="AI54" s="705" t="s">
        <v>310</v>
      </c>
      <c r="AJ54" s="699"/>
      <c r="AK54" s="699" t="s">
        <v>311</v>
      </c>
    </row>
    <row r="55" spans="1:37" ht="37.4" customHeight="1" thickBot="1" x14ac:dyDescent="0.4">
      <c r="A55" s="403"/>
      <c r="B55" s="403"/>
      <c r="C55" s="385"/>
      <c r="D55" s="403"/>
      <c r="E55" s="403"/>
      <c r="F55" s="404"/>
      <c r="G55" s="403"/>
      <c r="H55" s="711"/>
      <c r="I55" s="702" t="s">
        <v>666</v>
      </c>
      <c r="J55" s="695"/>
      <c r="K55" s="695"/>
      <c r="L55" s="385"/>
      <c r="M55" s="695"/>
      <c r="N55" s="695"/>
      <c r="O55" s="695"/>
      <c r="P55" s="710"/>
      <c r="Q55" s="710"/>
      <c r="R55" s="60" t="s">
        <v>96</v>
      </c>
      <c r="S55" s="52">
        <f>100%/49</f>
        <v>2.0408163265306121E-2</v>
      </c>
      <c r="T55" s="66">
        <f t="shared" si="1"/>
        <v>1</v>
      </c>
      <c r="U55" s="42"/>
      <c r="V55" s="42"/>
      <c r="W55" s="42"/>
      <c r="X55" s="42"/>
      <c r="Y55" s="42"/>
      <c r="Z55" s="42"/>
      <c r="AA55" s="42">
        <v>0.5</v>
      </c>
      <c r="AB55" s="42"/>
      <c r="AC55" s="42"/>
      <c r="AD55" s="42"/>
      <c r="AE55" s="42"/>
      <c r="AF55" s="42"/>
      <c r="AG55" s="42">
        <v>0.5</v>
      </c>
      <c r="AH55" s="704"/>
      <c r="AI55" s="706"/>
      <c r="AJ55" s="700"/>
      <c r="AK55" s="700"/>
    </row>
    <row r="56" spans="1:37" ht="37.4" customHeight="1" thickBot="1" x14ac:dyDescent="0.4">
      <c r="A56" s="403">
        <v>22</v>
      </c>
      <c r="B56" s="403" t="s">
        <v>510</v>
      </c>
      <c r="C56" s="384" t="s">
        <v>828</v>
      </c>
      <c r="D56" s="403" t="s">
        <v>118</v>
      </c>
      <c r="E56" s="403" t="s">
        <v>119</v>
      </c>
      <c r="F56" s="404" t="s">
        <v>86</v>
      </c>
      <c r="G56" s="403"/>
      <c r="H56" s="711"/>
      <c r="I56" s="701" t="s">
        <v>666</v>
      </c>
      <c r="J56" s="694" t="s">
        <v>325</v>
      </c>
      <c r="K56" s="694" t="s">
        <v>669</v>
      </c>
      <c r="L56" s="384" t="s">
        <v>120</v>
      </c>
      <c r="M56" s="694" t="s">
        <v>514</v>
      </c>
      <c r="N56" s="694" t="s">
        <v>650</v>
      </c>
      <c r="O56" s="694" t="s">
        <v>514</v>
      </c>
      <c r="P56" s="709">
        <v>45658</v>
      </c>
      <c r="Q56" s="709">
        <v>46021</v>
      </c>
      <c r="R56" s="60" t="s">
        <v>91</v>
      </c>
      <c r="S56" s="53">
        <f>+(S57*T56)</f>
        <v>2.0408163265306121E-2</v>
      </c>
      <c r="T56" s="66">
        <f t="shared" si="1"/>
        <v>1</v>
      </c>
      <c r="U56" s="45"/>
      <c r="V56" s="45"/>
      <c r="W56" s="45"/>
      <c r="X56" s="45"/>
      <c r="Y56" s="45"/>
      <c r="Z56" s="45"/>
      <c r="AA56" s="45"/>
      <c r="AB56" s="45"/>
      <c r="AC56" s="45"/>
      <c r="AD56" s="45"/>
      <c r="AE56" s="45"/>
      <c r="AF56" s="45"/>
      <c r="AG56" s="45">
        <v>1</v>
      </c>
      <c r="AH56" s="703"/>
      <c r="AI56" s="705"/>
      <c r="AJ56" s="699"/>
      <c r="AK56" s="699" t="s">
        <v>312</v>
      </c>
    </row>
    <row r="57" spans="1:37" ht="37.4" customHeight="1" thickBot="1" x14ac:dyDescent="0.4">
      <c r="A57" s="403"/>
      <c r="B57" s="403"/>
      <c r="C57" s="385"/>
      <c r="D57" s="403"/>
      <c r="E57" s="403"/>
      <c r="F57" s="404"/>
      <c r="G57" s="403"/>
      <c r="H57" s="711"/>
      <c r="I57" s="702" t="s">
        <v>666</v>
      </c>
      <c r="J57" s="695"/>
      <c r="K57" s="695"/>
      <c r="L57" s="385"/>
      <c r="M57" s="695"/>
      <c r="N57" s="695"/>
      <c r="O57" s="695"/>
      <c r="P57" s="710"/>
      <c r="Q57" s="710"/>
      <c r="R57" s="60" t="s">
        <v>96</v>
      </c>
      <c r="S57" s="52">
        <f>100%/49</f>
        <v>2.0408163265306121E-2</v>
      </c>
      <c r="T57" s="66">
        <f t="shared" si="1"/>
        <v>1</v>
      </c>
      <c r="U57" s="42"/>
      <c r="V57" s="42"/>
      <c r="W57" s="42"/>
      <c r="X57" s="42"/>
      <c r="Y57" s="42"/>
      <c r="Z57" s="42"/>
      <c r="AA57" s="42"/>
      <c r="AB57" s="42"/>
      <c r="AC57" s="42"/>
      <c r="AD57" s="42"/>
      <c r="AE57" s="42"/>
      <c r="AF57" s="42"/>
      <c r="AG57" s="42">
        <v>1</v>
      </c>
      <c r="AH57" s="704"/>
      <c r="AI57" s="706"/>
      <c r="AJ57" s="700"/>
      <c r="AK57" s="700"/>
    </row>
    <row r="58" spans="1:37" ht="37.4" customHeight="1" thickBot="1" x14ac:dyDescent="0.4">
      <c r="A58" s="403">
        <v>23</v>
      </c>
      <c r="B58" s="403" t="s">
        <v>510</v>
      </c>
      <c r="C58" s="384" t="s">
        <v>828</v>
      </c>
      <c r="D58" s="403" t="s">
        <v>118</v>
      </c>
      <c r="E58" s="403" t="s">
        <v>119</v>
      </c>
      <c r="F58" s="404" t="s">
        <v>86</v>
      </c>
      <c r="G58" s="403"/>
      <c r="H58" s="711"/>
      <c r="I58" s="701" t="s">
        <v>666</v>
      </c>
      <c r="J58" s="694" t="s">
        <v>330</v>
      </c>
      <c r="K58" s="694" t="s">
        <v>1982</v>
      </c>
      <c r="L58" s="384" t="s">
        <v>120</v>
      </c>
      <c r="M58" s="694" t="s">
        <v>514</v>
      </c>
      <c r="N58" s="694" t="s">
        <v>650</v>
      </c>
      <c r="O58" s="694" t="s">
        <v>514</v>
      </c>
      <c r="P58" s="709">
        <v>45689</v>
      </c>
      <c r="Q58" s="709">
        <v>46021</v>
      </c>
      <c r="R58" s="60" t="s">
        <v>91</v>
      </c>
      <c r="S58" s="53">
        <f>+(S59*T58)</f>
        <v>1.9999999999999997E-2</v>
      </c>
      <c r="T58" s="66">
        <f t="shared" si="1"/>
        <v>0.97999999999999987</v>
      </c>
      <c r="U58" s="45"/>
      <c r="V58" s="42">
        <v>8.3333333333333343E-2</v>
      </c>
      <c r="W58" s="42">
        <v>8.3333333333333343E-2</v>
      </c>
      <c r="X58" s="42">
        <v>8.3333333333333343E-2</v>
      </c>
      <c r="Y58" s="42">
        <v>8.3333333333333343E-2</v>
      </c>
      <c r="Z58" s="42">
        <v>8.3333333333333343E-2</v>
      </c>
      <c r="AA58" s="42">
        <v>8.3333333333333343E-2</v>
      </c>
      <c r="AB58" s="45">
        <v>0.08</v>
      </c>
      <c r="AC58" s="45">
        <v>0.08</v>
      </c>
      <c r="AD58" s="45">
        <v>0.08</v>
      </c>
      <c r="AE58" s="45">
        <v>0.08</v>
      </c>
      <c r="AF58" s="45">
        <v>0.08</v>
      </c>
      <c r="AG58" s="45">
        <v>0.08</v>
      </c>
      <c r="AH58" s="703" t="s">
        <v>313</v>
      </c>
      <c r="AI58" s="703" t="s">
        <v>314</v>
      </c>
      <c r="AJ58" s="703" t="s">
        <v>314</v>
      </c>
      <c r="AK58" s="699" t="s">
        <v>315</v>
      </c>
    </row>
    <row r="59" spans="1:37" ht="37.4" customHeight="1" thickBot="1" x14ac:dyDescent="0.4">
      <c r="A59" s="403"/>
      <c r="B59" s="403"/>
      <c r="C59" s="385"/>
      <c r="D59" s="403"/>
      <c r="E59" s="403"/>
      <c r="F59" s="404"/>
      <c r="G59" s="403"/>
      <c r="H59" s="711"/>
      <c r="I59" s="702" t="s">
        <v>666</v>
      </c>
      <c r="J59" s="695"/>
      <c r="K59" s="695"/>
      <c r="L59" s="385"/>
      <c r="M59" s="695"/>
      <c r="N59" s="695"/>
      <c r="O59" s="695"/>
      <c r="P59" s="710"/>
      <c r="Q59" s="710"/>
      <c r="R59" s="60" t="s">
        <v>96</v>
      </c>
      <c r="S59" s="52">
        <f>100%/49</f>
        <v>2.0408163265306121E-2</v>
      </c>
      <c r="T59" s="66">
        <f t="shared" si="1"/>
        <v>1.0000000000000002</v>
      </c>
      <c r="U59" s="42"/>
      <c r="V59" s="42">
        <v>8.3333333333333301E-2</v>
      </c>
      <c r="W59" s="42">
        <v>8.3333333333333343E-2</v>
      </c>
      <c r="X59" s="42">
        <v>8.3333333333333343E-2</v>
      </c>
      <c r="Y59" s="42">
        <v>8.3333333333333343E-2</v>
      </c>
      <c r="Z59" s="42">
        <v>8.3333333333333343E-2</v>
      </c>
      <c r="AA59" s="42">
        <v>8.3333333333333343E-2</v>
      </c>
      <c r="AB59" s="42">
        <v>8.3333333333333343E-2</v>
      </c>
      <c r="AC59" s="42">
        <v>8.3333333333333343E-2</v>
      </c>
      <c r="AD59" s="42">
        <v>8.3333333333333343E-2</v>
      </c>
      <c r="AE59" s="42">
        <v>8.3333333333333343E-2</v>
      </c>
      <c r="AF59" s="42">
        <v>8.3333333333333343E-2</v>
      </c>
      <c r="AG59" s="42">
        <v>8.3333333333333343E-2</v>
      </c>
      <c r="AH59" s="704"/>
      <c r="AI59" s="704"/>
      <c r="AJ59" s="704"/>
      <c r="AK59" s="700"/>
    </row>
    <row r="60" spans="1:37" ht="37.4" customHeight="1" thickBot="1" x14ac:dyDescent="0.4">
      <c r="A60" s="403">
        <v>24</v>
      </c>
      <c r="B60" s="403" t="s">
        <v>510</v>
      </c>
      <c r="C60" s="384" t="s">
        <v>828</v>
      </c>
      <c r="D60" s="403" t="s">
        <v>118</v>
      </c>
      <c r="E60" s="403" t="s">
        <v>119</v>
      </c>
      <c r="F60" s="404" t="s">
        <v>86</v>
      </c>
      <c r="G60" s="403"/>
      <c r="H60" s="711"/>
      <c r="I60" s="701" t="s">
        <v>666</v>
      </c>
      <c r="J60" s="694" t="s">
        <v>356</v>
      </c>
      <c r="K60" s="694" t="s">
        <v>337</v>
      </c>
      <c r="L60" s="384" t="s">
        <v>120</v>
      </c>
      <c r="M60" s="694" t="s">
        <v>670</v>
      </c>
      <c r="N60" s="694" t="s">
        <v>650</v>
      </c>
      <c r="O60" s="694" t="s">
        <v>670</v>
      </c>
      <c r="P60" s="709">
        <v>45658</v>
      </c>
      <c r="Q60" s="709">
        <v>46021</v>
      </c>
      <c r="R60" s="60" t="s">
        <v>91</v>
      </c>
      <c r="S60" s="53">
        <f>+(S61*T60)</f>
        <v>2.0408163265306121E-2</v>
      </c>
      <c r="T60" s="66">
        <f t="shared" si="1"/>
        <v>1</v>
      </c>
      <c r="U60" s="45"/>
      <c r="V60" s="45"/>
      <c r="X60" s="45">
        <v>0.25</v>
      </c>
      <c r="Y60" s="45"/>
      <c r="Z60" s="45"/>
      <c r="AA60" s="45">
        <v>0.25</v>
      </c>
      <c r="AB60" s="45"/>
      <c r="AC60" s="45"/>
      <c r="AD60" s="45">
        <v>0.25</v>
      </c>
      <c r="AE60" s="45"/>
      <c r="AF60" s="45"/>
      <c r="AG60" s="45">
        <v>0.25</v>
      </c>
      <c r="AH60" s="703" t="s">
        <v>316</v>
      </c>
      <c r="AI60" s="703" t="s">
        <v>317</v>
      </c>
      <c r="AJ60" s="703" t="s">
        <v>318</v>
      </c>
      <c r="AK60" s="699" t="s">
        <v>319</v>
      </c>
    </row>
    <row r="61" spans="1:37" ht="37.4" customHeight="1" thickBot="1" x14ac:dyDescent="0.4">
      <c r="A61" s="403"/>
      <c r="B61" s="403"/>
      <c r="C61" s="385"/>
      <c r="D61" s="403"/>
      <c r="E61" s="403"/>
      <c r="F61" s="404"/>
      <c r="G61" s="403"/>
      <c r="H61" s="711"/>
      <c r="I61" s="702" t="s">
        <v>666</v>
      </c>
      <c r="J61" s="695"/>
      <c r="K61" s="695"/>
      <c r="L61" s="385"/>
      <c r="M61" s="695"/>
      <c r="N61" s="695"/>
      <c r="O61" s="695"/>
      <c r="P61" s="710"/>
      <c r="Q61" s="710"/>
      <c r="R61" s="60" t="s">
        <v>96</v>
      </c>
      <c r="S61" s="52">
        <f>100%/49</f>
        <v>2.0408163265306121E-2</v>
      </c>
      <c r="T61" s="66">
        <f t="shared" si="1"/>
        <v>1</v>
      </c>
      <c r="U61" s="42"/>
      <c r="V61" s="42"/>
      <c r="W61" s="42"/>
      <c r="X61" s="42">
        <v>0.25</v>
      </c>
      <c r="Y61" s="42"/>
      <c r="Z61" s="42"/>
      <c r="AA61" s="42">
        <v>0.25</v>
      </c>
      <c r="AB61" s="42"/>
      <c r="AC61" s="42"/>
      <c r="AD61" s="42">
        <v>0.25</v>
      </c>
      <c r="AE61" s="42"/>
      <c r="AF61" s="42"/>
      <c r="AG61" s="42">
        <v>0.25</v>
      </c>
      <c r="AH61" s="704"/>
      <c r="AI61" s="704"/>
      <c r="AJ61" s="704"/>
      <c r="AK61" s="700"/>
    </row>
    <row r="62" spans="1:37" ht="37.4" customHeight="1" thickBot="1" x14ac:dyDescent="0.4">
      <c r="A62" s="403">
        <v>25</v>
      </c>
      <c r="B62" s="403" t="s">
        <v>510</v>
      </c>
      <c r="C62" s="384" t="s">
        <v>828</v>
      </c>
      <c r="D62" s="403" t="s">
        <v>118</v>
      </c>
      <c r="E62" s="403" t="s">
        <v>119</v>
      </c>
      <c r="F62" s="404" t="s">
        <v>86</v>
      </c>
      <c r="G62" s="403"/>
      <c r="H62" s="711"/>
      <c r="I62" s="701" t="s">
        <v>666</v>
      </c>
      <c r="J62" s="694" t="s">
        <v>356</v>
      </c>
      <c r="K62" s="694" t="s">
        <v>671</v>
      </c>
      <c r="L62" s="384" t="s">
        <v>120</v>
      </c>
      <c r="M62" s="694" t="s">
        <v>525</v>
      </c>
      <c r="N62" s="694" t="s">
        <v>650</v>
      </c>
      <c r="O62" s="694" t="s">
        <v>525</v>
      </c>
      <c r="P62" s="709">
        <v>45839</v>
      </c>
      <c r="Q62" s="709">
        <v>46021</v>
      </c>
      <c r="R62" s="60" t="s">
        <v>91</v>
      </c>
      <c r="S62" s="53">
        <f>+(S63*T62)</f>
        <v>2.0408163265306121E-2</v>
      </c>
      <c r="T62" s="66">
        <f t="shared" si="1"/>
        <v>1</v>
      </c>
      <c r="U62" s="45"/>
      <c r="V62" s="45"/>
      <c r="X62" s="45">
        <v>0.25</v>
      </c>
      <c r="Y62" s="45"/>
      <c r="Z62" s="45"/>
      <c r="AA62" s="45">
        <v>0.25</v>
      </c>
      <c r="AB62" s="45"/>
      <c r="AC62" s="45"/>
      <c r="AD62" s="45">
        <v>0.25</v>
      </c>
      <c r="AE62" s="45"/>
      <c r="AF62" s="45"/>
      <c r="AG62" s="45">
        <v>0.25</v>
      </c>
      <c r="AH62" s="703" t="s">
        <v>320</v>
      </c>
      <c r="AI62" s="705" t="s">
        <v>321</v>
      </c>
      <c r="AJ62" s="699" t="s">
        <v>322</v>
      </c>
      <c r="AK62" s="699" t="s">
        <v>323</v>
      </c>
    </row>
    <row r="63" spans="1:37" ht="37.4" customHeight="1" thickBot="1" x14ac:dyDescent="0.4">
      <c r="A63" s="403"/>
      <c r="B63" s="403"/>
      <c r="C63" s="385"/>
      <c r="D63" s="403"/>
      <c r="E63" s="403"/>
      <c r="F63" s="404"/>
      <c r="G63" s="403"/>
      <c r="H63" s="711"/>
      <c r="I63" s="702" t="s">
        <v>666</v>
      </c>
      <c r="J63" s="695"/>
      <c r="K63" s="695"/>
      <c r="L63" s="385"/>
      <c r="M63" s="695"/>
      <c r="N63" s="695"/>
      <c r="O63" s="695"/>
      <c r="P63" s="710"/>
      <c r="Q63" s="710"/>
      <c r="R63" s="60" t="s">
        <v>96</v>
      </c>
      <c r="S63" s="52">
        <f>100%/49</f>
        <v>2.0408163265306121E-2</v>
      </c>
      <c r="T63" s="66">
        <f t="shared" si="1"/>
        <v>1</v>
      </c>
      <c r="U63" s="42"/>
      <c r="V63" s="42"/>
      <c r="W63" s="42"/>
      <c r="X63" s="42">
        <v>0.25</v>
      </c>
      <c r="Y63" s="42"/>
      <c r="Z63" s="42"/>
      <c r="AA63" s="42">
        <v>0.25</v>
      </c>
      <c r="AB63" s="42"/>
      <c r="AC63" s="42"/>
      <c r="AD63" s="42">
        <v>0.25</v>
      </c>
      <c r="AE63" s="42"/>
      <c r="AF63" s="42"/>
      <c r="AG63" s="42">
        <v>0.25</v>
      </c>
      <c r="AH63" s="704"/>
      <c r="AI63" s="706"/>
      <c r="AJ63" s="700"/>
      <c r="AK63" s="700"/>
    </row>
    <row r="64" spans="1:37" ht="37.4" customHeight="1" thickBot="1" x14ac:dyDescent="0.4">
      <c r="A64" s="403">
        <v>26</v>
      </c>
      <c r="B64" s="403" t="s">
        <v>510</v>
      </c>
      <c r="C64" s="384" t="s">
        <v>828</v>
      </c>
      <c r="D64" s="403" t="s">
        <v>118</v>
      </c>
      <c r="E64" s="403" t="s">
        <v>119</v>
      </c>
      <c r="F64" s="404" t="s">
        <v>86</v>
      </c>
      <c r="G64" s="694" t="s">
        <v>639</v>
      </c>
      <c r="H64" s="713" t="s">
        <v>644</v>
      </c>
      <c r="I64" s="701" t="s">
        <v>672</v>
      </c>
      <c r="J64" s="694" t="s">
        <v>287</v>
      </c>
      <c r="K64" s="694" t="s">
        <v>673</v>
      </c>
      <c r="L64" s="384" t="s">
        <v>120</v>
      </c>
      <c r="M64" s="694" t="s">
        <v>649</v>
      </c>
      <c r="N64" s="694" t="s">
        <v>650</v>
      </c>
      <c r="O64" s="694" t="s">
        <v>649</v>
      </c>
      <c r="P64" s="709">
        <v>45778</v>
      </c>
      <c r="Q64" s="709">
        <v>45899</v>
      </c>
      <c r="R64" s="60" t="s">
        <v>91</v>
      </c>
      <c r="S64" s="53">
        <f>+(S65*T64)</f>
        <v>2.0408163265306121E-2</v>
      </c>
      <c r="T64" s="66">
        <f t="shared" si="1"/>
        <v>1</v>
      </c>
      <c r="U64" s="45"/>
      <c r="V64" s="45"/>
      <c r="W64" s="45"/>
      <c r="X64" s="45"/>
      <c r="Y64" s="45"/>
      <c r="Z64" s="45"/>
      <c r="AA64" s="45"/>
      <c r="AB64" s="45"/>
      <c r="AC64" s="45"/>
      <c r="AD64" s="45"/>
      <c r="AE64" s="45"/>
      <c r="AF64" s="45"/>
      <c r="AG64" s="45">
        <v>1</v>
      </c>
      <c r="AH64" s="703"/>
      <c r="AI64" s="705"/>
      <c r="AJ64" s="699"/>
      <c r="AK64" s="699" t="s">
        <v>324</v>
      </c>
    </row>
    <row r="65" spans="1:37" ht="37.4" customHeight="1" thickBot="1" x14ac:dyDescent="0.4">
      <c r="A65" s="403"/>
      <c r="B65" s="403"/>
      <c r="C65" s="385"/>
      <c r="D65" s="403"/>
      <c r="E65" s="403"/>
      <c r="F65" s="404"/>
      <c r="G65" s="712"/>
      <c r="H65" s="713"/>
      <c r="I65" s="702" t="s">
        <v>672</v>
      </c>
      <c r="J65" s="695"/>
      <c r="K65" s="695"/>
      <c r="L65" s="385"/>
      <c r="M65" s="695"/>
      <c r="N65" s="695"/>
      <c r="O65" s="695"/>
      <c r="P65" s="710"/>
      <c r="Q65" s="710"/>
      <c r="R65" s="60" t="s">
        <v>96</v>
      </c>
      <c r="S65" s="52">
        <f>100%/49</f>
        <v>2.0408163265306121E-2</v>
      </c>
      <c r="T65" s="66">
        <f t="shared" si="1"/>
        <v>1</v>
      </c>
      <c r="U65" s="42"/>
      <c r="V65" s="42"/>
      <c r="W65" s="42"/>
      <c r="X65" s="42"/>
      <c r="Y65" s="42"/>
      <c r="Z65" s="42"/>
      <c r="AA65" s="42"/>
      <c r="AB65" s="42"/>
      <c r="AC65" s="42"/>
      <c r="AD65" s="42"/>
      <c r="AE65" s="42"/>
      <c r="AF65" s="42"/>
      <c r="AG65" s="42">
        <v>1</v>
      </c>
      <c r="AH65" s="704"/>
      <c r="AI65" s="706"/>
      <c r="AJ65" s="700"/>
      <c r="AK65" s="700"/>
    </row>
    <row r="66" spans="1:37" ht="37.4" customHeight="1" thickBot="1" x14ac:dyDescent="0.4">
      <c r="A66" s="403">
        <v>27</v>
      </c>
      <c r="B66" s="403" t="s">
        <v>510</v>
      </c>
      <c r="C66" s="384" t="s">
        <v>828</v>
      </c>
      <c r="D66" s="403" t="s">
        <v>118</v>
      </c>
      <c r="E66" s="403" t="s">
        <v>119</v>
      </c>
      <c r="F66" s="404" t="s">
        <v>86</v>
      </c>
      <c r="G66" s="712"/>
      <c r="H66" s="713"/>
      <c r="I66" s="701" t="s">
        <v>672</v>
      </c>
      <c r="J66" s="694" t="s">
        <v>674</v>
      </c>
      <c r="K66" s="694" t="s">
        <v>675</v>
      </c>
      <c r="L66" s="384" t="s">
        <v>120</v>
      </c>
      <c r="M66" s="694" t="s">
        <v>649</v>
      </c>
      <c r="N66" s="694" t="s">
        <v>650</v>
      </c>
      <c r="O66" s="694" t="s">
        <v>649</v>
      </c>
      <c r="P66" s="709">
        <v>45901</v>
      </c>
      <c r="Q66" s="709">
        <v>45960</v>
      </c>
      <c r="R66" s="60" t="s">
        <v>91</v>
      </c>
      <c r="S66" s="53">
        <f>+(S67*T66)</f>
        <v>2.0408163265306121E-2</v>
      </c>
      <c r="T66" s="66">
        <f t="shared" si="1"/>
        <v>1</v>
      </c>
      <c r="U66" s="45"/>
      <c r="V66" s="45"/>
      <c r="W66" s="45"/>
      <c r="X66" s="45"/>
      <c r="Y66" s="45"/>
      <c r="Z66" s="45"/>
      <c r="AA66" s="45">
        <v>0.5</v>
      </c>
      <c r="AB66" s="45"/>
      <c r="AC66" s="45"/>
      <c r="AD66" s="45"/>
      <c r="AE66" s="45"/>
      <c r="AF66" s="45"/>
      <c r="AG66" s="45">
        <v>0.5</v>
      </c>
      <c r="AH66" s="703"/>
      <c r="AI66" s="705" t="s">
        <v>326</v>
      </c>
      <c r="AJ66" s="699"/>
      <c r="AK66" s="699" t="s">
        <v>327</v>
      </c>
    </row>
    <row r="67" spans="1:37" ht="37.4" customHeight="1" thickBot="1" x14ac:dyDescent="0.4">
      <c r="A67" s="403"/>
      <c r="B67" s="403"/>
      <c r="C67" s="385"/>
      <c r="D67" s="403"/>
      <c r="E67" s="403"/>
      <c r="F67" s="404"/>
      <c r="G67" s="712"/>
      <c r="H67" s="713"/>
      <c r="I67" s="702" t="s">
        <v>672</v>
      </c>
      <c r="J67" s="695"/>
      <c r="K67" s="695"/>
      <c r="L67" s="385"/>
      <c r="M67" s="695"/>
      <c r="N67" s="695"/>
      <c r="O67" s="695"/>
      <c r="P67" s="710"/>
      <c r="Q67" s="710"/>
      <c r="R67" s="60" t="s">
        <v>96</v>
      </c>
      <c r="S67" s="52">
        <f>100%/49</f>
        <v>2.0408163265306121E-2</v>
      </c>
      <c r="T67" s="66">
        <f t="shared" si="1"/>
        <v>1</v>
      </c>
      <c r="U67" s="42"/>
      <c r="V67" s="42"/>
      <c r="W67" s="42"/>
      <c r="X67" s="42"/>
      <c r="Y67" s="42"/>
      <c r="Z67" s="42"/>
      <c r="AA67" s="42">
        <v>0.5</v>
      </c>
      <c r="AB67" s="42"/>
      <c r="AC67" s="42"/>
      <c r="AD67" s="42"/>
      <c r="AE67" s="42"/>
      <c r="AF67" s="42"/>
      <c r="AG67" s="42">
        <v>0.5</v>
      </c>
      <c r="AH67" s="704"/>
      <c r="AI67" s="706"/>
      <c r="AJ67" s="700"/>
      <c r="AK67" s="700"/>
    </row>
    <row r="68" spans="1:37" ht="37.4" customHeight="1" thickBot="1" x14ac:dyDescent="0.4">
      <c r="A68" s="403">
        <v>28</v>
      </c>
      <c r="B68" s="403" t="s">
        <v>510</v>
      </c>
      <c r="C68" s="384" t="s">
        <v>828</v>
      </c>
      <c r="D68" s="403" t="s">
        <v>118</v>
      </c>
      <c r="E68" s="403" t="s">
        <v>119</v>
      </c>
      <c r="F68" s="404" t="s">
        <v>86</v>
      </c>
      <c r="G68" s="712"/>
      <c r="H68" s="713"/>
      <c r="I68" s="701" t="s">
        <v>672</v>
      </c>
      <c r="J68" s="694" t="s">
        <v>357</v>
      </c>
      <c r="K68" s="694" t="s">
        <v>358</v>
      </c>
      <c r="L68" s="384" t="s">
        <v>120</v>
      </c>
      <c r="M68" s="694" t="s">
        <v>520</v>
      </c>
      <c r="N68" s="694" t="s">
        <v>650</v>
      </c>
      <c r="O68" s="694" t="s">
        <v>520</v>
      </c>
      <c r="P68" s="709">
        <v>45748</v>
      </c>
      <c r="Q68" s="709">
        <v>45991</v>
      </c>
      <c r="R68" s="60" t="s">
        <v>91</v>
      </c>
      <c r="S68" s="53">
        <f>+(S69*T68)</f>
        <v>2.0408163265306121E-2</v>
      </c>
      <c r="T68" s="66">
        <f t="shared" si="1"/>
        <v>1</v>
      </c>
      <c r="U68" s="45"/>
      <c r="V68" s="45"/>
      <c r="W68" s="45"/>
      <c r="X68" s="45">
        <v>0.25</v>
      </c>
      <c r="Y68" s="45"/>
      <c r="Z68" s="45"/>
      <c r="AA68" s="45">
        <v>0.25</v>
      </c>
      <c r="AB68" s="45"/>
      <c r="AC68" s="45"/>
      <c r="AD68" s="45">
        <v>0.25</v>
      </c>
      <c r="AE68" s="45"/>
      <c r="AF68" s="45"/>
      <c r="AG68" s="45">
        <v>0.25</v>
      </c>
      <c r="AH68" s="703" t="s">
        <v>329</v>
      </c>
      <c r="AI68" s="703" t="s">
        <v>329</v>
      </c>
      <c r="AJ68" s="703" t="s">
        <v>329</v>
      </c>
      <c r="AK68" s="703" t="s">
        <v>329</v>
      </c>
    </row>
    <row r="69" spans="1:37" ht="37.4" customHeight="1" thickBot="1" x14ac:dyDescent="0.4">
      <c r="A69" s="403"/>
      <c r="B69" s="403"/>
      <c r="C69" s="385"/>
      <c r="D69" s="403"/>
      <c r="E69" s="403"/>
      <c r="F69" s="404"/>
      <c r="G69" s="712"/>
      <c r="H69" s="713"/>
      <c r="I69" s="702" t="s">
        <v>672</v>
      </c>
      <c r="J69" s="695"/>
      <c r="K69" s="695"/>
      <c r="L69" s="385"/>
      <c r="M69" s="695"/>
      <c r="N69" s="695"/>
      <c r="O69" s="695"/>
      <c r="P69" s="710"/>
      <c r="Q69" s="710"/>
      <c r="R69" s="60" t="s">
        <v>96</v>
      </c>
      <c r="S69" s="52">
        <f>100%/49</f>
        <v>2.0408163265306121E-2</v>
      </c>
      <c r="T69" s="66">
        <f t="shared" si="1"/>
        <v>1</v>
      </c>
      <c r="U69" s="42"/>
      <c r="V69" s="42"/>
      <c r="W69" s="42"/>
      <c r="X69" s="42">
        <v>0.25</v>
      </c>
      <c r="Y69" s="42"/>
      <c r="Z69" s="42"/>
      <c r="AA69" s="42">
        <v>0.25</v>
      </c>
      <c r="AB69" s="42"/>
      <c r="AC69" s="42"/>
      <c r="AD69" s="42">
        <v>0.25</v>
      </c>
      <c r="AE69" s="42"/>
      <c r="AF69" s="42"/>
      <c r="AG69" s="42">
        <v>0.25</v>
      </c>
      <c r="AH69" s="704"/>
      <c r="AI69" s="704"/>
      <c r="AJ69" s="704"/>
      <c r="AK69" s="704"/>
    </row>
    <row r="70" spans="1:37" ht="37.4" customHeight="1" thickBot="1" x14ac:dyDescent="0.4">
      <c r="A70" s="403">
        <v>29</v>
      </c>
      <c r="B70" s="403" t="s">
        <v>510</v>
      </c>
      <c r="C70" s="384" t="s">
        <v>828</v>
      </c>
      <c r="D70" s="403" t="s">
        <v>118</v>
      </c>
      <c r="E70" s="403" t="s">
        <v>119</v>
      </c>
      <c r="F70" s="404" t="s">
        <v>86</v>
      </c>
      <c r="G70" s="712"/>
      <c r="H70" s="713"/>
      <c r="I70" s="701" t="s">
        <v>672</v>
      </c>
      <c r="J70" s="694" t="s">
        <v>676</v>
      </c>
      <c r="K70" s="694" t="s">
        <v>677</v>
      </c>
      <c r="L70" s="384" t="s">
        <v>120</v>
      </c>
      <c r="M70" s="694" t="s">
        <v>514</v>
      </c>
      <c r="N70" s="694" t="s">
        <v>650</v>
      </c>
      <c r="O70" s="694" t="s">
        <v>514</v>
      </c>
      <c r="P70" s="709">
        <v>45658</v>
      </c>
      <c r="Q70" s="709">
        <v>46021</v>
      </c>
      <c r="R70" s="60" t="s">
        <v>91</v>
      </c>
      <c r="S70" s="53">
        <f>+(S71*T70)</f>
        <v>1.9999999999999997E-2</v>
      </c>
      <c r="T70" s="66">
        <f t="shared" si="1"/>
        <v>0.97999999999999987</v>
      </c>
      <c r="U70" s="45"/>
      <c r="V70" s="42">
        <v>8.3333333333333343E-2</v>
      </c>
      <c r="W70" s="42">
        <v>8.3333333333333343E-2</v>
      </c>
      <c r="X70" s="42">
        <v>8.3333333333333343E-2</v>
      </c>
      <c r="Y70" s="42">
        <v>8.3333333333333343E-2</v>
      </c>
      <c r="Z70" s="42">
        <v>8.3333333333333343E-2</v>
      </c>
      <c r="AA70" s="42">
        <v>8.3333333333333343E-2</v>
      </c>
      <c r="AB70" s="45">
        <v>0.08</v>
      </c>
      <c r="AC70" s="45">
        <v>0.08</v>
      </c>
      <c r="AD70" s="45">
        <v>0.08</v>
      </c>
      <c r="AE70" s="45">
        <v>0.08</v>
      </c>
      <c r="AF70" s="45">
        <v>0.08</v>
      </c>
      <c r="AG70" s="45">
        <v>0.08</v>
      </c>
      <c r="AH70" s="703" t="s">
        <v>331</v>
      </c>
      <c r="AI70" s="703" t="s">
        <v>332</v>
      </c>
      <c r="AJ70" s="703" t="s">
        <v>332</v>
      </c>
      <c r="AK70" s="703" t="s">
        <v>332</v>
      </c>
    </row>
    <row r="71" spans="1:37" ht="37.4" customHeight="1" thickBot="1" x14ac:dyDescent="0.4">
      <c r="A71" s="403"/>
      <c r="B71" s="403"/>
      <c r="C71" s="385"/>
      <c r="D71" s="403"/>
      <c r="E71" s="403"/>
      <c r="F71" s="404"/>
      <c r="G71" s="712"/>
      <c r="H71" s="713"/>
      <c r="I71" s="702" t="s">
        <v>672</v>
      </c>
      <c r="J71" s="695"/>
      <c r="K71" s="695"/>
      <c r="L71" s="385"/>
      <c r="M71" s="695"/>
      <c r="N71" s="695"/>
      <c r="O71" s="695"/>
      <c r="P71" s="710"/>
      <c r="Q71" s="710"/>
      <c r="R71" s="60" t="s">
        <v>96</v>
      </c>
      <c r="S71" s="52">
        <f>100%/49</f>
        <v>2.0408163265306121E-2</v>
      </c>
      <c r="T71" s="66">
        <f t="shared" si="1"/>
        <v>1.0000000000000002</v>
      </c>
      <c r="U71" s="42"/>
      <c r="V71" s="42">
        <v>8.3333333333333343E-2</v>
      </c>
      <c r="W71" s="42">
        <v>8.3333333333333343E-2</v>
      </c>
      <c r="X71" s="42">
        <v>8.3333333333333343E-2</v>
      </c>
      <c r="Y71" s="42">
        <v>8.3333333333333343E-2</v>
      </c>
      <c r="Z71" s="42">
        <v>8.3333333333333343E-2</v>
      </c>
      <c r="AA71" s="42">
        <v>8.3333333333333343E-2</v>
      </c>
      <c r="AB71" s="42">
        <v>8.3333333333333343E-2</v>
      </c>
      <c r="AC71" s="42">
        <v>8.3333333333333343E-2</v>
      </c>
      <c r="AD71" s="42">
        <v>8.3333333333333343E-2</v>
      </c>
      <c r="AE71" s="42">
        <v>8.3333333333333343E-2</v>
      </c>
      <c r="AF71" s="42">
        <v>8.3333333333333343E-2</v>
      </c>
      <c r="AG71" s="42">
        <v>8.3333333333333343E-2</v>
      </c>
      <c r="AH71" s="704"/>
      <c r="AI71" s="704"/>
      <c r="AJ71" s="704"/>
      <c r="AK71" s="704"/>
    </row>
    <row r="72" spans="1:37" ht="37.4" customHeight="1" thickBot="1" x14ac:dyDescent="0.4">
      <c r="A72" s="403">
        <v>30</v>
      </c>
      <c r="B72" s="403" t="s">
        <v>510</v>
      </c>
      <c r="C72" s="384" t="s">
        <v>828</v>
      </c>
      <c r="D72" s="403" t="s">
        <v>118</v>
      </c>
      <c r="E72" s="403" t="s">
        <v>119</v>
      </c>
      <c r="F72" s="404" t="s">
        <v>86</v>
      </c>
      <c r="G72" s="713" t="s">
        <v>638</v>
      </c>
      <c r="H72" s="713" t="s">
        <v>645</v>
      </c>
      <c r="I72" s="701" t="s">
        <v>678</v>
      </c>
      <c r="J72" s="694" t="s">
        <v>289</v>
      </c>
      <c r="K72" s="694" t="s">
        <v>679</v>
      </c>
      <c r="L72" s="384" t="s">
        <v>120</v>
      </c>
      <c r="M72" s="694" t="s">
        <v>649</v>
      </c>
      <c r="N72" s="694" t="s">
        <v>650</v>
      </c>
      <c r="O72" s="694" t="s">
        <v>649</v>
      </c>
      <c r="P72" s="709">
        <v>45778</v>
      </c>
      <c r="Q72" s="709">
        <v>45899</v>
      </c>
      <c r="R72" s="60" t="s">
        <v>91</v>
      </c>
      <c r="S72" s="53">
        <f>+(S73*T72)</f>
        <v>2.0408163265306121E-2</v>
      </c>
      <c r="T72" s="66">
        <f t="shared" si="1"/>
        <v>1</v>
      </c>
      <c r="U72" s="45"/>
      <c r="V72" s="45"/>
      <c r="W72" s="45"/>
      <c r="X72" s="45">
        <v>0.25</v>
      </c>
      <c r="Y72" s="45"/>
      <c r="Z72" s="45"/>
      <c r="AA72" s="45">
        <v>0.25</v>
      </c>
      <c r="AB72" s="45"/>
      <c r="AC72" s="45"/>
      <c r="AD72" s="45">
        <v>0.25</v>
      </c>
      <c r="AE72" s="45"/>
      <c r="AF72" s="45"/>
      <c r="AG72" s="45">
        <v>0.25</v>
      </c>
      <c r="AH72" s="703" t="s">
        <v>333</v>
      </c>
      <c r="AI72" s="703" t="s">
        <v>334</v>
      </c>
      <c r="AJ72" s="703" t="s">
        <v>335</v>
      </c>
      <c r="AK72" s="699" t="s">
        <v>336</v>
      </c>
    </row>
    <row r="73" spans="1:37" ht="37.4" customHeight="1" thickBot="1" x14ac:dyDescent="0.4">
      <c r="A73" s="403"/>
      <c r="B73" s="403"/>
      <c r="C73" s="385"/>
      <c r="D73" s="403"/>
      <c r="E73" s="403"/>
      <c r="F73" s="404"/>
      <c r="G73" s="713"/>
      <c r="H73" s="713"/>
      <c r="I73" s="702" t="s">
        <v>678</v>
      </c>
      <c r="J73" s="695"/>
      <c r="K73" s="695"/>
      <c r="L73" s="385"/>
      <c r="M73" s="695"/>
      <c r="N73" s="695"/>
      <c r="O73" s="695"/>
      <c r="P73" s="710"/>
      <c r="Q73" s="710"/>
      <c r="R73" s="60" t="s">
        <v>96</v>
      </c>
      <c r="S73" s="52">
        <f>100%/49</f>
        <v>2.0408163265306121E-2</v>
      </c>
      <c r="T73" s="66">
        <f t="shared" si="1"/>
        <v>1</v>
      </c>
      <c r="U73" s="42"/>
      <c r="V73" s="42"/>
      <c r="W73" s="42"/>
      <c r="X73" s="42">
        <v>0.25</v>
      </c>
      <c r="Y73" s="42"/>
      <c r="Z73" s="42"/>
      <c r="AA73" s="42">
        <v>0.25</v>
      </c>
      <c r="AB73" s="42"/>
      <c r="AC73" s="42"/>
      <c r="AD73" s="42">
        <v>0.25</v>
      </c>
      <c r="AE73" s="42"/>
      <c r="AF73" s="42"/>
      <c r="AG73" s="42">
        <v>0.25</v>
      </c>
      <c r="AH73" s="704"/>
      <c r="AI73" s="704"/>
      <c r="AJ73" s="704"/>
      <c r="AK73" s="700"/>
    </row>
    <row r="74" spans="1:37" ht="37.4" customHeight="1" thickBot="1" x14ac:dyDescent="0.4">
      <c r="A74" s="403">
        <v>31</v>
      </c>
      <c r="B74" s="403" t="s">
        <v>510</v>
      </c>
      <c r="C74" s="384" t="s">
        <v>828</v>
      </c>
      <c r="D74" s="403" t="s">
        <v>118</v>
      </c>
      <c r="E74" s="403" t="s">
        <v>119</v>
      </c>
      <c r="F74" s="404" t="s">
        <v>86</v>
      </c>
      <c r="G74" s="713"/>
      <c r="H74" s="713"/>
      <c r="I74" s="701" t="s">
        <v>678</v>
      </c>
      <c r="J74" s="694" t="s">
        <v>289</v>
      </c>
      <c r="K74" s="694" t="s">
        <v>680</v>
      </c>
      <c r="L74" s="384" t="s">
        <v>120</v>
      </c>
      <c r="M74" s="694" t="s">
        <v>649</v>
      </c>
      <c r="N74" s="694" t="s">
        <v>650</v>
      </c>
      <c r="O74" s="694" t="s">
        <v>649</v>
      </c>
      <c r="P74" s="709">
        <v>45931</v>
      </c>
      <c r="Q74" s="709">
        <v>45991</v>
      </c>
      <c r="R74" s="60" t="s">
        <v>91</v>
      </c>
      <c r="S74" s="53">
        <f>+(S75*T74)</f>
        <v>1.9999999999999997E-2</v>
      </c>
      <c r="T74" s="66">
        <f t="shared" si="1"/>
        <v>0.97999999999999987</v>
      </c>
      <c r="U74" s="45"/>
      <c r="V74" s="42">
        <v>8.3333333333333343E-2</v>
      </c>
      <c r="W74" s="42">
        <v>8.3333333333333343E-2</v>
      </c>
      <c r="X74" s="42">
        <v>8.3333333333333343E-2</v>
      </c>
      <c r="Y74" s="42">
        <v>8.3333333333333343E-2</v>
      </c>
      <c r="Z74" s="42">
        <v>8.3333333333333343E-2</v>
      </c>
      <c r="AA74" s="42">
        <v>8.3333333333333343E-2</v>
      </c>
      <c r="AB74" s="45">
        <v>0.08</v>
      </c>
      <c r="AC74" s="45">
        <v>0.08</v>
      </c>
      <c r="AD74" s="45">
        <v>0.08</v>
      </c>
      <c r="AE74" s="45">
        <v>0.08</v>
      </c>
      <c r="AF74" s="45">
        <v>0.08</v>
      </c>
      <c r="AG74" s="45">
        <v>0.08</v>
      </c>
      <c r="AH74" s="703" t="s">
        <v>338</v>
      </c>
      <c r="AI74" s="705" t="s">
        <v>339</v>
      </c>
      <c r="AJ74" s="699" t="s">
        <v>340</v>
      </c>
      <c r="AK74" s="699" t="s">
        <v>341</v>
      </c>
    </row>
    <row r="75" spans="1:37" ht="37.4" customHeight="1" thickBot="1" x14ac:dyDescent="0.4">
      <c r="A75" s="403"/>
      <c r="B75" s="403"/>
      <c r="C75" s="385"/>
      <c r="D75" s="403"/>
      <c r="E75" s="403"/>
      <c r="F75" s="404"/>
      <c r="G75" s="713"/>
      <c r="H75" s="713"/>
      <c r="I75" s="702" t="s">
        <v>678</v>
      </c>
      <c r="J75" s="695"/>
      <c r="K75" s="695"/>
      <c r="L75" s="385"/>
      <c r="M75" s="695"/>
      <c r="N75" s="695"/>
      <c r="O75" s="695"/>
      <c r="P75" s="710"/>
      <c r="Q75" s="710"/>
      <c r="R75" s="60" t="s">
        <v>96</v>
      </c>
      <c r="S75" s="52">
        <f>100%/49</f>
        <v>2.0408163265306121E-2</v>
      </c>
      <c r="T75" s="66">
        <f t="shared" si="1"/>
        <v>1.0000000000000002</v>
      </c>
      <c r="U75" s="42"/>
      <c r="V75" s="42">
        <v>8.3333333333333343E-2</v>
      </c>
      <c r="W75" s="42">
        <v>8.3333333333333343E-2</v>
      </c>
      <c r="X75" s="42">
        <v>8.3333333333333343E-2</v>
      </c>
      <c r="Y75" s="42">
        <v>8.3333333333333343E-2</v>
      </c>
      <c r="Z75" s="42">
        <v>8.3333333333333343E-2</v>
      </c>
      <c r="AA75" s="42">
        <v>8.3333333333333343E-2</v>
      </c>
      <c r="AB75" s="42">
        <v>8.3333333333333343E-2</v>
      </c>
      <c r="AC75" s="42">
        <v>8.3333333333333343E-2</v>
      </c>
      <c r="AD75" s="42">
        <v>8.3333333333333343E-2</v>
      </c>
      <c r="AE75" s="42">
        <v>8.3333333333333343E-2</v>
      </c>
      <c r="AF75" s="42">
        <v>8.3333333333333343E-2</v>
      </c>
      <c r="AG75" s="42">
        <v>8.3333333333333343E-2</v>
      </c>
      <c r="AH75" s="704"/>
      <c r="AI75" s="706"/>
      <c r="AJ75" s="700"/>
      <c r="AK75" s="700"/>
    </row>
    <row r="76" spans="1:37" ht="37.4" customHeight="1" thickBot="1" x14ac:dyDescent="0.4">
      <c r="A76" s="403">
        <v>32</v>
      </c>
      <c r="B76" s="403" t="s">
        <v>510</v>
      </c>
      <c r="C76" s="384" t="s">
        <v>828</v>
      </c>
      <c r="D76" s="403" t="s">
        <v>118</v>
      </c>
      <c r="E76" s="403" t="s">
        <v>119</v>
      </c>
      <c r="F76" s="404" t="s">
        <v>86</v>
      </c>
      <c r="G76" s="714" t="s">
        <v>640</v>
      </c>
      <c r="H76" s="714" t="s">
        <v>646</v>
      </c>
      <c r="I76" s="701" t="s">
        <v>681</v>
      </c>
      <c r="J76" s="694" t="s">
        <v>285</v>
      </c>
      <c r="K76" s="694" t="s">
        <v>344</v>
      </c>
      <c r="L76" s="384" t="s">
        <v>120</v>
      </c>
      <c r="M76" s="694" t="s">
        <v>514</v>
      </c>
      <c r="N76" s="694" t="s">
        <v>650</v>
      </c>
      <c r="O76" s="694" t="s">
        <v>514</v>
      </c>
      <c r="P76" s="709">
        <v>45658</v>
      </c>
      <c r="Q76" s="709">
        <v>46021</v>
      </c>
      <c r="R76" s="60" t="s">
        <v>91</v>
      </c>
      <c r="S76" s="53">
        <f>+(S77*T76)</f>
        <v>2.0408163265306121E-2</v>
      </c>
      <c r="T76" s="66">
        <f t="shared" ref="T76:T83" si="2">SUM(U76:AG76)</f>
        <v>1</v>
      </c>
      <c r="U76" s="45"/>
      <c r="V76" s="45"/>
      <c r="W76" s="45"/>
      <c r="X76" s="45"/>
      <c r="Y76" s="45"/>
      <c r="Z76" s="45"/>
      <c r="AA76" s="45"/>
      <c r="AB76" s="45"/>
      <c r="AC76" s="45"/>
      <c r="AD76" s="45"/>
      <c r="AE76" s="45"/>
      <c r="AF76" s="45"/>
      <c r="AG76" s="45">
        <v>1</v>
      </c>
      <c r="AH76" s="703"/>
      <c r="AI76" s="705"/>
      <c r="AJ76" s="699"/>
      <c r="AK76" s="699" t="s">
        <v>342</v>
      </c>
    </row>
    <row r="77" spans="1:37" ht="37.4" customHeight="1" thickBot="1" x14ac:dyDescent="0.4">
      <c r="A77" s="403"/>
      <c r="B77" s="403"/>
      <c r="C77" s="385"/>
      <c r="D77" s="403"/>
      <c r="E77" s="403"/>
      <c r="F77" s="404"/>
      <c r="G77" s="714"/>
      <c r="H77" s="714"/>
      <c r="I77" s="702" t="s">
        <v>681</v>
      </c>
      <c r="J77" s="695"/>
      <c r="K77" s="695"/>
      <c r="L77" s="385"/>
      <c r="M77" s="695"/>
      <c r="N77" s="695"/>
      <c r="O77" s="695"/>
      <c r="P77" s="710"/>
      <c r="Q77" s="710"/>
      <c r="R77" s="60" t="s">
        <v>96</v>
      </c>
      <c r="S77" s="52">
        <f>100%/49</f>
        <v>2.0408163265306121E-2</v>
      </c>
      <c r="T77" s="66">
        <f t="shared" si="2"/>
        <v>1</v>
      </c>
      <c r="U77" s="42"/>
      <c r="V77" s="42"/>
      <c r="W77" s="42"/>
      <c r="X77" s="42"/>
      <c r="Y77" s="42"/>
      <c r="Z77" s="42"/>
      <c r="AA77" s="42"/>
      <c r="AB77" s="42"/>
      <c r="AC77" s="42"/>
      <c r="AD77" s="42"/>
      <c r="AE77" s="42"/>
      <c r="AF77" s="42"/>
      <c r="AG77" s="42">
        <v>1</v>
      </c>
      <c r="AH77" s="704"/>
      <c r="AI77" s="706"/>
      <c r="AJ77" s="700"/>
      <c r="AK77" s="700"/>
    </row>
    <row r="78" spans="1:37" ht="37.4" customHeight="1" thickBot="1" x14ac:dyDescent="0.4">
      <c r="A78" s="403">
        <v>33</v>
      </c>
      <c r="B78" s="403" t="s">
        <v>510</v>
      </c>
      <c r="C78" s="384" t="s">
        <v>828</v>
      </c>
      <c r="D78" s="403" t="s">
        <v>118</v>
      </c>
      <c r="E78" s="403" t="s">
        <v>119</v>
      </c>
      <c r="F78" s="404" t="s">
        <v>86</v>
      </c>
      <c r="G78" s="714"/>
      <c r="H78" s="714"/>
      <c r="I78" s="701" t="s">
        <v>681</v>
      </c>
      <c r="J78" s="694" t="s">
        <v>359</v>
      </c>
      <c r="K78" s="694" t="s">
        <v>360</v>
      </c>
      <c r="L78" s="384" t="s">
        <v>120</v>
      </c>
      <c r="M78" s="694" t="s">
        <v>649</v>
      </c>
      <c r="N78" s="694" t="s">
        <v>650</v>
      </c>
      <c r="O78" s="694" t="s">
        <v>649</v>
      </c>
      <c r="P78" s="709">
        <v>45870</v>
      </c>
      <c r="Q78" s="709">
        <v>45960</v>
      </c>
      <c r="R78" s="60" t="s">
        <v>91</v>
      </c>
      <c r="S78" s="53">
        <f>+(S79*T78)</f>
        <v>2.0408163265306121E-2</v>
      </c>
      <c r="T78" s="66">
        <f t="shared" si="2"/>
        <v>1</v>
      </c>
      <c r="U78" s="45"/>
      <c r="V78" s="45"/>
      <c r="W78" s="45"/>
      <c r="X78" s="45"/>
      <c r="Y78" s="45"/>
      <c r="Z78" s="45"/>
      <c r="AA78" s="45"/>
      <c r="AB78" s="45"/>
      <c r="AC78" s="45"/>
      <c r="AD78" s="45"/>
      <c r="AE78" s="45"/>
      <c r="AF78" s="45"/>
      <c r="AG78" s="45">
        <v>1</v>
      </c>
      <c r="AH78" s="703"/>
      <c r="AI78" s="705"/>
      <c r="AJ78" s="699"/>
      <c r="AK78" s="699" t="s">
        <v>343</v>
      </c>
    </row>
    <row r="79" spans="1:37" ht="37.4" customHeight="1" thickBot="1" x14ac:dyDescent="0.4">
      <c r="A79" s="403"/>
      <c r="B79" s="403"/>
      <c r="C79" s="385"/>
      <c r="D79" s="403"/>
      <c r="E79" s="403"/>
      <c r="F79" s="404"/>
      <c r="G79" s="714"/>
      <c r="H79" s="714"/>
      <c r="I79" s="702" t="s">
        <v>681</v>
      </c>
      <c r="J79" s="695"/>
      <c r="K79" s="695"/>
      <c r="L79" s="385"/>
      <c r="M79" s="695"/>
      <c r="N79" s="695"/>
      <c r="O79" s="695"/>
      <c r="P79" s="710"/>
      <c r="Q79" s="710"/>
      <c r="R79" s="60" t="s">
        <v>96</v>
      </c>
      <c r="S79" s="52">
        <f>100%/49</f>
        <v>2.0408163265306121E-2</v>
      </c>
      <c r="T79" s="66">
        <f t="shared" si="2"/>
        <v>1</v>
      </c>
      <c r="U79" s="42"/>
      <c r="V79" s="42"/>
      <c r="W79" s="42"/>
      <c r="X79" s="42"/>
      <c r="Y79" s="42"/>
      <c r="Z79" s="42"/>
      <c r="AA79" s="42"/>
      <c r="AB79" s="42"/>
      <c r="AC79" s="42"/>
      <c r="AD79" s="42"/>
      <c r="AE79" s="42"/>
      <c r="AF79" s="42"/>
      <c r="AG79" s="42">
        <v>1</v>
      </c>
      <c r="AH79" s="704"/>
      <c r="AI79" s="706"/>
      <c r="AJ79" s="700"/>
      <c r="AK79" s="700"/>
    </row>
    <row r="80" spans="1:37" ht="37.4" customHeight="1" thickBot="1" x14ac:dyDescent="0.4">
      <c r="A80" s="403">
        <v>34</v>
      </c>
      <c r="B80" s="403" t="s">
        <v>510</v>
      </c>
      <c r="C80" s="384" t="s">
        <v>828</v>
      </c>
      <c r="D80" s="403" t="s">
        <v>118</v>
      </c>
      <c r="E80" s="403" t="s">
        <v>119</v>
      </c>
      <c r="F80" s="404" t="s">
        <v>86</v>
      </c>
      <c r="G80" s="714"/>
      <c r="H80" s="714"/>
      <c r="I80" s="701" t="s">
        <v>681</v>
      </c>
      <c r="J80" s="694" t="s">
        <v>346</v>
      </c>
      <c r="K80" s="694" t="s">
        <v>1983</v>
      </c>
      <c r="L80" s="384" t="s">
        <v>120</v>
      </c>
      <c r="M80" s="694" t="s">
        <v>649</v>
      </c>
      <c r="N80" s="694" t="s">
        <v>650</v>
      </c>
      <c r="O80" s="694" t="s">
        <v>649</v>
      </c>
      <c r="P80" s="709">
        <v>45931</v>
      </c>
      <c r="Q80" s="709">
        <v>45991</v>
      </c>
      <c r="R80" s="60" t="s">
        <v>91</v>
      </c>
      <c r="S80" s="53">
        <f>+(S81*T80)</f>
        <v>1.9999999999999997E-2</v>
      </c>
      <c r="T80" s="66">
        <f t="shared" si="2"/>
        <v>0.97999999999999987</v>
      </c>
      <c r="U80" s="45"/>
      <c r="V80" s="42">
        <v>8.3333333333333343E-2</v>
      </c>
      <c r="W80" s="42">
        <v>8.3333333333333343E-2</v>
      </c>
      <c r="X80" s="42">
        <v>8.3333333333333343E-2</v>
      </c>
      <c r="Y80" s="42">
        <v>8.3333333333333343E-2</v>
      </c>
      <c r="Z80" s="42">
        <v>8.3333333333333343E-2</v>
      </c>
      <c r="AA80" s="42">
        <v>8.3333333333333343E-2</v>
      </c>
      <c r="AB80" s="45">
        <v>0.08</v>
      </c>
      <c r="AC80" s="45">
        <v>0.08</v>
      </c>
      <c r="AD80" s="45">
        <v>0.08</v>
      </c>
      <c r="AE80" s="45">
        <v>0.08</v>
      </c>
      <c r="AF80" s="45">
        <v>0.08</v>
      </c>
      <c r="AG80" s="45">
        <v>0.08</v>
      </c>
      <c r="AH80" s="703" t="s">
        <v>345</v>
      </c>
      <c r="AI80" s="703" t="s">
        <v>345</v>
      </c>
      <c r="AJ80" s="703" t="s">
        <v>345</v>
      </c>
      <c r="AK80" s="703" t="s">
        <v>345</v>
      </c>
    </row>
    <row r="81" spans="1:37" ht="37.4" customHeight="1" thickBot="1" x14ac:dyDescent="0.4">
      <c r="A81" s="403"/>
      <c r="B81" s="403"/>
      <c r="C81" s="385"/>
      <c r="D81" s="403"/>
      <c r="E81" s="403"/>
      <c r="F81" s="404"/>
      <c r="G81" s="714"/>
      <c r="H81" s="714"/>
      <c r="I81" s="702" t="s">
        <v>681</v>
      </c>
      <c r="J81" s="695"/>
      <c r="K81" s="695"/>
      <c r="L81" s="385"/>
      <c r="M81" s="695"/>
      <c r="N81" s="695"/>
      <c r="O81" s="695"/>
      <c r="P81" s="710"/>
      <c r="Q81" s="710"/>
      <c r="R81" s="60" t="s">
        <v>96</v>
      </c>
      <c r="S81" s="52">
        <f>100%/49</f>
        <v>2.0408163265306121E-2</v>
      </c>
      <c r="T81" s="66">
        <f t="shared" si="2"/>
        <v>1.0000000000000002</v>
      </c>
      <c r="U81" s="42"/>
      <c r="V81" s="42">
        <v>8.3333333333333343E-2</v>
      </c>
      <c r="W81" s="42">
        <v>8.3333333333333343E-2</v>
      </c>
      <c r="X81" s="42">
        <v>8.3333333333333343E-2</v>
      </c>
      <c r="Y81" s="42">
        <v>8.3333333333333343E-2</v>
      </c>
      <c r="Z81" s="42">
        <v>8.3333333333333343E-2</v>
      </c>
      <c r="AA81" s="42">
        <v>8.3333333333333343E-2</v>
      </c>
      <c r="AB81" s="42">
        <v>8.3333333333333343E-2</v>
      </c>
      <c r="AC81" s="42">
        <v>8.3333333333333343E-2</v>
      </c>
      <c r="AD81" s="42">
        <v>8.3333333333333343E-2</v>
      </c>
      <c r="AE81" s="42">
        <v>8.3333333333333343E-2</v>
      </c>
      <c r="AF81" s="42">
        <v>8.3333333333333343E-2</v>
      </c>
      <c r="AG81" s="42">
        <v>8.3333333333333343E-2</v>
      </c>
      <c r="AH81" s="704"/>
      <c r="AI81" s="704"/>
      <c r="AJ81" s="704"/>
      <c r="AK81" s="704"/>
    </row>
    <row r="82" spans="1:37" ht="37.4" customHeight="1" thickBot="1" x14ac:dyDescent="0.4">
      <c r="A82" s="403">
        <v>35</v>
      </c>
      <c r="B82" s="403" t="s">
        <v>510</v>
      </c>
      <c r="C82" s="384" t="s">
        <v>828</v>
      </c>
      <c r="D82" s="403" t="s">
        <v>118</v>
      </c>
      <c r="E82" s="403" t="s">
        <v>119</v>
      </c>
      <c r="F82" s="404" t="s">
        <v>86</v>
      </c>
      <c r="G82" s="714"/>
      <c r="H82" s="714"/>
      <c r="I82" s="701" t="s">
        <v>681</v>
      </c>
      <c r="J82" s="694" t="s">
        <v>346</v>
      </c>
      <c r="K82" s="694" t="s">
        <v>682</v>
      </c>
      <c r="L82" s="384" t="s">
        <v>120</v>
      </c>
      <c r="M82" s="694" t="s">
        <v>649</v>
      </c>
      <c r="N82" s="694" t="s">
        <v>650</v>
      </c>
      <c r="O82" s="694" t="s">
        <v>649</v>
      </c>
      <c r="P82" s="709">
        <v>45962</v>
      </c>
      <c r="Q82" s="709">
        <v>45991</v>
      </c>
      <c r="R82" s="60" t="s">
        <v>91</v>
      </c>
      <c r="S82" s="53">
        <f>+(S83*T82)</f>
        <v>2.0408163265306121E-2</v>
      </c>
      <c r="T82" s="66">
        <f t="shared" si="2"/>
        <v>1</v>
      </c>
      <c r="U82" s="45"/>
      <c r="V82" s="45"/>
      <c r="W82" s="45"/>
      <c r="X82" s="45"/>
      <c r="Y82" s="45"/>
      <c r="Z82" s="45"/>
      <c r="AA82" s="45"/>
      <c r="AB82" s="45"/>
      <c r="AC82" s="45"/>
      <c r="AD82" s="45"/>
      <c r="AE82" s="45"/>
      <c r="AF82" s="45"/>
      <c r="AG82" s="45">
        <v>1</v>
      </c>
      <c r="AH82" s="703"/>
      <c r="AI82" s="705"/>
      <c r="AJ82" s="699"/>
      <c r="AK82" s="699" t="s">
        <v>347</v>
      </c>
    </row>
    <row r="83" spans="1:37" ht="37.4" customHeight="1" x14ac:dyDescent="0.35">
      <c r="A83" s="403"/>
      <c r="B83" s="403"/>
      <c r="C83" s="385"/>
      <c r="D83" s="403"/>
      <c r="E83" s="403"/>
      <c r="F83" s="404"/>
      <c r="G83" s="714"/>
      <c r="H83" s="714"/>
      <c r="I83" s="702" t="s">
        <v>681</v>
      </c>
      <c r="J83" s="695"/>
      <c r="K83" s="695"/>
      <c r="L83" s="385"/>
      <c r="M83" s="695"/>
      <c r="N83" s="695"/>
      <c r="O83" s="695"/>
      <c r="P83" s="710"/>
      <c r="Q83" s="710"/>
      <c r="R83" s="60" t="s">
        <v>96</v>
      </c>
      <c r="S83" s="52">
        <f>100%/49</f>
        <v>2.0408163265306121E-2</v>
      </c>
      <c r="T83" s="66">
        <f t="shared" si="2"/>
        <v>1</v>
      </c>
      <c r="U83" s="42"/>
      <c r="V83" s="42"/>
      <c r="W83" s="42"/>
      <c r="X83" s="42"/>
      <c r="Y83" s="42"/>
      <c r="Z83" s="42"/>
      <c r="AA83" s="42"/>
      <c r="AB83" s="42"/>
      <c r="AC83" s="42"/>
      <c r="AD83" s="42"/>
      <c r="AE83" s="42"/>
      <c r="AF83" s="42"/>
      <c r="AG83" s="42">
        <v>1</v>
      </c>
      <c r="AH83" s="704"/>
      <c r="AI83" s="706"/>
      <c r="AJ83" s="700"/>
      <c r="AK83" s="700"/>
    </row>
    <row r="85" spans="1:37" ht="15" customHeight="1" x14ac:dyDescent="0.35">
      <c r="B85" s="371" t="s">
        <v>51</v>
      </c>
      <c r="C85" s="371" t="s">
        <v>52</v>
      </c>
      <c r="D85" s="371" t="s">
        <v>53</v>
      </c>
      <c r="E85" s="371" t="s">
        <v>54</v>
      </c>
      <c r="F85" s="371" t="s">
        <v>30</v>
      </c>
      <c r="G85" s="373" t="s">
        <v>55</v>
      </c>
      <c r="M85" s="373" t="s">
        <v>509</v>
      </c>
    </row>
    <row r="86" spans="1:37" ht="15" customHeight="1" x14ac:dyDescent="0.35">
      <c r="B86" s="372"/>
      <c r="C86" s="372"/>
      <c r="D86" s="372"/>
      <c r="E86" s="372"/>
      <c r="F86" s="372"/>
      <c r="G86" s="372"/>
      <c r="M86" s="372"/>
    </row>
    <row r="87" spans="1:37" ht="15" customHeight="1" x14ac:dyDescent="0.35">
      <c r="B87" s="1" t="s">
        <v>510</v>
      </c>
      <c r="C87" s="13" t="s">
        <v>829</v>
      </c>
      <c r="D87" s="1" t="s">
        <v>118</v>
      </c>
      <c r="E87" s="1" t="s">
        <v>119</v>
      </c>
      <c r="F87" s="1" t="s">
        <v>512</v>
      </c>
      <c r="G87" s="1" t="s">
        <v>513</v>
      </c>
      <c r="M87" s="13" t="s">
        <v>514</v>
      </c>
    </row>
    <row r="88" spans="1:37" ht="15" customHeight="1" x14ac:dyDescent="0.35">
      <c r="B88" s="1" t="s">
        <v>515</v>
      </c>
      <c r="C88" s="13" t="s">
        <v>830</v>
      </c>
      <c r="D88" s="1" t="s">
        <v>254</v>
      </c>
      <c r="E88" s="1" t="s">
        <v>517</v>
      </c>
      <c r="F88" s="1" t="s">
        <v>518</v>
      </c>
      <c r="G88" s="1" t="s">
        <v>519</v>
      </c>
      <c r="M88" s="13" t="s">
        <v>520</v>
      </c>
    </row>
    <row r="89" spans="1:37" ht="15" customHeight="1" x14ac:dyDescent="0.35">
      <c r="B89" s="1" t="s">
        <v>521</v>
      </c>
      <c r="C89" s="13" t="s">
        <v>826</v>
      </c>
      <c r="D89" s="1" t="s">
        <v>84</v>
      </c>
      <c r="E89" s="1" t="s">
        <v>255</v>
      </c>
      <c r="F89" s="1" t="s">
        <v>523</v>
      </c>
      <c r="G89" s="1" t="s">
        <v>524</v>
      </c>
      <c r="M89" s="13" t="s">
        <v>525</v>
      </c>
    </row>
    <row r="90" spans="1:37" ht="15" customHeight="1" x14ac:dyDescent="0.35">
      <c r="B90" s="1" t="s">
        <v>526</v>
      </c>
      <c r="C90" s="13" t="s">
        <v>827</v>
      </c>
      <c r="D90" s="1" t="s">
        <v>157</v>
      </c>
      <c r="E90" s="1" t="s">
        <v>528</v>
      </c>
      <c r="F90" s="1" t="s">
        <v>529</v>
      </c>
      <c r="G90" s="1" t="s">
        <v>530</v>
      </c>
    </row>
    <row r="91" spans="1:37" ht="15" customHeight="1" x14ac:dyDescent="0.35">
      <c r="B91" s="1" t="s">
        <v>531</v>
      </c>
      <c r="C91" s="13" t="s">
        <v>828</v>
      </c>
      <c r="D91" s="1" t="s">
        <v>533</v>
      </c>
      <c r="E91" s="1" t="s">
        <v>534</v>
      </c>
      <c r="F91" s="1" t="s">
        <v>535</v>
      </c>
      <c r="G91" s="1" t="s">
        <v>536</v>
      </c>
    </row>
    <row r="92" spans="1:37" ht="15" customHeight="1" x14ac:dyDescent="0.35">
      <c r="B92" s="1" t="s">
        <v>537</v>
      </c>
      <c r="C92" s="13" t="s">
        <v>825</v>
      </c>
      <c r="D92" s="1" t="s">
        <v>539</v>
      </c>
      <c r="E92" s="1" t="s">
        <v>150</v>
      </c>
      <c r="F92" s="1" t="s">
        <v>244</v>
      </c>
      <c r="G92" s="1" t="s">
        <v>384</v>
      </c>
    </row>
    <row r="93" spans="1:37" ht="15" customHeight="1" x14ac:dyDescent="0.35">
      <c r="B93" s="1" t="s">
        <v>540</v>
      </c>
      <c r="C93" s="13" t="s">
        <v>823</v>
      </c>
      <c r="D93" s="1" t="s">
        <v>542</v>
      </c>
      <c r="E93" s="1" t="s">
        <v>112</v>
      </c>
      <c r="F93" s="1" t="s">
        <v>543</v>
      </c>
      <c r="G93" s="1" t="s">
        <v>544</v>
      </c>
    </row>
    <row r="94" spans="1:37" ht="15" customHeight="1" x14ac:dyDescent="0.35">
      <c r="B94" s="1" t="s">
        <v>545</v>
      </c>
      <c r="C94" s="13" t="s">
        <v>821</v>
      </c>
      <c r="E94" s="1" t="s">
        <v>451</v>
      </c>
      <c r="F94" s="1" t="s">
        <v>547</v>
      </c>
      <c r="G94" s="1" t="s">
        <v>426</v>
      </c>
    </row>
    <row r="95" spans="1:37" ht="15" customHeight="1" x14ac:dyDescent="0.35">
      <c r="C95" s="13" t="s">
        <v>822</v>
      </c>
      <c r="E95" s="1" t="s">
        <v>123</v>
      </c>
      <c r="F95" s="1" t="s">
        <v>549</v>
      </c>
      <c r="G95" s="1" t="s">
        <v>97</v>
      </c>
    </row>
    <row r="96" spans="1:37" ht="15" customHeight="1" x14ac:dyDescent="0.35">
      <c r="C96" s="13" t="s">
        <v>824</v>
      </c>
      <c r="E96" s="1" t="s">
        <v>551</v>
      </c>
      <c r="F96" s="1" t="s">
        <v>552</v>
      </c>
      <c r="G96" s="1" t="s">
        <v>120</v>
      </c>
    </row>
    <row r="97" spans="5:7" ht="15" customHeight="1" x14ac:dyDescent="0.35">
      <c r="E97" s="1" t="s">
        <v>85</v>
      </c>
      <c r="F97" s="1" t="s">
        <v>553</v>
      </c>
      <c r="G97" s="1" t="s">
        <v>108</v>
      </c>
    </row>
    <row r="98" spans="5:7" ht="15" customHeight="1" x14ac:dyDescent="0.35">
      <c r="E98" s="1" t="s">
        <v>554</v>
      </c>
      <c r="F98" s="1" t="s">
        <v>555</v>
      </c>
      <c r="G98" s="1" t="s">
        <v>556</v>
      </c>
    </row>
    <row r="99" spans="5:7" ht="15" customHeight="1" x14ac:dyDescent="0.35">
      <c r="E99" s="1" t="s">
        <v>154</v>
      </c>
      <c r="G99" s="1" t="s">
        <v>557</v>
      </c>
    </row>
    <row r="100" spans="5:7" ht="15" customHeight="1" x14ac:dyDescent="0.35">
      <c r="E100" s="1" t="s">
        <v>558</v>
      </c>
      <c r="G100" s="1" t="s">
        <v>559</v>
      </c>
    </row>
    <row r="101" spans="5:7" ht="15" customHeight="1" x14ac:dyDescent="0.35">
      <c r="E101" s="1" t="s">
        <v>560</v>
      </c>
      <c r="G101" s="1" t="s">
        <v>561</v>
      </c>
    </row>
    <row r="102" spans="5:7" ht="15" customHeight="1" x14ac:dyDescent="0.35">
      <c r="E102" s="1" t="s">
        <v>107</v>
      </c>
      <c r="G102" s="1" t="s">
        <v>562</v>
      </c>
    </row>
    <row r="103" spans="5:7" ht="15" customHeight="1" x14ac:dyDescent="0.35">
      <c r="E103" s="1" t="s">
        <v>563</v>
      </c>
      <c r="G103" s="1" t="s">
        <v>564</v>
      </c>
    </row>
    <row r="104" spans="5:7" ht="15" customHeight="1" x14ac:dyDescent="0.35">
      <c r="E104" s="1" t="s">
        <v>565</v>
      </c>
      <c r="G104" s="1" t="s">
        <v>566</v>
      </c>
    </row>
    <row r="105" spans="5:7" ht="15" customHeight="1" x14ac:dyDescent="0.35">
      <c r="E105" s="1" t="s">
        <v>567</v>
      </c>
      <c r="G105" s="1" t="s">
        <v>568</v>
      </c>
    </row>
    <row r="106" spans="5:7" ht="15" customHeight="1" x14ac:dyDescent="0.35">
      <c r="G106" s="1" t="s">
        <v>569</v>
      </c>
    </row>
    <row r="107" spans="5:7" ht="15" customHeight="1" x14ac:dyDescent="0.35">
      <c r="G107" s="1" t="s">
        <v>570</v>
      </c>
    </row>
    <row r="108" spans="5:7" ht="15" customHeight="1" x14ac:dyDescent="0.35">
      <c r="G108" s="1" t="s">
        <v>571</v>
      </c>
    </row>
    <row r="109" spans="5:7" ht="15" customHeight="1" x14ac:dyDescent="0.35">
      <c r="G109" s="1" t="s">
        <v>572</v>
      </c>
    </row>
    <row r="110" spans="5:7" ht="15" customHeight="1" x14ac:dyDescent="0.35">
      <c r="G110" s="1" t="s">
        <v>573</v>
      </c>
    </row>
    <row r="111" spans="5:7" ht="15" customHeight="1" x14ac:dyDescent="0.35">
      <c r="G111" s="1" t="s">
        <v>574</v>
      </c>
    </row>
    <row r="112" spans="5:7" ht="15" customHeight="1" x14ac:dyDescent="0.35">
      <c r="G112" s="1" t="s">
        <v>575</v>
      </c>
    </row>
    <row r="113" spans="7:7" ht="15" customHeight="1" x14ac:dyDescent="0.35">
      <c r="G113" s="1" t="s">
        <v>576</v>
      </c>
    </row>
    <row r="114" spans="7:7" ht="15" customHeight="1" x14ac:dyDescent="0.35">
      <c r="G114" s="1" t="s">
        <v>577</v>
      </c>
    </row>
    <row r="115" spans="7:7" ht="15" customHeight="1" x14ac:dyDescent="0.35">
      <c r="G115" s="1" t="s">
        <v>578</v>
      </c>
    </row>
    <row r="116" spans="7:7" ht="15" customHeight="1" x14ac:dyDescent="0.35">
      <c r="G116" s="1" t="s">
        <v>579</v>
      </c>
    </row>
    <row r="117" spans="7:7" ht="15" customHeight="1" x14ac:dyDescent="0.35">
      <c r="G117" s="1" t="s">
        <v>580</v>
      </c>
    </row>
    <row r="118" spans="7:7" ht="15" customHeight="1" x14ac:dyDescent="0.35">
      <c r="G118" s="1" t="s">
        <v>581</v>
      </c>
    </row>
    <row r="119" spans="7:7" ht="15" customHeight="1" x14ac:dyDescent="0.35">
      <c r="G119" s="1" t="s">
        <v>582</v>
      </c>
    </row>
    <row r="120" spans="7:7" ht="15" customHeight="1" x14ac:dyDescent="0.35">
      <c r="G120" s="1" t="s">
        <v>124</v>
      </c>
    </row>
    <row r="121" spans="7:7" ht="15" customHeight="1" x14ac:dyDescent="0.35">
      <c r="G121" s="1" t="s">
        <v>583</v>
      </c>
    </row>
    <row r="122" spans="7:7" ht="15" customHeight="1" x14ac:dyDescent="0.35">
      <c r="G122" s="1" t="s">
        <v>584</v>
      </c>
    </row>
    <row r="123" spans="7:7" ht="15" customHeight="1" x14ac:dyDescent="0.35">
      <c r="G123" s="1" t="s">
        <v>585</v>
      </c>
    </row>
    <row r="124" spans="7:7" ht="15" customHeight="1" x14ac:dyDescent="0.35">
      <c r="G124" s="1" t="s">
        <v>586</v>
      </c>
    </row>
    <row r="125" spans="7:7" ht="15" customHeight="1" x14ac:dyDescent="0.35">
      <c r="G125" s="1" t="s">
        <v>87</v>
      </c>
    </row>
    <row r="126" spans="7:7" ht="15" customHeight="1" x14ac:dyDescent="0.35">
      <c r="G126" s="1" t="s">
        <v>587</v>
      </c>
    </row>
    <row r="127" spans="7:7" ht="15" customHeight="1" x14ac:dyDescent="0.35">
      <c r="G127" s="1" t="s">
        <v>588</v>
      </c>
    </row>
    <row r="128" spans="7:7" ht="15" customHeight="1" x14ac:dyDescent="0.35">
      <c r="G128" s="1" t="s">
        <v>261</v>
      </c>
    </row>
    <row r="129" spans="7:7" ht="15" customHeight="1" x14ac:dyDescent="0.35">
      <c r="G129" s="1" t="s">
        <v>589</v>
      </c>
    </row>
    <row r="130" spans="7:7" ht="15" customHeight="1" x14ac:dyDescent="0.35">
      <c r="G130" s="1" t="s">
        <v>590</v>
      </c>
    </row>
    <row r="131" spans="7:7" ht="15" customHeight="1" x14ac:dyDescent="0.35">
      <c r="G131" s="1" t="s">
        <v>591</v>
      </c>
    </row>
    <row r="132" spans="7:7" ht="15" customHeight="1" x14ac:dyDescent="0.35">
      <c r="G132" s="1" t="s">
        <v>592</v>
      </c>
    </row>
    <row r="133" spans="7:7" ht="15" customHeight="1" x14ac:dyDescent="0.35">
      <c r="G133" s="1" t="s">
        <v>593</v>
      </c>
    </row>
    <row r="134" spans="7:7" ht="15" customHeight="1" x14ac:dyDescent="0.35">
      <c r="G134" s="1" t="s">
        <v>594</v>
      </c>
    </row>
    <row r="135" spans="7:7" ht="15" customHeight="1" x14ac:dyDescent="0.35">
      <c r="G135" s="1" t="s">
        <v>595</v>
      </c>
    </row>
    <row r="136" spans="7:7" ht="15" customHeight="1" x14ac:dyDescent="0.35">
      <c r="G136" s="1" t="s">
        <v>596</v>
      </c>
    </row>
    <row r="137" spans="7:7" ht="15" customHeight="1" x14ac:dyDescent="0.35">
      <c r="G137" s="1" t="s">
        <v>597</v>
      </c>
    </row>
    <row r="138" spans="7:7" ht="15" customHeight="1" x14ac:dyDescent="0.35">
      <c r="G138" s="1" t="s">
        <v>259</v>
      </c>
    </row>
    <row r="139" spans="7:7" ht="15" customHeight="1" x14ac:dyDescent="0.35">
      <c r="G139" s="1" t="s">
        <v>39</v>
      </c>
    </row>
    <row r="140" spans="7:7" ht="15" customHeight="1" x14ac:dyDescent="0.35">
      <c r="G140" s="1" t="s">
        <v>153</v>
      </c>
    </row>
    <row r="141" spans="7:7" ht="15" customHeight="1" x14ac:dyDescent="0.35">
      <c r="G141" s="1" t="s">
        <v>598</v>
      </c>
    </row>
    <row r="142" spans="7:7" ht="15" customHeight="1" x14ac:dyDescent="0.35">
      <c r="G142" s="1" t="s">
        <v>599</v>
      </c>
    </row>
    <row r="143" spans="7:7" ht="15" customHeight="1" x14ac:dyDescent="0.35">
      <c r="G143" s="1" t="s">
        <v>600</v>
      </c>
    </row>
    <row r="144" spans="7:7" ht="15" customHeight="1" x14ac:dyDescent="0.35">
      <c r="G144" s="1" t="s">
        <v>601</v>
      </c>
    </row>
    <row r="145" spans="7:7" ht="15" customHeight="1" x14ac:dyDescent="0.35">
      <c r="G145" s="1" t="s">
        <v>602</v>
      </c>
    </row>
    <row r="146" spans="7:7" ht="15" customHeight="1" x14ac:dyDescent="0.35">
      <c r="G146" s="1" t="s">
        <v>603</v>
      </c>
    </row>
  </sheetData>
  <sheetProtection formatCells="0" formatColumns="0" formatRows="0" insertColumns="0" insertRows="0" insertHyperlinks="0" deleteColumns="0" deleteRows="0" sort="0" autoFilter="0" pivotTables="0"/>
  <autoFilter ref="A1:AK83" xr:uid="{E00451CB-FFDF-4B66-9DFF-B1AA7CAF69BE}">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autoFilter>
  <mergeCells count="745">
    <mergeCell ref="P68:P69"/>
    <mergeCell ref="Q68:Q69"/>
    <mergeCell ref="Q54:Q55"/>
    <mergeCell ref="P24:P25"/>
    <mergeCell ref="Q24:Q25"/>
    <mergeCell ref="P26:P27"/>
    <mergeCell ref="Q26:Q27"/>
    <mergeCell ref="P12:P13"/>
    <mergeCell ref="Q12:Q13"/>
    <mergeCell ref="P14:P15"/>
    <mergeCell ref="Q14:Q15"/>
    <mergeCell ref="P16:P17"/>
    <mergeCell ref="Q16:Q17"/>
    <mergeCell ref="P18:P19"/>
    <mergeCell ref="Q18:Q19"/>
    <mergeCell ref="P20:P21"/>
    <mergeCell ref="AJ80:AJ81"/>
    <mergeCell ref="P82:P83"/>
    <mergeCell ref="Q82:Q83"/>
    <mergeCell ref="P80:P81"/>
    <mergeCell ref="Q80:Q81"/>
    <mergeCell ref="G76:G83"/>
    <mergeCell ref="P28:P29"/>
    <mergeCell ref="Q28:Q29"/>
    <mergeCell ref="P30:P31"/>
    <mergeCell ref="Q30:Q31"/>
    <mergeCell ref="P34:P35"/>
    <mergeCell ref="Q34:Q35"/>
    <mergeCell ref="P36:P37"/>
    <mergeCell ref="Q36:Q37"/>
    <mergeCell ref="P38:P39"/>
    <mergeCell ref="P48:P49"/>
    <mergeCell ref="Q48:Q49"/>
    <mergeCell ref="P76:P77"/>
    <mergeCell ref="Q76:Q77"/>
    <mergeCell ref="P70:P71"/>
    <mergeCell ref="Q70:Q71"/>
    <mergeCell ref="P72:P73"/>
    <mergeCell ref="Q72:Q73"/>
    <mergeCell ref="P74:P75"/>
    <mergeCell ref="AJ76:AJ77"/>
    <mergeCell ref="AK76:AK77"/>
    <mergeCell ref="F78:F79"/>
    <mergeCell ref="I78:I79"/>
    <mergeCell ref="J78:J79"/>
    <mergeCell ref="P78:P79"/>
    <mergeCell ref="O82:O83"/>
    <mergeCell ref="AH82:AH83"/>
    <mergeCell ref="AI82:AI83"/>
    <mergeCell ref="AJ82:AJ83"/>
    <mergeCell ref="AK82:AK83"/>
    <mergeCell ref="AK80:AK81"/>
    <mergeCell ref="F82:F83"/>
    <mergeCell ref="I82:I83"/>
    <mergeCell ref="J82:J83"/>
    <mergeCell ref="K82:K83"/>
    <mergeCell ref="L82:L83"/>
    <mergeCell ref="M82:M83"/>
    <mergeCell ref="N82:N83"/>
    <mergeCell ref="M80:M81"/>
    <mergeCell ref="N80:N81"/>
    <mergeCell ref="O80:O81"/>
    <mergeCell ref="AH80:AH81"/>
    <mergeCell ref="AI80:AI81"/>
    <mergeCell ref="K78:K79"/>
    <mergeCell ref="L78:L79"/>
    <mergeCell ref="M78:M79"/>
    <mergeCell ref="N78:N79"/>
    <mergeCell ref="O78:O79"/>
    <mergeCell ref="AH78:AH79"/>
    <mergeCell ref="O76:O77"/>
    <mergeCell ref="AH76:AH77"/>
    <mergeCell ref="AI76:AI77"/>
    <mergeCell ref="Q78:Q79"/>
    <mergeCell ref="AK74:AK75"/>
    <mergeCell ref="F76:F77"/>
    <mergeCell ref="I76:I77"/>
    <mergeCell ref="J76:J77"/>
    <mergeCell ref="K76:K77"/>
    <mergeCell ref="L76:L77"/>
    <mergeCell ref="M76:M77"/>
    <mergeCell ref="N76:N77"/>
    <mergeCell ref="M74:M75"/>
    <mergeCell ref="N74:N75"/>
    <mergeCell ref="O74:O75"/>
    <mergeCell ref="AH74:AH75"/>
    <mergeCell ref="AI74:AI75"/>
    <mergeCell ref="AJ74:AJ75"/>
    <mergeCell ref="H76:H83"/>
    <mergeCell ref="AI78:AI79"/>
    <mergeCell ref="AJ78:AJ79"/>
    <mergeCell ref="AK78:AK79"/>
    <mergeCell ref="F80:F81"/>
    <mergeCell ref="I80:I81"/>
    <mergeCell ref="J80:J81"/>
    <mergeCell ref="K80:K81"/>
    <mergeCell ref="L80:L81"/>
    <mergeCell ref="AI72:AI73"/>
    <mergeCell ref="AJ72:AJ73"/>
    <mergeCell ref="AK72:AK73"/>
    <mergeCell ref="F74:F75"/>
    <mergeCell ref="I74:I75"/>
    <mergeCell ref="J74:J75"/>
    <mergeCell ref="K74:K75"/>
    <mergeCell ref="L74:L75"/>
    <mergeCell ref="K72:K73"/>
    <mergeCell ref="L72:L73"/>
    <mergeCell ref="M72:M73"/>
    <mergeCell ref="N72:N73"/>
    <mergeCell ref="O72:O73"/>
    <mergeCell ref="AH72:AH73"/>
    <mergeCell ref="G72:G75"/>
    <mergeCell ref="H72:H75"/>
    <mergeCell ref="Q74:Q75"/>
    <mergeCell ref="O70:O71"/>
    <mergeCell ref="AH70:AH71"/>
    <mergeCell ref="AI70:AI71"/>
    <mergeCell ref="AJ70:AJ71"/>
    <mergeCell ref="AK70:AK71"/>
    <mergeCell ref="F72:F73"/>
    <mergeCell ref="I72:I73"/>
    <mergeCell ref="J72:J73"/>
    <mergeCell ref="AK68:AK69"/>
    <mergeCell ref="F70:F71"/>
    <mergeCell ref="I70:I71"/>
    <mergeCell ref="J70:J71"/>
    <mergeCell ref="K70:K71"/>
    <mergeCell ref="L70:L71"/>
    <mergeCell ref="M70:M71"/>
    <mergeCell ref="N70:N71"/>
    <mergeCell ref="M68:M69"/>
    <mergeCell ref="N68:N69"/>
    <mergeCell ref="O68:O69"/>
    <mergeCell ref="AH68:AH69"/>
    <mergeCell ref="AI68:AI69"/>
    <mergeCell ref="AJ68:AJ69"/>
    <mergeCell ref="G64:G71"/>
    <mergeCell ref="H64:H71"/>
    <mergeCell ref="F68:F69"/>
    <mergeCell ref="I68:I69"/>
    <mergeCell ref="J68:J69"/>
    <mergeCell ref="K68:K69"/>
    <mergeCell ref="L68:L69"/>
    <mergeCell ref="K66:K67"/>
    <mergeCell ref="L66:L67"/>
    <mergeCell ref="M66:M67"/>
    <mergeCell ref="N66:N67"/>
    <mergeCell ref="F66:F67"/>
    <mergeCell ref="I66:I67"/>
    <mergeCell ref="J66:J67"/>
    <mergeCell ref="F64:F65"/>
    <mergeCell ref="I64:I65"/>
    <mergeCell ref="J64:J65"/>
    <mergeCell ref="K64:K65"/>
    <mergeCell ref="L64:L65"/>
    <mergeCell ref="M64:M65"/>
    <mergeCell ref="N58:N59"/>
    <mergeCell ref="O58:O59"/>
    <mergeCell ref="AH58:AH59"/>
    <mergeCell ref="P58:P59"/>
    <mergeCell ref="Q58:Q59"/>
    <mergeCell ref="O66:O67"/>
    <mergeCell ref="AH66:AH67"/>
    <mergeCell ref="O64:O65"/>
    <mergeCell ref="AH64:AH65"/>
    <mergeCell ref="N64:N65"/>
    <mergeCell ref="P64:P65"/>
    <mergeCell ref="Q64:Q65"/>
    <mergeCell ref="P66:P67"/>
    <mergeCell ref="Q66:Q67"/>
    <mergeCell ref="F62:F63"/>
    <mergeCell ref="I62:I63"/>
    <mergeCell ref="J62:J63"/>
    <mergeCell ref="K62:K63"/>
    <mergeCell ref="L62:L63"/>
    <mergeCell ref="G46:G63"/>
    <mergeCell ref="H46:H63"/>
    <mergeCell ref="F60:F61"/>
    <mergeCell ref="I60:I61"/>
    <mergeCell ref="J60:J61"/>
    <mergeCell ref="K60:K61"/>
    <mergeCell ref="L60:L61"/>
    <mergeCell ref="K58:K59"/>
    <mergeCell ref="L58:L59"/>
    <mergeCell ref="AK62:AK63"/>
    <mergeCell ref="AK60:AK61"/>
    <mergeCell ref="M60:M61"/>
    <mergeCell ref="N60:N61"/>
    <mergeCell ref="O60:O61"/>
    <mergeCell ref="AH60:AH61"/>
    <mergeCell ref="AI60:AI61"/>
    <mergeCell ref="AJ60:AJ61"/>
    <mergeCell ref="AK66:AK67"/>
    <mergeCell ref="P60:P61"/>
    <mergeCell ref="Q60:Q61"/>
    <mergeCell ref="M62:M63"/>
    <mergeCell ref="N62:N63"/>
    <mergeCell ref="O62:O63"/>
    <mergeCell ref="AH62:AH63"/>
    <mergeCell ref="AI62:AI63"/>
    <mergeCell ref="AJ62:AJ63"/>
    <mergeCell ref="P62:P63"/>
    <mergeCell ref="Q62:Q63"/>
    <mergeCell ref="AI64:AI65"/>
    <mergeCell ref="AJ64:AJ65"/>
    <mergeCell ref="AK64:AK65"/>
    <mergeCell ref="AI66:AI67"/>
    <mergeCell ref="AJ66:AJ67"/>
    <mergeCell ref="AI56:AI57"/>
    <mergeCell ref="AJ56:AJ57"/>
    <mergeCell ref="AK56:AK57"/>
    <mergeCell ref="F58:F59"/>
    <mergeCell ref="I58:I59"/>
    <mergeCell ref="J58:J59"/>
    <mergeCell ref="AK54:AK55"/>
    <mergeCell ref="F56:F57"/>
    <mergeCell ref="I56:I57"/>
    <mergeCell ref="J56:J57"/>
    <mergeCell ref="K56:K57"/>
    <mergeCell ref="L56:L57"/>
    <mergeCell ref="M56:M57"/>
    <mergeCell ref="N56:N57"/>
    <mergeCell ref="M54:M55"/>
    <mergeCell ref="N54:N55"/>
    <mergeCell ref="O54:O55"/>
    <mergeCell ref="AH54:AH55"/>
    <mergeCell ref="AI54:AI55"/>
    <mergeCell ref="AJ54:AJ55"/>
    <mergeCell ref="P56:P57"/>
    <mergeCell ref="Q56:Q57"/>
    <mergeCell ref="P54:P55"/>
    <mergeCell ref="M58:M59"/>
    <mergeCell ref="AI58:AI59"/>
    <mergeCell ref="AJ58:AJ59"/>
    <mergeCell ref="AK58:AK59"/>
    <mergeCell ref="N46:N47"/>
    <mergeCell ref="O46:O47"/>
    <mergeCell ref="AH46:AH47"/>
    <mergeCell ref="AI52:AI53"/>
    <mergeCell ref="AJ52:AJ53"/>
    <mergeCell ref="AK52:AK53"/>
    <mergeCell ref="O52:O53"/>
    <mergeCell ref="AH52:AH53"/>
    <mergeCell ref="O50:O51"/>
    <mergeCell ref="AH50:AH51"/>
    <mergeCell ref="AI50:AI51"/>
    <mergeCell ref="AJ50:AJ51"/>
    <mergeCell ref="AK50:AK51"/>
    <mergeCell ref="P50:P51"/>
    <mergeCell ref="Q50:Q51"/>
    <mergeCell ref="P52:P53"/>
    <mergeCell ref="Q52:Q53"/>
    <mergeCell ref="O56:O57"/>
    <mergeCell ref="P46:P47"/>
    <mergeCell ref="Q46:Q47"/>
    <mergeCell ref="AH56:AH57"/>
    <mergeCell ref="F54:F55"/>
    <mergeCell ref="I54:I55"/>
    <mergeCell ref="J54:J55"/>
    <mergeCell ref="K54:K55"/>
    <mergeCell ref="L54:L55"/>
    <mergeCell ref="K52:K53"/>
    <mergeCell ref="L52:L53"/>
    <mergeCell ref="M52:M53"/>
    <mergeCell ref="N52:N53"/>
    <mergeCell ref="F52:F53"/>
    <mergeCell ref="I52:I53"/>
    <mergeCell ref="J52:J53"/>
    <mergeCell ref="AK48:AK49"/>
    <mergeCell ref="F50:F51"/>
    <mergeCell ref="I50:I51"/>
    <mergeCell ref="J50:J51"/>
    <mergeCell ref="K50:K51"/>
    <mergeCell ref="L50:L51"/>
    <mergeCell ref="M50:M51"/>
    <mergeCell ref="N50:N51"/>
    <mergeCell ref="M48:M49"/>
    <mergeCell ref="N48:N49"/>
    <mergeCell ref="O48:O49"/>
    <mergeCell ref="AH48:AH49"/>
    <mergeCell ref="AI48:AI49"/>
    <mergeCell ref="AJ48:AJ49"/>
    <mergeCell ref="F48:F49"/>
    <mergeCell ref="I48:I49"/>
    <mergeCell ref="J48:J49"/>
    <mergeCell ref="K48:K49"/>
    <mergeCell ref="L48:L49"/>
    <mergeCell ref="K46:K47"/>
    <mergeCell ref="L46:L47"/>
    <mergeCell ref="M46:M47"/>
    <mergeCell ref="O44:O45"/>
    <mergeCell ref="AH44:AH45"/>
    <mergeCell ref="O38:O39"/>
    <mergeCell ref="AH38:AH39"/>
    <mergeCell ref="P42:P43"/>
    <mergeCell ref="Q42:Q43"/>
    <mergeCell ref="P44:P45"/>
    <mergeCell ref="Q44:Q45"/>
    <mergeCell ref="O40:O41"/>
    <mergeCell ref="AH40:AH41"/>
    <mergeCell ref="P40:P41"/>
    <mergeCell ref="Q40:Q41"/>
    <mergeCell ref="J42:J43"/>
    <mergeCell ref="K42:K43"/>
    <mergeCell ref="L42:L43"/>
    <mergeCell ref="F46:F47"/>
    <mergeCell ref="I46:I47"/>
    <mergeCell ref="J46:J47"/>
    <mergeCell ref="AK42:AK43"/>
    <mergeCell ref="F44:F45"/>
    <mergeCell ref="I44:I45"/>
    <mergeCell ref="J44:J45"/>
    <mergeCell ref="K44:K45"/>
    <mergeCell ref="L44:L45"/>
    <mergeCell ref="M44:M45"/>
    <mergeCell ref="N44:N45"/>
    <mergeCell ref="M42:M43"/>
    <mergeCell ref="N42:N43"/>
    <mergeCell ref="O42:O43"/>
    <mergeCell ref="AH42:AH43"/>
    <mergeCell ref="AI42:AI43"/>
    <mergeCell ref="AJ42:AJ43"/>
    <mergeCell ref="F42:F43"/>
    <mergeCell ref="I42:I43"/>
    <mergeCell ref="AI46:AI47"/>
    <mergeCell ref="AJ46:AJ47"/>
    <mergeCell ref="AK46:AK47"/>
    <mergeCell ref="AJ36:AJ37"/>
    <mergeCell ref="AI40:AI41"/>
    <mergeCell ref="AJ40:AJ41"/>
    <mergeCell ref="AK40:AK41"/>
    <mergeCell ref="K40:K41"/>
    <mergeCell ref="L40:L41"/>
    <mergeCell ref="M40:M41"/>
    <mergeCell ref="N40:N41"/>
    <mergeCell ref="AI44:AI45"/>
    <mergeCell ref="Q38:Q39"/>
    <mergeCell ref="AI38:AI39"/>
    <mergeCell ref="AJ38:AJ39"/>
    <mergeCell ref="AK38:AK39"/>
    <mergeCell ref="AJ44:AJ45"/>
    <mergeCell ref="AK44:AK45"/>
    <mergeCell ref="AJ34:AJ35"/>
    <mergeCell ref="AK34:AK35"/>
    <mergeCell ref="F36:F37"/>
    <mergeCell ref="I36:I37"/>
    <mergeCell ref="J36:J37"/>
    <mergeCell ref="K36:K37"/>
    <mergeCell ref="L36:L37"/>
    <mergeCell ref="AK32:AK33"/>
    <mergeCell ref="F34:F35"/>
    <mergeCell ref="I34:I35"/>
    <mergeCell ref="J34:J35"/>
    <mergeCell ref="K34:K35"/>
    <mergeCell ref="L34:L35"/>
    <mergeCell ref="M34:M35"/>
    <mergeCell ref="N34:N35"/>
    <mergeCell ref="O34:O35"/>
    <mergeCell ref="M32:M33"/>
    <mergeCell ref="N32:N33"/>
    <mergeCell ref="O32:O33"/>
    <mergeCell ref="AH32:AH33"/>
    <mergeCell ref="AK36:AK37"/>
    <mergeCell ref="M36:M37"/>
    <mergeCell ref="N36:N37"/>
    <mergeCell ref="O36:O37"/>
    <mergeCell ref="F32:F33"/>
    <mergeCell ref="I32:I33"/>
    <mergeCell ref="J32:J33"/>
    <mergeCell ref="K32:K33"/>
    <mergeCell ref="L32:L33"/>
    <mergeCell ref="G28:G45"/>
    <mergeCell ref="H28:H45"/>
    <mergeCell ref="AH34:AH35"/>
    <mergeCell ref="AI34:AI35"/>
    <mergeCell ref="F40:F41"/>
    <mergeCell ref="I40:I41"/>
    <mergeCell ref="J40:J41"/>
    <mergeCell ref="F38:F39"/>
    <mergeCell ref="I38:I39"/>
    <mergeCell ref="J38:J39"/>
    <mergeCell ref="K38:K39"/>
    <mergeCell ref="L38:L39"/>
    <mergeCell ref="M38:M39"/>
    <mergeCell ref="N38:N39"/>
    <mergeCell ref="AH36:AH37"/>
    <mergeCell ref="AI36:AI37"/>
    <mergeCell ref="O30:O31"/>
    <mergeCell ref="AH30:AH31"/>
    <mergeCell ref="AI30:AI31"/>
    <mergeCell ref="AJ30:AJ31"/>
    <mergeCell ref="AK30:AK31"/>
    <mergeCell ref="AI28:AI29"/>
    <mergeCell ref="AJ28:AJ29"/>
    <mergeCell ref="AK28:AK29"/>
    <mergeCell ref="AI32:AI33"/>
    <mergeCell ref="AJ32:AJ33"/>
    <mergeCell ref="P32:P33"/>
    <mergeCell ref="Q32:Q33"/>
    <mergeCell ref="K30:K31"/>
    <mergeCell ref="L30:L31"/>
    <mergeCell ref="M30:M31"/>
    <mergeCell ref="F28:F29"/>
    <mergeCell ref="I28:I29"/>
    <mergeCell ref="J28:J29"/>
    <mergeCell ref="K28:K29"/>
    <mergeCell ref="L28:L29"/>
    <mergeCell ref="N30:N31"/>
    <mergeCell ref="A80:A81"/>
    <mergeCell ref="B80:B81"/>
    <mergeCell ref="C80:C81"/>
    <mergeCell ref="D80:D81"/>
    <mergeCell ref="E80:E81"/>
    <mergeCell ref="A82:A83"/>
    <mergeCell ref="B82:B83"/>
    <mergeCell ref="C82:C83"/>
    <mergeCell ref="D82:D83"/>
    <mergeCell ref="E82:E83"/>
    <mergeCell ref="A76:A77"/>
    <mergeCell ref="B76:B77"/>
    <mergeCell ref="C76:C77"/>
    <mergeCell ref="D76:D77"/>
    <mergeCell ref="E76:E77"/>
    <mergeCell ref="A78:A79"/>
    <mergeCell ref="B78:B79"/>
    <mergeCell ref="C78:C79"/>
    <mergeCell ref="D78:D79"/>
    <mergeCell ref="E78:E79"/>
    <mergeCell ref="A72:A73"/>
    <mergeCell ref="B72:B73"/>
    <mergeCell ref="C72:C73"/>
    <mergeCell ref="D72:D73"/>
    <mergeCell ref="E72:E73"/>
    <mergeCell ref="A74:A75"/>
    <mergeCell ref="B74:B75"/>
    <mergeCell ref="C74:C75"/>
    <mergeCell ref="D74:D75"/>
    <mergeCell ref="E74:E75"/>
    <mergeCell ref="A68:A69"/>
    <mergeCell ref="B68:B69"/>
    <mergeCell ref="C68:C69"/>
    <mergeCell ref="D68:D69"/>
    <mergeCell ref="E68:E69"/>
    <mergeCell ref="A70:A71"/>
    <mergeCell ref="B70:B71"/>
    <mergeCell ref="C70:C71"/>
    <mergeCell ref="D70:D71"/>
    <mergeCell ref="E70:E71"/>
    <mergeCell ref="A64:A65"/>
    <mergeCell ref="B64:B65"/>
    <mergeCell ref="C64:C65"/>
    <mergeCell ref="D64:D65"/>
    <mergeCell ref="E64:E65"/>
    <mergeCell ref="A66:A67"/>
    <mergeCell ref="B66:B67"/>
    <mergeCell ref="C66:C67"/>
    <mergeCell ref="D66:D67"/>
    <mergeCell ref="E66:E67"/>
    <mergeCell ref="A62:A63"/>
    <mergeCell ref="B62:B63"/>
    <mergeCell ref="C62:C63"/>
    <mergeCell ref="D62:D63"/>
    <mergeCell ref="E62:E63"/>
    <mergeCell ref="A58:A59"/>
    <mergeCell ref="B58:B59"/>
    <mergeCell ref="C58:C59"/>
    <mergeCell ref="D58:D59"/>
    <mergeCell ref="E58:E59"/>
    <mergeCell ref="A60:A61"/>
    <mergeCell ref="B60:B61"/>
    <mergeCell ref="C60:C61"/>
    <mergeCell ref="D60:D61"/>
    <mergeCell ref="E60:E61"/>
    <mergeCell ref="A54:A55"/>
    <mergeCell ref="B54:B55"/>
    <mergeCell ref="C54:C55"/>
    <mergeCell ref="D54:D55"/>
    <mergeCell ref="E54:E55"/>
    <mergeCell ref="A56:A57"/>
    <mergeCell ref="B56:B57"/>
    <mergeCell ref="C56:C57"/>
    <mergeCell ref="D56:D57"/>
    <mergeCell ref="E56:E57"/>
    <mergeCell ref="A50:A51"/>
    <mergeCell ref="B50:B51"/>
    <mergeCell ref="C50:C51"/>
    <mergeCell ref="D50:D51"/>
    <mergeCell ref="E50:E51"/>
    <mergeCell ref="A52:A53"/>
    <mergeCell ref="B52:B53"/>
    <mergeCell ref="C52:C53"/>
    <mergeCell ref="D52:D53"/>
    <mergeCell ref="E52:E53"/>
    <mergeCell ref="A36:A37"/>
    <mergeCell ref="B36:B37"/>
    <mergeCell ref="A46:A47"/>
    <mergeCell ref="B46:B47"/>
    <mergeCell ref="C46:C47"/>
    <mergeCell ref="D46:D47"/>
    <mergeCell ref="E46:E47"/>
    <mergeCell ref="A48:A49"/>
    <mergeCell ref="B48:B49"/>
    <mergeCell ref="C48:C49"/>
    <mergeCell ref="D48:D49"/>
    <mergeCell ref="E48:E49"/>
    <mergeCell ref="A32:A33"/>
    <mergeCell ref="B32:B33"/>
    <mergeCell ref="C32:C33"/>
    <mergeCell ref="D32:D33"/>
    <mergeCell ref="E32:E33"/>
    <mergeCell ref="A34:A35"/>
    <mergeCell ref="B34:B35"/>
    <mergeCell ref="C34:C35"/>
    <mergeCell ref="D34:D35"/>
    <mergeCell ref="E34:E35"/>
    <mergeCell ref="A42:A43"/>
    <mergeCell ref="B42:B43"/>
    <mergeCell ref="C42:C43"/>
    <mergeCell ref="D42:D43"/>
    <mergeCell ref="E42:E43"/>
    <mergeCell ref="A44:A45"/>
    <mergeCell ref="B44:B45"/>
    <mergeCell ref="C44:C45"/>
    <mergeCell ref="D44:D45"/>
    <mergeCell ref="E44:E45"/>
    <mergeCell ref="A38:A39"/>
    <mergeCell ref="B38:B39"/>
    <mergeCell ref="C38:C39"/>
    <mergeCell ref="D38:D39"/>
    <mergeCell ref="E38:E39"/>
    <mergeCell ref="A40:A41"/>
    <mergeCell ref="B40:B41"/>
    <mergeCell ref="C40:C41"/>
    <mergeCell ref="D40:D41"/>
    <mergeCell ref="E40:E41"/>
    <mergeCell ref="A28:A29"/>
    <mergeCell ref="B28:B29"/>
    <mergeCell ref="C28:C29"/>
    <mergeCell ref="D28:D29"/>
    <mergeCell ref="E28:E29"/>
    <mergeCell ref="A30:A31"/>
    <mergeCell ref="B30:B31"/>
    <mergeCell ref="AJ26:AJ27"/>
    <mergeCell ref="AK26:AK27"/>
    <mergeCell ref="M28:M29"/>
    <mergeCell ref="N28:N29"/>
    <mergeCell ref="O28:O29"/>
    <mergeCell ref="AH28:AH29"/>
    <mergeCell ref="L26:L27"/>
    <mergeCell ref="M26:M27"/>
    <mergeCell ref="N26:N27"/>
    <mergeCell ref="O26:O27"/>
    <mergeCell ref="AH26:AH27"/>
    <mergeCell ref="AI26:AI27"/>
    <mergeCell ref="F26:F27"/>
    <mergeCell ref="I26:I27"/>
    <mergeCell ref="J26:J27"/>
    <mergeCell ref="K26:K27"/>
    <mergeCell ref="C30:C31"/>
    <mergeCell ref="O24:O25"/>
    <mergeCell ref="AH24:AH25"/>
    <mergeCell ref="AI24:AI25"/>
    <mergeCell ref="AJ24:AJ25"/>
    <mergeCell ref="AK24:AK25"/>
    <mergeCell ref="A26:A27"/>
    <mergeCell ref="B26:B27"/>
    <mergeCell ref="C26:C27"/>
    <mergeCell ref="D26:D27"/>
    <mergeCell ref="E26:E27"/>
    <mergeCell ref="I24:I25"/>
    <mergeCell ref="J24:J25"/>
    <mergeCell ref="K24:K25"/>
    <mergeCell ref="L24:L25"/>
    <mergeCell ref="M24:M25"/>
    <mergeCell ref="N24:N25"/>
    <mergeCell ref="AJ22:AJ23"/>
    <mergeCell ref="AK22:AK23"/>
    <mergeCell ref="A24:A25"/>
    <mergeCell ref="B24:B25"/>
    <mergeCell ref="C24:C25"/>
    <mergeCell ref="D24:D25"/>
    <mergeCell ref="E24:E25"/>
    <mergeCell ref="F24:F25"/>
    <mergeCell ref="L22:L23"/>
    <mergeCell ref="M22:M23"/>
    <mergeCell ref="N22:N23"/>
    <mergeCell ref="O22:O23"/>
    <mergeCell ref="AH22:AH23"/>
    <mergeCell ref="AI22:AI23"/>
    <mergeCell ref="P22:P23"/>
    <mergeCell ref="Q22:Q23"/>
    <mergeCell ref="H14:H27"/>
    <mergeCell ref="B18:B19"/>
    <mergeCell ref="C18:C19"/>
    <mergeCell ref="D18:D19"/>
    <mergeCell ref="E18:E19"/>
    <mergeCell ref="A16:A17"/>
    <mergeCell ref="B16:B17"/>
    <mergeCell ref="C16:C17"/>
    <mergeCell ref="O20:O21"/>
    <mergeCell ref="AH20:AH21"/>
    <mergeCell ref="AI20:AI21"/>
    <mergeCell ref="AJ20:AJ21"/>
    <mergeCell ref="AK20:AK21"/>
    <mergeCell ref="A22:A23"/>
    <mergeCell ref="B22:B23"/>
    <mergeCell ref="C22:C23"/>
    <mergeCell ref="D22:D23"/>
    <mergeCell ref="E22:E23"/>
    <mergeCell ref="I20:I21"/>
    <mergeCell ref="J20:J21"/>
    <mergeCell ref="K20:K21"/>
    <mergeCell ref="L20:L21"/>
    <mergeCell ref="M20:M21"/>
    <mergeCell ref="N20:N21"/>
    <mergeCell ref="A20:A21"/>
    <mergeCell ref="B20:B21"/>
    <mergeCell ref="C20:C21"/>
    <mergeCell ref="D20:D21"/>
    <mergeCell ref="E20:E21"/>
    <mergeCell ref="F20:F21"/>
    <mergeCell ref="Q20:Q21"/>
    <mergeCell ref="G14:G27"/>
    <mergeCell ref="A18:A19"/>
    <mergeCell ref="AJ14:AJ15"/>
    <mergeCell ref="A14:A15"/>
    <mergeCell ref="B14:B15"/>
    <mergeCell ref="C14:C15"/>
    <mergeCell ref="D14:D15"/>
    <mergeCell ref="E14:E15"/>
    <mergeCell ref="AJ18:AJ19"/>
    <mergeCell ref="AK14:AK15"/>
    <mergeCell ref="L14:L15"/>
    <mergeCell ref="M14:M15"/>
    <mergeCell ref="N14:N15"/>
    <mergeCell ref="O14:O15"/>
    <mergeCell ref="AH14:AH15"/>
    <mergeCell ref="AI14:AI15"/>
    <mergeCell ref="F14:F15"/>
    <mergeCell ref="I14:I15"/>
    <mergeCell ref="F18:F19"/>
    <mergeCell ref="I18:I19"/>
    <mergeCell ref="J18:J19"/>
    <mergeCell ref="K18:K19"/>
    <mergeCell ref="O16:O17"/>
    <mergeCell ref="AH16:AH17"/>
    <mergeCell ref="AI16:AI17"/>
    <mergeCell ref="AJ16:AJ17"/>
    <mergeCell ref="AK16:AK17"/>
    <mergeCell ref="I16:I17"/>
    <mergeCell ref="L18:L19"/>
    <mergeCell ref="M18:M19"/>
    <mergeCell ref="N18:N19"/>
    <mergeCell ref="O18:O19"/>
    <mergeCell ref="AH18:AH19"/>
    <mergeCell ref="AI18:AI19"/>
    <mergeCell ref="AK18:AK19"/>
    <mergeCell ref="J16:J17"/>
    <mergeCell ref="K16:K17"/>
    <mergeCell ref="L16:L17"/>
    <mergeCell ref="M16:M17"/>
    <mergeCell ref="N16:N17"/>
    <mergeCell ref="A1:C3"/>
    <mergeCell ref="D1:AK3"/>
    <mergeCell ref="A4:A5"/>
    <mergeCell ref="G4:G5"/>
    <mergeCell ref="A6:B10"/>
    <mergeCell ref="C6:D10"/>
    <mergeCell ref="E6:F10"/>
    <mergeCell ref="G6:G10"/>
    <mergeCell ref="H6:I10"/>
    <mergeCell ref="J6:J10"/>
    <mergeCell ref="AG6:AH10"/>
    <mergeCell ref="K12:K13"/>
    <mergeCell ref="L12:L13"/>
    <mergeCell ref="A12:A13"/>
    <mergeCell ref="B12:B13"/>
    <mergeCell ref="C12:C13"/>
    <mergeCell ref="D12:D13"/>
    <mergeCell ref="E12:E13"/>
    <mergeCell ref="F12:F13"/>
    <mergeCell ref="AC6:AF10"/>
    <mergeCell ref="J12:J13"/>
    <mergeCell ref="G11:Q11"/>
    <mergeCell ref="N6:Q10"/>
    <mergeCell ref="AI12:AI13"/>
    <mergeCell ref="AJ12:AJ13"/>
    <mergeCell ref="AK12:AK13"/>
    <mergeCell ref="AI6:AI10"/>
    <mergeCell ref="AJ6:AJ10"/>
    <mergeCell ref="A11:F11"/>
    <mergeCell ref="R11:AG11"/>
    <mergeCell ref="AH11:AK11"/>
    <mergeCell ref="K6:L10"/>
    <mergeCell ref="M6:M10"/>
    <mergeCell ref="R6:T10"/>
    <mergeCell ref="U6:X10"/>
    <mergeCell ref="Y6:AB10"/>
    <mergeCell ref="AG12:AG13"/>
    <mergeCell ref="AH12:AH13"/>
    <mergeCell ref="M12:M13"/>
    <mergeCell ref="N12:N13"/>
    <mergeCell ref="O12:O13"/>
    <mergeCell ref="R12:R13"/>
    <mergeCell ref="S12:S13"/>
    <mergeCell ref="T12:T13"/>
    <mergeCell ref="G12:G13"/>
    <mergeCell ref="H12:H13"/>
    <mergeCell ref="I12:I13"/>
    <mergeCell ref="AA12:AA13"/>
    <mergeCell ref="AB12:AB13"/>
    <mergeCell ref="AC12:AC13"/>
    <mergeCell ref="AD12:AD13"/>
    <mergeCell ref="AE12:AE13"/>
    <mergeCell ref="AF12:AF13"/>
    <mergeCell ref="U12:U13"/>
    <mergeCell ref="V12:V13"/>
    <mergeCell ref="W12:W13"/>
    <mergeCell ref="X12:X13"/>
    <mergeCell ref="Y12:Y13"/>
    <mergeCell ref="Z12:Z13"/>
    <mergeCell ref="B85:B86"/>
    <mergeCell ref="C85:C86"/>
    <mergeCell ref="D85:D86"/>
    <mergeCell ref="E85:E86"/>
    <mergeCell ref="F85:F86"/>
    <mergeCell ref="G85:G86"/>
    <mergeCell ref="M85:M86"/>
    <mergeCell ref="J14:J15"/>
    <mergeCell ref="K14:K15"/>
    <mergeCell ref="D16:D17"/>
    <mergeCell ref="E16:E17"/>
    <mergeCell ref="F16:F17"/>
    <mergeCell ref="F22:F23"/>
    <mergeCell ref="I22:I23"/>
    <mergeCell ref="J22:J23"/>
    <mergeCell ref="K22:K23"/>
    <mergeCell ref="C36:C37"/>
    <mergeCell ref="D36:D37"/>
    <mergeCell ref="E36:E37"/>
    <mergeCell ref="D30:D31"/>
    <mergeCell ref="E30:E31"/>
    <mergeCell ref="F30:F31"/>
    <mergeCell ref="I30:I31"/>
    <mergeCell ref="J30:J31"/>
  </mergeCells>
  <conditionalFormatting sqref="I4">
    <cfRule type="cellIs" dxfId="66" priority="16" operator="lessThanOrEqual">
      <formula>$C$4</formula>
    </cfRule>
  </conditionalFormatting>
  <conditionalFormatting sqref="J6 T14:T83">
    <cfRule type="cellIs" dxfId="65" priority="17" operator="greaterThanOrEqual">
      <formula>$C$5</formula>
    </cfRule>
    <cfRule type="cellIs" dxfId="64" priority="18" operator="lessThanOrEqual">
      <formula>$C$4</formula>
    </cfRule>
    <cfRule type="cellIs" dxfId="63" priority="19" operator="between">
      <formula>$C$5</formula>
      <formula>$C$4</formula>
    </cfRule>
  </conditionalFormatting>
  <conditionalFormatting sqref="R6">
    <cfRule type="cellIs" dxfId="62" priority="13" operator="greaterThanOrEqual">
      <formula>$I$5</formula>
    </cfRule>
    <cfRule type="cellIs" dxfId="61" priority="14" operator="lessThanOrEqual">
      <formula>$I$4</formula>
    </cfRule>
    <cfRule type="cellIs" dxfId="60" priority="15" operator="between">
      <formula>$I$5</formula>
      <formula>$I$4</formula>
    </cfRule>
  </conditionalFormatting>
  <conditionalFormatting sqref="Y6">
    <cfRule type="cellIs" dxfId="59" priority="7" operator="greaterThanOrEqual">
      <formula>$I$5</formula>
    </cfRule>
    <cfRule type="cellIs" dxfId="58" priority="8" operator="lessThanOrEqual">
      <formula>$I$4</formula>
    </cfRule>
    <cfRule type="cellIs" dxfId="57" priority="9" operator="between">
      <formula>$I$5</formula>
      <formula>$I$4</formula>
    </cfRule>
  </conditionalFormatting>
  <conditionalFormatting sqref="AG6">
    <cfRule type="cellIs" dxfId="56" priority="4" operator="greaterThanOrEqual">
      <formula>$I$5</formula>
    </cfRule>
    <cfRule type="cellIs" dxfId="55" priority="5" operator="lessThanOrEqual">
      <formula>$I$4</formula>
    </cfRule>
    <cfRule type="cellIs" dxfId="54" priority="6" operator="between">
      <formula>$I$5</formula>
      <formula>$I$4</formula>
    </cfRule>
  </conditionalFormatting>
  <conditionalFormatting sqref="AJ6">
    <cfRule type="cellIs" dxfId="53" priority="1" operator="greaterThanOrEqual">
      <formula>$I$5</formula>
    </cfRule>
    <cfRule type="cellIs" dxfId="52" priority="2" operator="lessThanOrEqual">
      <formula>$I$4</formula>
    </cfRule>
    <cfRule type="cellIs" dxfId="51" priority="3" operator="between">
      <formula>$I$5</formula>
      <formula>$I$4</formula>
    </cfRule>
  </conditionalFormatting>
  <dataValidations count="9">
    <dataValidation type="decimal" allowBlank="1" showInputMessage="1" showErrorMessage="1" prompt="% de avance en la actividad - indique el % programado de avance durante esta semana_x000a_" sqref="U14:W23 X62:AG62 X14:AA35 V37:AG37 V39 W38:AG39 V60 V40:AG59 X60:AG60 V61:AG61 V62 U25:U83 V25:W35 V36:AA36 V63:AG83 AB14:AG36" xr:uid="{3D26D235-6DEB-4658-ACD2-58B29B926DF1}">
      <formula1>0</formula1>
      <formula2>1</formula2>
    </dataValidation>
    <dataValidation type="decimal" allowBlank="1" showInputMessage="1" showErrorMessage="1" prompt="campo calculado  - indica el % de avance  que aporta la activadad a todo el proyecto" sqref="S21 S19 S17 S15 S25 S23 S27 S29 S31 S33 S35 S37 S39 S41 S43 S45 S47 S49 S51 S53 S55 S57 S59 S61 S63 S65 S67 S69 S71 S73 S75 S77 S79 S81 S83" xr:uid="{9805FBE6-07B9-488D-86A6-D547000F6BC2}">
      <formula1>0</formula1>
      <formula2>1</formula2>
    </dataValidation>
    <dataValidation type="decimal" allowBlank="1" showInputMessage="1" showErrorMessage="1" prompt="valor porcentual de la activida - Indique el peso porcentual de la actividad dentro del proyecto" sqref="S14 S22 S18 S16 S20 S26 S24 S28 S30 S32 S34 S36 S38 S40 S42 S44 S46 S48 S50 S52 S54 S56 S58 S60 S62 S64 S66 S68 S70 S72 S74 S76 S78 S80 S82" xr:uid="{1FCCBE25-3ED1-412D-99D4-C303D09A2096}">
      <formula1>0</formula1>
      <formula2>1</formula2>
    </dataValidation>
    <dataValidation allowBlank="1" showErrorMessage="1" sqref="T14:T83" xr:uid="{4A1F63CC-23A9-4C82-AB9F-59CC5AC82840}"/>
    <dataValidation type="list" allowBlank="1" showInputMessage="1" showErrorMessage="1" sqref="E14:E83" xr:uid="{1E79DAE7-6DA1-45D9-8621-62B8BC5433E3}">
      <formula1>$E$87:$E$105</formula1>
    </dataValidation>
    <dataValidation type="list" allowBlank="1" showInputMessage="1" showErrorMessage="1" sqref="D14:D83" xr:uid="{4FA17605-8518-4574-A1BC-32A372559630}">
      <formula1>$D$87:$D$93</formula1>
    </dataValidation>
    <dataValidation type="list" allowBlank="1" showInputMessage="1" showErrorMessage="1" sqref="C14:C83" xr:uid="{A63D2CAE-328F-47C1-B8D2-27E8CA3350FB}">
      <formula1>$C$87:$C$96</formula1>
    </dataValidation>
    <dataValidation type="list" allowBlank="1" showInputMessage="1" showErrorMessage="1" sqref="B14:B83" xr:uid="{DBE825F7-60D3-4959-86F7-466681C4491C}">
      <formula1>$B$87:$B$94</formula1>
    </dataValidation>
    <dataValidation type="list" allowBlank="1" showInputMessage="1" showErrorMessage="1" sqref="L14:L83" xr:uid="{25465514-D691-499D-A42F-B0505FFB9B49}">
      <formula1>$G$84:$G$115</formula1>
    </dataValidation>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9476-1993-4393-BAC7-AF45F5018B0D}">
  <dimension ref="A1:AO163"/>
  <sheetViews>
    <sheetView topLeftCell="D2" zoomScale="50" zoomScaleNormal="50" workbookViewId="0">
      <selection activeCell="F1" sqref="F1:AE9"/>
    </sheetView>
  </sheetViews>
  <sheetFormatPr baseColWidth="10" defaultColWidth="11.453125" defaultRowHeight="14.5" x14ac:dyDescent="0.35"/>
  <cols>
    <col min="1" max="1" width="14.7265625" style="68" hidden="1" customWidth="1"/>
    <col min="2" max="3" width="30.453125" style="68" hidden="1" customWidth="1"/>
    <col min="4" max="4" width="11.54296875" style="68" customWidth="1"/>
    <col min="5" max="5" width="65.26953125" style="68" customWidth="1"/>
    <col min="6" max="7" width="59.54296875" style="68" customWidth="1"/>
    <col min="8" max="8" width="37.54296875" style="68" customWidth="1"/>
    <col min="9" max="9" width="33.81640625" style="68" customWidth="1"/>
    <col min="10" max="10" width="41.26953125" style="68" customWidth="1"/>
    <col min="11" max="11" width="38.7265625" style="68" customWidth="1"/>
    <col min="12" max="12" width="52.7265625" style="68" customWidth="1"/>
    <col min="13" max="14" width="30.453125" style="68" customWidth="1"/>
    <col min="15" max="16" width="25.7265625" style="68" customWidth="1"/>
    <col min="17" max="17" width="26.7265625" style="68" hidden="1" customWidth="1"/>
    <col min="18" max="18" width="20.26953125" style="68" hidden="1" customWidth="1"/>
    <col min="19" max="21" width="30.453125" style="68" hidden="1" customWidth="1"/>
    <col min="22" max="23" width="25.54296875" style="68" hidden="1" customWidth="1"/>
    <col min="24" max="24" width="70.54296875" style="68" hidden="1" customWidth="1"/>
    <col min="25" max="26" width="25.54296875" style="68" hidden="1" customWidth="1"/>
    <col min="27" max="27" width="70.54296875" style="68" hidden="1" customWidth="1"/>
    <col min="28" max="29" width="25.54296875" style="68" hidden="1" customWidth="1"/>
    <col min="30" max="30" width="70.54296875" style="68" hidden="1" customWidth="1"/>
    <col min="31" max="31" width="20.54296875" style="68" customWidth="1"/>
    <col min="32" max="33" width="0" style="68" hidden="1" customWidth="1"/>
    <col min="34" max="39" width="23.54296875" style="68" hidden="1" customWidth="1"/>
    <col min="40" max="16384" width="11.453125" style="68"/>
  </cols>
  <sheetData>
    <row r="1" spans="1:41" ht="14.9" hidden="1" customHeight="1" thickBot="1" x14ac:dyDescent="0.4">
      <c r="A1" s="70"/>
      <c r="B1" s="71"/>
      <c r="C1" s="71"/>
      <c r="D1" s="71"/>
      <c r="E1" s="71"/>
      <c r="F1" s="719" t="s">
        <v>819</v>
      </c>
      <c r="G1" s="719"/>
      <c r="H1" s="719"/>
      <c r="I1" s="719"/>
      <c r="J1" s="719"/>
      <c r="K1" s="719"/>
      <c r="L1" s="719"/>
      <c r="M1" s="719"/>
      <c r="N1" s="719"/>
      <c r="O1" s="719"/>
      <c r="P1" s="719"/>
      <c r="Q1" s="719"/>
      <c r="R1" s="719"/>
      <c r="S1" s="719"/>
      <c r="T1" s="719"/>
      <c r="U1" s="719"/>
      <c r="V1" s="719"/>
      <c r="W1" s="719"/>
      <c r="X1" s="719"/>
      <c r="Y1" s="719"/>
      <c r="Z1" s="719"/>
      <c r="AA1" s="719"/>
      <c r="AB1" s="719"/>
      <c r="AC1" s="719"/>
      <c r="AD1" s="719"/>
      <c r="AE1" s="720"/>
      <c r="AF1" s="732"/>
      <c r="AG1" s="733"/>
      <c r="AH1" s="73"/>
      <c r="AI1" s="73"/>
      <c r="AJ1" s="73"/>
      <c r="AK1" s="73"/>
      <c r="AL1" s="73"/>
      <c r="AM1" s="73"/>
      <c r="AN1" s="73"/>
      <c r="AO1" s="73"/>
    </row>
    <row r="2" spans="1:41" ht="14.9" customHeight="1" x14ac:dyDescent="0.35">
      <c r="A2" s="717"/>
      <c r="B2" s="718"/>
      <c r="C2" s="718"/>
      <c r="D2" s="718"/>
      <c r="E2" s="718"/>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2"/>
      <c r="AF2" s="74"/>
      <c r="AG2" s="74"/>
      <c r="AH2" s="74"/>
      <c r="AI2" s="73"/>
      <c r="AJ2" s="73"/>
      <c r="AK2" s="73"/>
      <c r="AL2" s="73"/>
      <c r="AM2" s="73"/>
      <c r="AN2" s="73"/>
      <c r="AO2" s="73"/>
    </row>
    <row r="3" spans="1:41" ht="14.9" customHeight="1" x14ac:dyDescent="0.35">
      <c r="A3" s="717"/>
      <c r="B3" s="718"/>
      <c r="C3" s="718"/>
      <c r="D3" s="718"/>
      <c r="E3" s="718"/>
      <c r="F3" s="721"/>
      <c r="G3" s="721"/>
      <c r="H3" s="721"/>
      <c r="I3" s="721"/>
      <c r="J3" s="721"/>
      <c r="K3" s="721"/>
      <c r="L3" s="721"/>
      <c r="M3" s="721"/>
      <c r="N3" s="721"/>
      <c r="O3" s="721"/>
      <c r="P3" s="721"/>
      <c r="Q3" s="721"/>
      <c r="R3" s="721"/>
      <c r="S3" s="721"/>
      <c r="T3" s="721"/>
      <c r="U3" s="721"/>
      <c r="V3" s="721"/>
      <c r="W3" s="721"/>
      <c r="X3" s="721"/>
      <c r="Y3" s="721"/>
      <c r="Z3" s="721"/>
      <c r="AA3" s="721"/>
      <c r="AB3" s="721"/>
      <c r="AC3" s="721"/>
      <c r="AD3" s="721"/>
      <c r="AE3" s="722"/>
      <c r="AF3" s="74"/>
      <c r="AG3" s="74"/>
      <c r="AH3" s="74"/>
      <c r="AI3" s="73"/>
      <c r="AJ3" s="73"/>
      <c r="AK3" s="73"/>
      <c r="AL3" s="73"/>
      <c r="AM3" s="73"/>
      <c r="AN3" s="73"/>
      <c r="AO3" s="73"/>
    </row>
    <row r="4" spans="1:41" ht="14.9" customHeight="1" x14ac:dyDescent="0.35">
      <c r="A4" s="717"/>
      <c r="B4" s="718"/>
      <c r="C4" s="718"/>
      <c r="D4" s="718"/>
      <c r="E4" s="718"/>
      <c r="F4" s="721"/>
      <c r="G4" s="721"/>
      <c r="H4" s="721"/>
      <c r="I4" s="721"/>
      <c r="J4" s="721"/>
      <c r="K4" s="721"/>
      <c r="L4" s="721"/>
      <c r="M4" s="721"/>
      <c r="N4" s="721"/>
      <c r="O4" s="721"/>
      <c r="P4" s="721"/>
      <c r="Q4" s="721"/>
      <c r="R4" s="721"/>
      <c r="S4" s="721"/>
      <c r="T4" s="721"/>
      <c r="U4" s="721"/>
      <c r="V4" s="721"/>
      <c r="W4" s="721"/>
      <c r="X4" s="721"/>
      <c r="Y4" s="721"/>
      <c r="Z4" s="721"/>
      <c r="AA4" s="721"/>
      <c r="AB4" s="721"/>
      <c r="AC4" s="721"/>
      <c r="AD4" s="721"/>
      <c r="AE4" s="722"/>
      <c r="AF4" s="74"/>
      <c r="AG4" s="74"/>
      <c r="AH4" s="74"/>
      <c r="AI4" s="73"/>
      <c r="AJ4" s="73"/>
      <c r="AK4" s="73"/>
      <c r="AL4" s="73"/>
      <c r="AM4" s="73"/>
      <c r="AN4" s="73"/>
      <c r="AO4" s="73"/>
    </row>
    <row r="5" spans="1:41" ht="14.9" customHeight="1" x14ac:dyDescent="0.35">
      <c r="A5" s="717"/>
      <c r="B5" s="718"/>
      <c r="C5" s="718"/>
      <c r="D5" s="718"/>
      <c r="E5" s="718"/>
      <c r="F5" s="721"/>
      <c r="G5" s="721"/>
      <c r="H5" s="721"/>
      <c r="I5" s="721"/>
      <c r="J5" s="721"/>
      <c r="K5" s="721"/>
      <c r="L5" s="721"/>
      <c r="M5" s="721"/>
      <c r="N5" s="721"/>
      <c r="O5" s="721"/>
      <c r="P5" s="721"/>
      <c r="Q5" s="721"/>
      <c r="R5" s="721"/>
      <c r="S5" s="721"/>
      <c r="T5" s="721"/>
      <c r="U5" s="721"/>
      <c r="V5" s="721"/>
      <c r="W5" s="721"/>
      <c r="X5" s="721"/>
      <c r="Y5" s="721"/>
      <c r="Z5" s="721"/>
      <c r="AA5" s="721"/>
      <c r="AB5" s="721"/>
      <c r="AC5" s="721"/>
      <c r="AD5" s="721"/>
      <c r="AE5" s="722"/>
      <c r="AF5" s="74"/>
      <c r="AG5" s="74"/>
      <c r="AH5" s="74"/>
      <c r="AI5" s="73"/>
      <c r="AJ5" s="73"/>
      <c r="AK5" s="73"/>
      <c r="AL5" s="73"/>
      <c r="AM5" s="73"/>
      <c r="AN5" s="73"/>
      <c r="AO5" s="73"/>
    </row>
    <row r="6" spans="1:41" ht="14.9" customHeight="1" x14ac:dyDescent="0.35">
      <c r="A6" s="717"/>
      <c r="B6" s="718"/>
      <c r="C6" s="718"/>
      <c r="D6" s="718"/>
      <c r="E6" s="718"/>
      <c r="F6" s="721"/>
      <c r="G6" s="721"/>
      <c r="H6" s="721"/>
      <c r="I6" s="721"/>
      <c r="J6" s="721"/>
      <c r="K6" s="721"/>
      <c r="L6" s="721"/>
      <c r="M6" s="721"/>
      <c r="N6" s="721"/>
      <c r="O6" s="721"/>
      <c r="P6" s="721"/>
      <c r="Q6" s="721"/>
      <c r="R6" s="721"/>
      <c r="S6" s="721"/>
      <c r="T6" s="721"/>
      <c r="U6" s="721"/>
      <c r="V6" s="721"/>
      <c r="W6" s="721"/>
      <c r="X6" s="721"/>
      <c r="Y6" s="721"/>
      <c r="Z6" s="721"/>
      <c r="AA6" s="721"/>
      <c r="AB6" s="721"/>
      <c r="AC6" s="721"/>
      <c r="AD6" s="721"/>
      <c r="AE6" s="722"/>
      <c r="AF6" s="74"/>
      <c r="AG6" s="74"/>
      <c r="AH6" s="74"/>
      <c r="AI6" s="73"/>
      <c r="AJ6" s="73"/>
      <c r="AK6" s="73"/>
      <c r="AL6" s="73"/>
      <c r="AM6" s="73"/>
      <c r="AN6" s="73"/>
      <c r="AO6" s="73"/>
    </row>
    <row r="7" spans="1:41" ht="14.9" customHeight="1" x14ac:dyDescent="0.35">
      <c r="A7" s="717"/>
      <c r="B7" s="718"/>
      <c r="C7" s="718"/>
      <c r="D7" s="718"/>
      <c r="E7" s="718"/>
      <c r="F7" s="721"/>
      <c r="G7" s="721"/>
      <c r="H7" s="721"/>
      <c r="I7" s="721"/>
      <c r="J7" s="721"/>
      <c r="K7" s="721"/>
      <c r="L7" s="721"/>
      <c r="M7" s="721"/>
      <c r="N7" s="721"/>
      <c r="O7" s="721"/>
      <c r="P7" s="721"/>
      <c r="Q7" s="721"/>
      <c r="R7" s="721"/>
      <c r="S7" s="721"/>
      <c r="T7" s="721"/>
      <c r="U7" s="721"/>
      <c r="V7" s="721"/>
      <c r="W7" s="721"/>
      <c r="X7" s="721"/>
      <c r="Y7" s="721"/>
      <c r="Z7" s="721"/>
      <c r="AA7" s="721"/>
      <c r="AB7" s="721"/>
      <c r="AC7" s="721"/>
      <c r="AD7" s="721"/>
      <c r="AE7" s="722"/>
      <c r="AF7" s="74"/>
      <c r="AG7" s="74"/>
      <c r="AH7" s="74"/>
      <c r="AI7" s="73"/>
      <c r="AJ7" s="73"/>
      <c r="AK7" s="73"/>
      <c r="AL7" s="73"/>
      <c r="AM7" s="73"/>
      <c r="AN7" s="73"/>
      <c r="AO7" s="73"/>
    </row>
    <row r="8" spans="1:41" ht="14.9" customHeight="1" x14ac:dyDescent="0.35">
      <c r="A8" s="717"/>
      <c r="B8" s="718"/>
      <c r="C8" s="718"/>
      <c r="D8" s="718"/>
      <c r="E8" s="718"/>
      <c r="F8" s="721"/>
      <c r="G8" s="721"/>
      <c r="H8" s="721"/>
      <c r="I8" s="721"/>
      <c r="J8" s="721"/>
      <c r="K8" s="721"/>
      <c r="L8" s="721"/>
      <c r="M8" s="721"/>
      <c r="N8" s="721"/>
      <c r="O8" s="721"/>
      <c r="P8" s="721"/>
      <c r="Q8" s="721"/>
      <c r="R8" s="721"/>
      <c r="S8" s="721"/>
      <c r="T8" s="721"/>
      <c r="U8" s="721"/>
      <c r="V8" s="721"/>
      <c r="W8" s="721"/>
      <c r="X8" s="721"/>
      <c r="Y8" s="721"/>
      <c r="Z8" s="721"/>
      <c r="AA8" s="721"/>
      <c r="AB8" s="721"/>
      <c r="AC8" s="721"/>
      <c r="AD8" s="721"/>
      <c r="AE8" s="722"/>
      <c r="AF8" s="74"/>
      <c r="AG8" s="74"/>
      <c r="AH8" s="74"/>
      <c r="AI8" s="73"/>
      <c r="AJ8" s="73"/>
      <c r="AK8" s="73"/>
      <c r="AL8" s="73"/>
      <c r="AM8" s="73"/>
      <c r="AN8" s="73"/>
      <c r="AO8" s="73"/>
    </row>
    <row r="9" spans="1:41" ht="14.9" customHeight="1" x14ac:dyDescent="0.35">
      <c r="A9" s="717"/>
      <c r="B9" s="718"/>
      <c r="C9" s="718"/>
      <c r="D9" s="718"/>
      <c r="E9" s="718"/>
      <c r="F9" s="721"/>
      <c r="G9" s="721"/>
      <c r="H9" s="721"/>
      <c r="I9" s="721"/>
      <c r="J9" s="721"/>
      <c r="K9" s="721"/>
      <c r="L9" s="721"/>
      <c r="M9" s="721"/>
      <c r="N9" s="721"/>
      <c r="O9" s="721"/>
      <c r="P9" s="721"/>
      <c r="Q9" s="721"/>
      <c r="R9" s="721"/>
      <c r="S9" s="721"/>
      <c r="T9" s="721"/>
      <c r="U9" s="721"/>
      <c r="V9" s="721"/>
      <c r="W9" s="721"/>
      <c r="X9" s="721"/>
      <c r="Y9" s="721"/>
      <c r="Z9" s="721"/>
      <c r="AA9" s="721"/>
      <c r="AB9" s="721"/>
      <c r="AC9" s="721"/>
      <c r="AD9" s="721"/>
      <c r="AE9" s="722"/>
      <c r="AF9" s="74"/>
      <c r="AG9" s="74"/>
      <c r="AH9" s="74"/>
      <c r="AI9" s="73"/>
      <c r="AJ9" s="73"/>
      <c r="AK9" s="73"/>
      <c r="AL9" s="73"/>
      <c r="AM9" s="73"/>
      <c r="AN9" s="73"/>
      <c r="AO9" s="73"/>
    </row>
    <row r="10" spans="1:41" ht="14.9" hidden="1" customHeight="1" x14ac:dyDescent="0.35">
      <c r="A10" s="72"/>
      <c r="B10" s="73"/>
      <c r="C10" s="73"/>
      <c r="D10" s="73"/>
      <c r="E10" s="73"/>
      <c r="F10" s="73"/>
      <c r="G10" s="73"/>
      <c r="H10" s="73"/>
      <c r="I10" s="73"/>
      <c r="J10" s="560" t="s">
        <v>38</v>
      </c>
      <c r="K10" s="746" t="s">
        <v>39</v>
      </c>
      <c r="L10" s="747"/>
      <c r="M10" s="748"/>
      <c r="N10" s="740"/>
      <c r="O10" s="741"/>
      <c r="P10" s="741"/>
      <c r="Q10" s="741"/>
      <c r="R10" s="741"/>
      <c r="S10" s="741"/>
      <c r="T10" s="741"/>
      <c r="U10" s="741"/>
      <c r="V10" s="741"/>
      <c r="W10" s="741"/>
      <c r="X10" s="741"/>
      <c r="Y10" s="741"/>
      <c r="Z10" s="741"/>
      <c r="AA10" s="741"/>
      <c r="AB10" s="741"/>
      <c r="AC10" s="741"/>
      <c r="AD10" s="741"/>
      <c r="AE10" s="742"/>
      <c r="AF10" s="74"/>
      <c r="AG10" s="74"/>
      <c r="AH10" s="74"/>
      <c r="AI10" s="73"/>
      <c r="AJ10" s="73"/>
      <c r="AK10" s="73"/>
      <c r="AL10" s="73"/>
      <c r="AM10" s="73"/>
      <c r="AN10" s="73"/>
      <c r="AO10" s="73"/>
    </row>
    <row r="11" spans="1:41" ht="14.9" hidden="1" customHeight="1" thickBot="1" x14ac:dyDescent="0.4">
      <c r="A11" s="75"/>
      <c r="B11" s="76"/>
      <c r="C11" s="76"/>
      <c r="D11" s="76"/>
      <c r="E11" s="76"/>
      <c r="F11" s="76"/>
      <c r="G11" s="76"/>
      <c r="H11" s="76"/>
      <c r="I11" s="76"/>
      <c r="J11" s="566"/>
      <c r="K11" s="749"/>
      <c r="L11" s="750"/>
      <c r="M11" s="751"/>
      <c r="N11" s="743"/>
      <c r="O11" s="744"/>
      <c r="P11" s="744"/>
      <c r="Q11" s="744"/>
      <c r="R11" s="744"/>
      <c r="S11" s="744"/>
      <c r="T11" s="744"/>
      <c r="U11" s="744"/>
      <c r="V11" s="744"/>
      <c r="W11" s="744"/>
      <c r="X11" s="744"/>
      <c r="Y11" s="744"/>
      <c r="Z11" s="744"/>
      <c r="AA11" s="744"/>
      <c r="AB11" s="744"/>
      <c r="AC11" s="744"/>
      <c r="AD11" s="744"/>
      <c r="AE11" s="745"/>
      <c r="AF11" s="77"/>
      <c r="AG11" s="73"/>
      <c r="AH11" s="73"/>
      <c r="AI11" s="73"/>
      <c r="AJ11" s="73"/>
      <c r="AK11" s="73"/>
      <c r="AL11" s="73"/>
      <c r="AM11" s="73"/>
      <c r="AN11" s="73"/>
      <c r="AO11" s="73"/>
    </row>
    <row r="12" spans="1:41" ht="23.9" hidden="1" customHeight="1" thickBot="1" x14ac:dyDescent="0.4">
      <c r="A12" s="78"/>
      <c r="B12" s="78"/>
      <c r="C12" s="734"/>
      <c r="D12" s="735"/>
      <c r="E12" s="735"/>
      <c r="F12" s="735"/>
      <c r="G12" s="735"/>
      <c r="H12" s="735"/>
      <c r="I12" s="736"/>
      <c r="J12" s="734"/>
      <c r="K12" s="735"/>
      <c r="L12" s="735"/>
      <c r="M12" s="735"/>
      <c r="N12" s="735"/>
      <c r="O12" s="735"/>
      <c r="P12" s="735"/>
      <c r="Q12" s="735"/>
      <c r="R12" s="735"/>
      <c r="S12" s="735"/>
      <c r="T12" s="735"/>
      <c r="U12" s="735"/>
      <c r="V12" s="735"/>
      <c r="W12" s="735"/>
      <c r="X12" s="735"/>
      <c r="Y12" s="735"/>
      <c r="Z12" s="735"/>
      <c r="AA12" s="735"/>
      <c r="AB12" s="735"/>
      <c r="AC12" s="735"/>
      <c r="AD12" s="735"/>
      <c r="AE12" s="735"/>
      <c r="AF12" s="733"/>
      <c r="AG12" s="733"/>
      <c r="AH12" s="73"/>
      <c r="AI12" s="73"/>
      <c r="AJ12" s="73"/>
      <c r="AK12" s="73"/>
      <c r="AL12" s="73"/>
      <c r="AM12" s="73"/>
      <c r="AN12" s="73"/>
      <c r="AO12" s="73"/>
    </row>
    <row r="13" spans="1:41" ht="18.649999999999999" hidden="1" customHeight="1" thickBot="1" x14ac:dyDescent="0.4">
      <c r="A13" s="79"/>
      <c r="B13" s="79"/>
      <c r="C13" s="737"/>
      <c r="D13" s="738"/>
      <c r="E13" s="738"/>
      <c r="F13" s="738"/>
      <c r="G13" s="738"/>
      <c r="H13" s="738"/>
      <c r="I13" s="739"/>
      <c r="J13" s="737"/>
      <c r="K13" s="738"/>
      <c r="L13" s="738"/>
      <c r="M13" s="738"/>
      <c r="N13" s="738"/>
      <c r="O13" s="738"/>
      <c r="P13" s="738"/>
      <c r="Q13" s="738"/>
      <c r="R13" s="738"/>
      <c r="S13" s="738"/>
      <c r="T13" s="738"/>
      <c r="U13" s="738"/>
      <c r="V13" s="738"/>
      <c r="W13" s="738"/>
      <c r="X13" s="738"/>
      <c r="Y13" s="738"/>
      <c r="Z13" s="738"/>
      <c r="AA13" s="738"/>
      <c r="AB13" s="738"/>
      <c r="AC13" s="738"/>
      <c r="AD13" s="738"/>
      <c r="AE13" s="738"/>
      <c r="AF13" s="733"/>
      <c r="AG13" s="733"/>
      <c r="AH13" s="73"/>
      <c r="AI13" s="73"/>
      <c r="AJ13" s="73"/>
      <c r="AK13" s="73"/>
      <c r="AL13" s="73"/>
      <c r="AM13" s="73"/>
      <c r="AN13" s="73"/>
      <c r="AO13" s="73"/>
    </row>
    <row r="14" spans="1:41" ht="18.649999999999999" hidden="1" customHeight="1" thickBot="1" x14ac:dyDescent="0.4">
      <c r="A14" s="79"/>
      <c r="B14" s="79"/>
      <c r="C14" s="737"/>
      <c r="D14" s="738"/>
      <c r="E14" s="738"/>
      <c r="F14" s="738"/>
      <c r="G14" s="738"/>
      <c r="H14" s="738"/>
      <c r="I14" s="739"/>
      <c r="J14" s="737"/>
      <c r="K14" s="738"/>
      <c r="L14" s="738"/>
      <c r="M14" s="738"/>
      <c r="N14" s="738"/>
      <c r="O14" s="738"/>
      <c r="P14" s="738"/>
      <c r="Q14" s="738"/>
      <c r="R14" s="738"/>
      <c r="S14" s="738"/>
      <c r="T14" s="738"/>
      <c r="U14" s="738"/>
      <c r="V14" s="738"/>
      <c r="W14" s="738"/>
      <c r="X14" s="738"/>
      <c r="Y14" s="738"/>
      <c r="Z14" s="738"/>
      <c r="AA14" s="738"/>
      <c r="AB14" s="738"/>
      <c r="AC14" s="738"/>
      <c r="AD14" s="738"/>
      <c r="AE14" s="738"/>
      <c r="AF14" s="733"/>
      <c r="AG14" s="733"/>
      <c r="AH14" s="73"/>
      <c r="AI14" s="73"/>
      <c r="AJ14" s="73"/>
      <c r="AK14" s="73"/>
      <c r="AL14" s="73"/>
      <c r="AM14" s="73"/>
      <c r="AN14" s="73"/>
      <c r="AO14" s="73"/>
    </row>
    <row r="15" spans="1:41" ht="18.649999999999999" hidden="1" customHeight="1" thickBot="1" x14ac:dyDescent="0.4">
      <c r="A15" s="79"/>
      <c r="B15" s="79"/>
      <c r="C15" s="737"/>
      <c r="D15" s="738"/>
      <c r="E15" s="738"/>
      <c r="F15" s="738"/>
      <c r="G15" s="738"/>
      <c r="H15" s="738"/>
      <c r="I15" s="739"/>
      <c r="J15" s="737"/>
      <c r="K15" s="738"/>
      <c r="L15" s="738"/>
      <c r="M15" s="738"/>
      <c r="N15" s="738"/>
      <c r="O15" s="738"/>
      <c r="P15" s="738"/>
      <c r="Q15" s="738"/>
      <c r="R15" s="738"/>
      <c r="S15" s="738"/>
      <c r="T15" s="738"/>
      <c r="U15" s="738"/>
      <c r="V15" s="738"/>
      <c r="W15" s="738"/>
      <c r="X15" s="738"/>
      <c r="Y15" s="738"/>
      <c r="Z15" s="738"/>
      <c r="AA15" s="738"/>
      <c r="AB15" s="738"/>
      <c r="AC15" s="738"/>
      <c r="AD15" s="738"/>
      <c r="AE15" s="738"/>
      <c r="AF15" s="733"/>
      <c r="AG15" s="733"/>
      <c r="AH15" s="73"/>
      <c r="AI15" s="73"/>
      <c r="AJ15" s="73"/>
      <c r="AK15" s="73"/>
      <c r="AL15" s="73"/>
      <c r="AM15" s="73"/>
      <c r="AN15" s="73"/>
      <c r="AO15" s="73"/>
    </row>
    <row r="16" spans="1:41" ht="18.649999999999999" hidden="1" customHeight="1" thickBot="1" x14ac:dyDescent="0.4">
      <c r="A16" s="79"/>
      <c r="B16" s="79"/>
      <c r="C16" s="737"/>
      <c r="D16" s="738"/>
      <c r="E16" s="738"/>
      <c r="F16" s="738"/>
      <c r="G16" s="738"/>
      <c r="H16" s="738"/>
      <c r="I16" s="739"/>
      <c r="J16" s="737"/>
      <c r="K16" s="738"/>
      <c r="L16" s="738"/>
      <c r="M16" s="738"/>
      <c r="N16" s="738"/>
      <c r="O16" s="738"/>
      <c r="P16" s="738"/>
      <c r="Q16" s="738"/>
      <c r="R16" s="738"/>
      <c r="S16" s="738"/>
      <c r="T16" s="738"/>
      <c r="U16" s="738"/>
      <c r="V16" s="738"/>
      <c r="W16" s="738"/>
      <c r="X16" s="738"/>
      <c r="Y16" s="738"/>
      <c r="Z16" s="738"/>
      <c r="AA16" s="738"/>
      <c r="AB16" s="738"/>
      <c r="AC16" s="738"/>
      <c r="AD16" s="738"/>
      <c r="AE16" s="738"/>
      <c r="AF16" s="733"/>
      <c r="AG16" s="733"/>
      <c r="AH16" s="73"/>
      <c r="AI16" s="73"/>
      <c r="AJ16" s="73"/>
      <c r="AK16" s="73"/>
      <c r="AL16" s="73"/>
      <c r="AM16" s="73"/>
      <c r="AN16" s="73"/>
      <c r="AO16" s="73"/>
    </row>
    <row r="17" spans="1:41" ht="18.649999999999999" hidden="1" customHeight="1" thickBot="1" x14ac:dyDescent="0.4">
      <c r="A17" s="79"/>
      <c r="B17" s="79"/>
      <c r="C17" s="737"/>
      <c r="D17" s="738"/>
      <c r="E17" s="738"/>
      <c r="F17" s="738"/>
      <c r="G17" s="738"/>
      <c r="H17" s="738"/>
      <c r="I17" s="739"/>
      <c r="J17" s="737"/>
      <c r="K17" s="738"/>
      <c r="L17" s="738"/>
      <c r="M17" s="738"/>
      <c r="N17" s="738"/>
      <c r="O17" s="738"/>
      <c r="P17" s="738"/>
      <c r="Q17" s="738"/>
      <c r="R17" s="738"/>
      <c r="S17" s="738"/>
      <c r="T17" s="738"/>
      <c r="U17" s="738"/>
      <c r="V17" s="738"/>
      <c r="W17" s="738"/>
      <c r="X17" s="738"/>
      <c r="Y17" s="738"/>
      <c r="Z17" s="738"/>
      <c r="AA17" s="738"/>
      <c r="AB17" s="738"/>
      <c r="AC17" s="738"/>
      <c r="AD17" s="738"/>
      <c r="AE17" s="738"/>
      <c r="AF17" s="733"/>
      <c r="AG17" s="733"/>
      <c r="AH17" s="73"/>
      <c r="AI17" s="73"/>
      <c r="AJ17" s="73"/>
      <c r="AK17" s="73"/>
      <c r="AL17" s="73"/>
      <c r="AM17" s="73"/>
      <c r="AN17" s="73"/>
      <c r="AO17" s="73"/>
    </row>
    <row r="18" spans="1:41" ht="18.649999999999999" hidden="1" customHeight="1" thickBot="1" x14ac:dyDescent="0.4">
      <c r="A18" s="79"/>
      <c r="B18" s="79"/>
      <c r="C18" s="737"/>
      <c r="D18" s="738"/>
      <c r="E18" s="738"/>
      <c r="F18" s="738"/>
      <c r="G18" s="738"/>
      <c r="H18" s="738"/>
      <c r="I18" s="739"/>
      <c r="J18" s="737"/>
      <c r="K18" s="738"/>
      <c r="L18" s="738"/>
      <c r="M18" s="738"/>
      <c r="N18" s="738"/>
      <c r="O18" s="738"/>
      <c r="P18" s="738"/>
      <c r="Q18" s="738"/>
      <c r="R18" s="738"/>
      <c r="S18" s="738"/>
      <c r="T18" s="738"/>
      <c r="U18" s="738"/>
      <c r="V18" s="738"/>
      <c r="W18" s="738"/>
      <c r="X18" s="738"/>
      <c r="Y18" s="738"/>
      <c r="Z18" s="738"/>
      <c r="AA18" s="738"/>
      <c r="AB18" s="738"/>
      <c r="AC18" s="738"/>
      <c r="AD18" s="738"/>
      <c r="AE18" s="738"/>
      <c r="AF18" s="733"/>
      <c r="AG18" s="733"/>
      <c r="AH18" s="73"/>
      <c r="AI18" s="73"/>
      <c r="AJ18" s="73"/>
      <c r="AK18" s="73"/>
      <c r="AL18" s="73"/>
      <c r="AM18" s="73"/>
      <c r="AN18" s="73"/>
      <c r="AO18" s="73"/>
    </row>
    <row r="19" spans="1:41" ht="18.649999999999999" hidden="1" customHeight="1" thickBot="1" x14ac:dyDescent="0.4">
      <c r="A19" s="79"/>
      <c r="B19" s="79"/>
      <c r="C19" s="737"/>
      <c r="D19" s="738"/>
      <c r="E19" s="738"/>
      <c r="F19" s="738"/>
      <c r="G19" s="738"/>
      <c r="H19" s="738"/>
      <c r="I19" s="739"/>
      <c r="J19" s="737"/>
      <c r="K19" s="738"/>
      <c r="L19" s="738"/>
      <c r="M19" s="738"/>
      <c r="N19" s="738"/>
      <c r="O19" s="738"/>
      <c r="P19" s="738"/>
      <c r="Q19" s="738"/>
      <c r="R19" s="738"/>
      <c r="S19" s="738"/>
      <c r="T19" s="738"/>
      <c r="U19" s="738"/>
      <c r="V19" s="738"/>
      <c r="W19" s="738"/>
      <c r="X19" s="738"/>
      <c r="Y19" s="738"/>
      <c r="Z19" s="738"/>
      <c r="AA19" s="738"/>
      <c r="AB19" s="738"/>
      <c r="AC19" s="738"/>
      <c r="AD19" s="738"/>
      <c r="AE19" s="738"/>
      <c r="AF19" s="733"/>
      <c r="AG19" s="733"/>
      <c r="AH19" s="73"/>
      <c r="AI19" s="73"/>
      <c r="AJ19" s="73"/>
      <c r="AK19" s="73"/>
      <c r="AL19" s="73"/>
      <c r="AM19" s="73"/>
      <c r="AN19" s="73"/>
      <c r="AO19" s="73"/>
    </row>
    <row r="20" spans="1:41" ht="18.649999999999999" hidden="1" customHeight="1" thickBot="1" x14ac:dyDescent="0.4">
      <c r="A20" s="79"/>
      <c r="B20" s="79"/>
      <c r="C20" s="737"/>
      <c r="D20" s="738"/>
      <c r="E20" s="738"/>
      <c r="F20" s="738"/>
      <c r="G20" s="738"/>
      <c r="H20" s="738"/>
      <c r="I20" s="739"/>
      <c r="J20" s="737"/>
      <c r="K20" s="738"/>
      <c r="L20" s="738"/>
      <c r="M20" s="738"/>
      <c r="N20" s="738"/>
      <c r="O20" s="738"/>
      <c r="P20" s="738"/>
      <c r="Q20" s="738"/>
      <c r="R20" s="738"/>
      <c r="S20" s="738"/>
      <c r="T20" s="738"/>
      <c r="U20" s="738"/>
      <c r="V20" s="738"/>
      <c r="W20" s="738"/>
      <c r="X20" s="738"/>
      <c r="Y20" s="738"/>
      <c r="Z20" s="738"/>
      <c r="AA20" s="738"/>
      <c r="AB20" s="738"/>
      <c r="AC20" s="738"/>
      <c r="AD20" s="738"/>
      <c r="AE20" s="738"/>
      <c r="AF20" s="733"/>
      <c r="AG20" s="733"/>
      <c r="AH20" s="73"/>
      <c r="AI20" s="73"/>
      <c r="AJ20" s="73"/>
      <c r="AK20" s="73"/>
      <c r="AL20" s="73"/>
      <c r="AM20" s="73"/>
      <c r="AN20" s="73"/>
      <c r="AO20" s="73"/>
    </row>
    <row r="21" spans="1:41" ht="18.649999999999999" hidden="1" customHeight="1" thickBot="1" x14ac:dyDescent="0.4">
      <c r="A21" s="79"/>
      <c r="B21" s="79"/>
      <c r="C21" s="737"/>
      <c r="D21" s="738"/>
      <c r="E21" s="738"/>
      <c r="F21" s="738"/>
      <c r="G21" s="738"/>
      <c r="H21" s="738"/>
      <c r="I21" s="739"/>
      <c r="J21" s="737"/>
      <c r="K21" s="738"/>
      <c r="L21" s="738"/>
      <c r="M21" s="738"/>
      <c r="N21" s="738"/>
      <c r="O21" s="738"/>
      <c r="P21" s="738"/>
      <c r="Q21" s="738"/>
      <c r="R21" s="738"/>
      <c r="S21" s="738"/>
      <c r="T21" s="738"/>
      <c r="U21" s="738"/>
      <c r="V21" s="738"/>
      <c r="W21" s="738"/>
      <c r="X21" s="738"/>
      <c r="Y21" s="738"/>
      <c r="Z21" s="738"/>
      <c r="AA21" s="738"/>
      <c r="AB21" s="738"/>
      <c r="AC21" s="738"/>
      <c r="AD21" s="738"/>
      <c r="AE21" s="738"/>
      <c r="AF21" s="733"/>
      <c r="AG21" s="733"/>
      <c r="AH21" s="73"/>
      <c r="AI21" s="73"/>
      <c r="AJ21" s="73"/>
      <c r="AK21" s="73"/>
      <c r="AL21" s="73"/>
      <c r="AM21" s="73"/>
      <c r="AN21" s="73"/>
      <c r="AO21" s="73"/>
    </row>
    <row r="22" spans="1:41" ht="18.649999999999999" hidden="1" customHeight="1" thickBot="1" x14ac:dyDescent="0.4">
      <c r="A22" s="79"/>
      <c r="B22" s="79"/>
      <c r="C22" s="737"/>
      <c r="D22" s="738"/>
      <c r="E22" s="738"/>
      <c r="F22" s="738"/>
      <c r="G22" s="738"/>
      <c r="H22" s="738"/>
      <c r="I22" s="739"/>
      <c r="J22" s="737"/>
      <c r="K22" s="738"/>
      <c r="L22" s="738"/>
      <c r="M22" s="738"/>
      <c r="N22" s="738"/>
      <c r="O22" s="738"/>
      <c r="P22" s="738"/>
      <c r="Q22" s="738"/>
      <c r="R22" s="738"/>
      <c r="S22" s="738"/>
      <c r="T22" s="738"/>
      <c r="U22" s="738"/>
      <c r="V22" s="738"/>
      <c r="W22" s="738"/>
      <c r="X22" s="738"/>
      <c r="Y22" s="738"/>
      <c r="Z22" s="738"/>
      <c r="AA22" s="738"/>
      <c r="AB22" s="738"/>
      <c r="AC22" s="738"/>
      <c r="AD22" s="738"/>
      <c r="AE22" s="738"/>
      <c r="AF22" s="733"/>
      <c r="AG22" s="733"/>
      <c r="AH22" s="73"/>
      <c r="AI22" s="73"/>
      <c r="AJ22" s="73"/>
      <c r="AK22" s="73"/>
      <c r="AL22" s="73"/>
      <c r="AM22" s="73"/>
      <c r="AN22" s="73"/>
      <c r="AO22" s="73"/>
    </row>
    <row r="23" spans="1:41" ht="18.649999999999999" hidden="1" customHeight="1" thickBot="1" x14ac:dyDescent="0.4">
      <c r="A23" s="79"/>
      <c r="B23" s="79"/>
      <c r="C23" s="737"/>
      <c r="D23" s="738"/>
      <c r="E23" s="738"/>
      <c r="F23" s="738"/>
      <c r="G23" s="738"/>
      <c r="H23" s="738"/>
      <c r="I23" s="739"/>
      <c r="J23" s="737"/>
      <c r="K23" s="738"/>
      <c r="L23" s="738"/>
      <c r="M23" s="738"/>
      <c r="N23" s="738"/>
      <c r="O23" s="738"/>
      <c r="P23" s="738"/>
      <c r="Q23" s="738"/>
      <c r="R23" s="738"/>
      <c r="S23" s="738"/>
      <c r="T23" s="738"/>
      <c r="U23" s="738"/>
      <c r="V23" s="738"/>
      <c r="W23" s="738"/>
      <c r="X23" s="738"/>
      <c r="Y23" s="738"/>
      <c r="Z23" s="738"/>
      <c r="AA23" s="738"/>
      <c r="AB23" s="738"/>
      <c r="AC23" s="738"/>
      <c r="AD23" s="738"/>
      <c r="AE23" s="738"/>
      <c r="AF23" s="733"/>
      <c r="AG23" s="733"/>
      <c r="AH23" s="73"/>
      <c r="AI23" s="73"/>
      <c r="AJ23" s="73"/>
      <c r="AK23" s="73"/>
      <c r="AL23" s="73"/>
      <c r="AM23" s="73"/>
      <c r="AN23" s="73"/>
      <c r="AO23" s="73"/>
    </row>
    <row r="24" spans="1:41" ht="18.649999999999999" hidden="1" customHeight="1" thickBot="1" x14ac:dyDescent="0.4">
      <c r="A24" s="79"/>
      <c r="B24" s="79"/>
      <c r="C24" s="737"/>
      <c r="D24" s="738"/>
      <c r="E24" s="738"/>
      <c r="F24" s="738"/>
      <c r="G24" s="738"/>
      <c r="H24" s="738"/>
      <c r="I24" s="739"/>
      <c r="J24" s="737"/>
      <c r="K24" s="738"/>
      <c r="L24" s="738"/>
      <c r="M24" s="738"/>
      <c r="N24" s="738"/>
      <c r="O24" s="738"/>
      <c r="P24" s="738"/>
      <c r="Q24" s="738"/>
      <c r="R24" s="738"/>
      <c r="S24" s="738"/>
      <c r="T24" s="738"/>
      <c r="U24" s="738"/>
      <c r="V24" s="738"/>
      <c r="W24" s="738"/>
      <c r="X24" s="738"/>
      <c r="Y24" s="738"/>
      <c r="Z24" s="738"/>
      <c r="AA24" s="738"/>
      <c r="AB24" s="738"/>
      <c r="AC24" s="738"/>
      <c r="AD24" s="738"/>
      <c r="AE24" s="738"/>
      <c r="AF24" s="733"/>
      <c r="AG24" s="733"/>
      <c r="AH24" s="73"/>
      <c r="AI24" s="73"/>
      <c r="AJ24" s="73"/>
      <c r="AK24" s="73"/>
      <c r="AL24" s="73"/>
      <c r="AM24" s="73"/>
      <c r="AN24" s="73"/>
      <c r="AO24" s="73"/>
    </row>
    <row r="25" spans="1:41" ht="18.649999999999999" hidden="1" customHeight="1" thickBot="1" x14ac:dyDescent="0.4">
      <c r="A25" s="79"/>
      <c r="B25" s="79"/>
      <c r="C25" s="737"/>
      <c r="D25" s="738"/>
      <c r="E25" s="738"/>
      <c r="F25" s="738"/>
      <c r="G25" s="738"/>
      <c r="H25" s="738"/>
      <c r="I25" s="739"/>
      <c r="J25" s="737"/>
      <c r="K25" s="738"/>
      <c r="L25" s="738"/>
      <c r="M25" s="738"/>
      <c r="N25" s="738"/>
      <c r="O25" s="738"/>
      <c r="P25" s="738"/>
      <c r="Q25" s="738"/>
      <c r="R25" s="738"/>
      <c r="S25" s="738"/>
      <c r="T25" s="738"/>
      <c r="U25" s="738"/>
      <c r="V25" s="738"/>
      <c r="W25" s="738"/>
      <c r="X25" s="738"/>
      <c r="Y25" s="738"/>
      <c r="Z25" s="738"/>
      <c r="AA25" s="738"/>
      <c r="AB25" s="738"/>
      <c r="AC25" s="738"/>
      <c r="AD25" s="738"/>
      <c r="AE25" s="738"/>
      <c r="AF25" s="733"/>
      <c r="AG25" s="733"/>
      <c r="AH25" s="73"/>
      <c r="AI25" s="73"/>
      <c r="AJ25" s="73"/>
      <c r="AK25" s="73"/>
      <c r="AL25" s="73"/>
      <c r="AM25" s="73"/>
      <c r="AN25" s="73"/>
      <c r="AO25" s="73"/>
    </row>
    <row r="26" spans="1:41" ht="18.649999999999999" hidden="1" customHeight="1" thickBot="1" x14ac:dyDescent="0.4">
      <c r="A26" s="79"/>
      <c r="B26" s="79"/>
      <c r="C26" s="737"/>
      <c r="D26" s="738"/>
      <c r="E26" s="738"/>
      <c r="F26" s="738"/>
      <c r="G26" s="738"/>
      <c r="H26" s="738"/>
      <c r="I26" s="739"/>
      <c r="J26" s="737"/>
      <c r="K26" s="738"/>
      <c r="L26" s="738"/>
      <c r="M26" s="738"/>
      <c r="N26" s="738"/>
      <c r="O26" s="738"/>
      <c r="P26" s="738"/>
      <c r="Q26" s="738"/>
      <c r="R26" s="738"/>
      <c r="S26" s="738"/>
      <c r="T26" s="738"/>
      <c r="U26" s="738"/>
      <c r="V26" s="738"/>
      <c r="W26" s="738"/>
      <c r="X26" s="738"/>
      <c r="Y26" s="738"/>
      <c r="Z26" s="738"/>
      <c r="AA26" s="738"/>
      <c r="AB26" s="738"/>
      <c r="AC26" s="738"/>
      <c r="AD26" s="738"/>
      <c r="AE26" s="738"/>
      <c r="AF26" s="733"/>
      <c r="AG26" s="733"/>
      <c r="AH26" s="73"/>
      <c r="AI26" s="73"/>
      <c r="AJ26" s="73"/>
      <c r="AK26" s="73"/>
      <c r="AL26" s="73"/>
      <c r="AM26" s="73"/>
      <c r="AN26" s="73"/>
      <c r="AO26" s="73"/>
    </row>
    <row r="27" spans="1:41" ht="18.649999999999999" hidden="1" customHeight="1" thickBot="1" x14ac:dyDescent="0.4">
      <c r="A27" s="732"/>
      <c r="B27" s="752"/>
      <c r="C27" s="737"/>
      <c r="D27" s="738"/>
      <c r="E27" s="738"/>
      <c r="F27" s="738"/>
      <c r="G27" s="738"/>
      <c r="H27" s="738"/>
      <c r="I27" s="739"/>
      <c r="J27" s="737"/>
      <c r="K27" s="738"/>
      <c r="L27" s="738"/>
      <c r="M27" s="738"/>
      <c r="N27" s="738"/>
      <c r="O27" s="738"/>
      <c r="P27" s="738"/>
      <c r="Q27" s="738"/>
      <c r="R27" s="738"/>
      <c r="S27" s="738"/>
      <c r="T27" s="738"/>
      <c r="U27" s="738"/>
      <c r="V27" s="738"/>
      <c r="W27" s="738"/>
      <c r="X27" s="738"/>
      <c r="Y27" s="738"/>
      <c r="Z27" s="738"/>
      <c r="AA27" s="738"/>
      <c r="AB27" s="738"/>
      <c r="AC27" s="738"/>
      <c r="AD27" s="738"/>
      <c r="AE27" s="738"/>
      <c r="AF27" s="733"/>
      <c r="AG27" s="733"/>
      <c r="AH27" s="73"/>
      <c r="AI27" s="73"/>
      <c r="AJ27" s="73"/>
      <c r="AK27" s="73"/>
      <c r="AL27" s="73"/>
      <c r="AM27" s="73"/>
      <c r="AN27" s="73"/>
      <c r="AO27" s="73"/>
    </row>
    <row r="28" spans="1:41" ht="18.649999999999999" hidden="1" customHeight="1" thickBot="1" x14ac:dyDescent="0.4">
      <c r="A28" s="732"/>
      <c r="B28" s="752"/>
      <c r="C28" s="737"/>
      <c r="D28" s="738"/>
      <c r="E28" s="738"/>
      <c r="F28" s="738"/>
      <c r="G28" s="738"/>
      <c r="H28" s="738"/>
      <c r="I28" s="739"/>
      <c r="J28" s="737"/>
      <c r="K28" s="738"/>
      <c r="L28" s="738"/>
      <c r="M28" s="738"/>
      <c r="N28" s="738"/>
      <c r="O28" s="738"/>
      <c r="P28" s="738"/>
      <c r="Q28" s="738"/>
      <c r="R28" s="738"/>
      <c r="S28" s="738"/>
      <c r="T28" s="738"/>
      <c r="U28" s="738"/>
      <c r="V28" s="738"/>
      <c r="W28" s="738"/>
      <c r="X28" s="738"/>
      <c r="Y28" s="738"/>
      <c r="Z28" s="738"/>
      <c r="AA28" s="738"/>
      <c r="AB28" s="738"/>
      <c r="AC28" s="738"/>
      <c r="AD28" s="738"/>
      <c r="AE28" s="738"/>
      <c r="AF28" s="733"/>
      <c r="AG28" s="733"/>
      <c r="AH28" s="73"/>
      <c r="AI28" s="73"/>
      <c r="AJ28" s="73"/>
      <c r="AK28" s="73"/>
      <c r="AL28" s="73"/>
      <c r="AM28" s="73"/>
      <c r="AN28" s="73"/>
      <c r="AO28" s="73"/>
    </row>
    <row r="29" spans="1:41" ht="18.649999999999999" hidden="1" customHeight="1" thickBot="1" x14ac:dyDescent="0.4">
      <c r="A29" s="732"/>
      <c r="B29" s="752"/>
      <c r="C29" s="737"/>
      <c r="D29" s="738"/>
      <c r="E29" s="738"/>
      <c r="F29" s="738"/>
      <c r="G29" s="738"/>
      <c r="H29" s="738"/>
      <c r="I29" s="739"/>
      <c r="J29" s="737"/>
      <c r="K29" s="738"/>
      <c r="L29" s="738"/>
      <c r="M29" s="738"/>
      <c r="N29" s="738"/>
      <c r="O29" s="738"/>
      <c r="P29" s="738"/>
      <c r="Q29" s="738"/>
      <c r="R29" s="738"/>
      <c r="S29" s="738"/>
      <c r="T29" s="738"/>
      <c r="U29" s="738"/>
      <c r="V29" s="738"/>
      <c r="W29" s="738"/>
      <c r="X29" s="738"/>
      <c r="Y29" s="738"/>
      <c r="Z29" s="738"/>
      <c r="AA29" s="738"/>
      <c r="AB29" s="738"/>
      <c r="AC29" s="738"/>
      <c r="AD29" s="738"/>
      <c r="AE29" s="738"/>
      <c r="AF29" s="733"/>
      <c r="AG29" s="733"/>
      <c r="AH29" s="73"/>
      <c r="AI29" s="73"/>
      <c r="AJ29" s="73"/>
      <c r="AK29" s="73"/>
      <c r="AL29" s="73"/>
      <c r="AM29" s="73"/>
      <c r="AN29" s="73"/>
      <c r="AO29" s="73"/>
    </row>
    <row r="30" spans="1:41" ht="18.649999999999999" hidden="1" customHeight="1" thickBot="1" x14ac:dyDescent="0.4">
      <c r="A30" s="732"/>
      <c r="B30" s="752"/>
      <c r="C30" s="737"/>
      <c r="D30" s="738"/>
      <c r="E30" s="738"/>
      <c r="F30" s="738"/>
      <c r="G30" s="738"/>
      <c r="H30" s="738"/>
      <c r="I30" s="739"/>
      <c r="J30" s="737"/>
      <c r="K30" s="738"/>
      <c r="L30" s="738"/>
      <c r="M30" s="738"/>
      <c r="N30" s="738"/>
      <c r="O30" s="738"/>
      <c r="P30" s="738"/>
      <c r="Q30" s="738"/>
      <c r="R30" s="738"/>
      <c r="S30" s="738"/>
      <c r="T30" s="738"/>
      <c r="U30" s="738"/>
      <c r="V30" s="738"/>
      <c r="W30" s="738"/>
      <c r="X30" s="738"/>
      <c r="Y30" s="738"/>
      <c r="Z30" s="738"/>
      <c r="AA30" s="738"/>
      <c r="AB30" s="738"/>
      <c r="AC30" s="738"/>
      <c r="AD30" s="738"/>
      <c r="AE30" s="738"/>
      <c r="AF30" s="733"/>
      <c r="AG30" s="733"/>
      <c r="AH30" s="73"/>
      <c r="AI30" s="73"/>
      <c r="AJ30" s="73"/>
      <c r="AK30" s="73"/>
      <c r="AL30" s="73"/>
      <c r="AM30" s="73"/>
      <c r="AN30" s="73"/>
      <c r="AO30" s="73"/>
    </row>
    <row r="31" spans="1:41" ht="18.649999999999999" hidden="1" customHeight="1" thickBot="1" x14ac:dyDescent="0.4">
      <c r="A31" s="732"/>
      <c r="B31" s="752"/>
      <c r="C31" s="737"/>
      <c r="D31" s="738"/>
      <c r="E31" s="738"/>
      <c r="F31" s="738"/>
      <c r="G31" s="738"/>
      <c r="H31" s="738"/>
      <c r="I31" s="739"/>
      <c r="J31" s="737"/>
      <c r="K31" s="738"/>
      <c r="L31" s="738"/>
      <c r="M31" s="738"/>
      <c r="N31" s="738"/>
      <c r="O31" s="738"/>
      <c r="P31" s="738"/>
      <c r="Q31" s="738"/>
      <c r="R31" s="738"/>
      <c r="S31" s="738"/>
      <c r="T31" s="738"/>
      <c r="U31" s="738"/>
      <c r="V31" s="738"/>
      <c r="W31" s="738"/>
      <c r="X31" s="738"/>
      <c r="Y31" s="738"/>
      <c r="Z31" s="738"/>
      <c r="AA31" s="738"/>
      <c r="AB31" s="738"/>
      <c r="AC31" s="738"/>
      <c r="AD31" s="738"/>
      <c r="AE31" s="738"/>
      <c r="AF31" s="733"/>
      <c r="AG31" s="733"/>
      <c r="AH31" s="73"/>
      <c r="AI31" s="73"/>
      <c r="AJ31" s="73"/>
      <c r="AK31" s="73"/>
      <c r="AL31" s="73"/>
      <c r="AM31" s="73"/>
      <c r="AN31" s="73"/>
      <c r="AO31" s="73"/>
    </row>
    <row r="32" spans="1:41" ht="18.649999999999999" hidden="1" customHeight="1" thickBot="1" x14ac:dyDescent="0.4">
      <c r="A32" s="732"/>
      <c r="B32" s="752"/>
      <c r="C32" s="737"/>
      <c r="D32" s="738"/>
      <c r="E32" s="738"/>
      <c r="F32" s="738"/>
      <c r="G32" s="738"/>
      <c r="H32" s="738"/>
      <c r="I32" s="739"/>
      <c r="J32" s="737"/>
      <c r="K32" s="738"/>
      <c r="L32" s="738"/>
      <c r="M32" s="738"/>
      <c r="N32" s="738"/>
      <c r="O32" s="738"/>
      <c r="P32" s="738"/>
      <c r="Q32" s="738"/>
      <c r="R32" s="738"/>
      <c r="S32" s="738"/>
      <c r="T32" s="738"/>
      <c r="U32" s="738"/>
      <c r="V32" s="738"/>
      <c r="W32" s="738"/>
      <c r="X32" s="738"/>
      <c r="Y32" s="738"/>
      <c r="Z32" s="738"/>
      <c r="AA32" s="738"/>
      <c r="AB32" s="738"/>
      <c r="AC32" s="738"/>
      <c r="AD32" s="738"/>
      <c r="AE32" s="738"/>
      <c r="AF32" s="733"/>
      <c r="AG32" s="733"/>
      <c r="AH32" s="73"/>
      <c r="AI32" s="73"/>
      <c r="AJ32" s="73"/>
      <c r="AK32" s="73"/>
      <c r="AL32" s="73"/>
      <c r="AM32" s="73"/>
      <c r="AN32" s="73"/>
      <c r="AO32" s="73"/>
    </row>
    <row r="33" spans="1:41" ht="18.649999999999999" hidden="1" customHeight="1" thickBot="1" x14ac:dyDescent="0.4">
      <c r="A33" s="732"/>
      <c r="B33" s="752"/>
      <c r="C33" s="737"/>
      <c r="D33" s="738"/>
      <c r="E33" s="738"/>
      <c r="F33" s="738"/>
      <c r="G33" s="738"/>
      <c r="H33" s="738"/>
      <c r="I33" s="739"/>
      <c r="J33" s="737"/>
      <c r="K33" s="738"/>
      <c r="L33" s="738"/>
      <c r="M33" s="738"/>
      <c r="N33" s="738"/>
      <c r="O33" s="738"/>
      <c r="P33" s="738"/>
      <c r="Q33" s="738"/>
      <c r="R33" s="738"/>
      <c r="S33" s="738"/>
      <c r="T33" s="738"/>
      <c r="U33" s="738"/>
      <c r="V33" s="738"/>
      <c r="W33" s="738"/>
      <c r="X33" s="738"/>
      <c r="Y33" s="738"/>
      <c r="Z33" s="738"/>
      <c r="AA33" s="738"/>
      <c r="AB33" s="738"/>
      <c r="AC33" s="738"/>
      <c r="AD33" s="738"/>
      <c r="AE33" s="738"/>
      <c r="AF33" s="733"/>
      <c r="AG33" s="733"/>
      <c r="AH33" s="73"/>
      <c r="AI33" s="73"/>
      <c r="AJ33" s="73"/>
      <c r="AK33" s="73"/>
      <c r="AL33" s="73"/>
      <c r="AM33" s="73"/>
      <c r="AN33" s="73"/>
      <c r="AO33" s="73"/>
    </row>
    <row r="34" spans="1:41" ht="18.649999999999999" hidden="1" customHeight="1" thickBot="1" x14ac:dyDescent="0.4">
      <c r="A34" s="732"/>
      <c r="B34" s="752"/>
      <c r="C34" s="737"/>
      <c r="D34" s="738"/>
      <c r="E34" s="738"/>
      <c r="F34" s="738"/>
      <c r="G34" s="738"/>
      <c r="H34" s="738"/>
      <c r="I34" s="739"/>
      <c r="J34" s="737"/>
      <c r="K34" s="738"/>
      <c r="L34" s="738"/>
      <c r="M34" s="738"/>
      <c r="N34" s="738"/>
      <c r="O34" s="738"/>
      <c r="P34" s="738"/>
      <c r="Q34" s="738"/>
      <c r="R34" s="738"/>
      <c r="S34" s="738"/>
      <c r="T34" s="738"/>
      <c r="U34" s="738"/>
      <c r="V34" s="738"/>
      <c r="W34" s="738"/>
      <c r="X34" s="738"/>
      <c r="Y34" s="738"/>
      <c r="Z34" s="738"/>
      <c r="AA34" s="738"/>
      <c r="AB34" s="738"/>
      <c r="AC34" s="738"/>
      <c r="AD34" s="738"/>
      <c r="AE34" s="738"/>
      <c r="AF34" s="733"/>
      <c r="AG34" s="733"/>
      <c r="AH34" s="73"/>
      <c r="AI34" s="73"/>
      <c r="AJ34" s="73"/>
      <c r="AK34" s="73"/>
      <c r="AL34" s="73"/>
      <c r="AM34" s="73"/>
      <c r="AN34" s="73"/>
      <c r="AO34" s="73"/>
    </row>
    <row r="35" spans="1:41" ht="18.649999999999999" hidden="1" customHeight="1" thickBot="1" x14ac:dyDescent="0.4">
      <c r="A35" s="732"/>
      <c r="B35" s="752"/>
      <c r="C35" s="737"/>
      <c r="D35" s="738"/>
      <c r="E35" s="738"/>
      <c r="F35" s="738"/>
      <c r="G35" s="738"/>
      <c r="H35" s="738"/>
      <c r="I35" s="739"/>
      <c r="J35" s="737"/>
      <c r="K35" s="738"/>
      <c r="L35" s="738"/>
      <c r="M35" s="738"/>
      <c r="N35" s="738"/>
      <c r="O35" s="738"/>
      <c r="P35" s="738"/>
      <c r="Q35" s="738"/>
      <c r="R35" s="738"/>
      <c r="S35" s="738"/>
      <c r="T35" s="738"/>
      <c r="U35" s="738"/>
      <c r="V35" s="738"/>
      <c r="W35" s="738"/>
      <c r="X35" s="738"/>
      <c r="Y35" s="738"/>
      <c r="Z35" s="738"/>
      <c r="AA35" s="738"/>
      <c r="AB35" s="738"/>
      <c r="AC35" s="738"/>
      <c r="AD35" s="738"/>
      <c r="AE35" s="738"/>
      <c r="AF35" s="733"/>
      <c r="AG35" s="733"/>
      <c r="AH35" s="73"/>
      <c r="AI35" s="73"/>
      <c r="AJ35" s="73"/>
      <c r="AK35" s="73"/>
      <c r="AL35" s="73"/>
      <c r="AM35" s="73"/>
      <c r="AN35" s="73"/>
      <c r="AO35" s="73"/>
    </row>
    <row r="36" spans="1:41" ht="18.649999999999999" hidden="1" customHeight="1" thickBot="1" x14ac:dyDescent="0.4">
      <c r="A36" s="732"/>
      <c r="B36" s="752"/>
      <c r="C36" s="737"/>
      <c r="D36" s="738"/>
      <c r="E36" s="738"/>
      <c r="F36" s="738"/>
      <c r="G36" s="738"/>
      <c r="H36" s="738"/>
      <c r="I36" s="739"/>
      <c r="J36" s="737"/>
      <c r="K36" s="738"/>
      <c r="L36" s="738"/>
      <c r="M36" s="738"/>
      <c r="N36" s="738"/>
      <c r="O36" s="738"/>
      <c r="P36" s="738"/>
      <c r="Q36" s="738"/>
      <c r="R36" s="738"/>
      <c r="S36" s="738"/>
      <c r="T36" s="738"/>
      <c r="U36" s="738"/>
      <c r="V36" s="738"/>
      <c r="W36" s="738"/>
      <c r="X36" s="738"/>
      <c r="Y36" s="738"/>
      <c r="Z36" s="738"/>
      <c r="AA36" s="738"/>
      <c r="AB36" s="738"/>
      <c r="AC36" s="738"/>
      <c r="AD36" s="738"/>
      <c r="AE36" s="738"/>
      <c r="AF36" s="733"/>
      <c r="AG36" s="733"/>
      <c r="AH36" s="73"/>
      <c r="AI36" s="73"/>
      <c r="AJ36" s="73"/>
      <c r="AK36" s="73"/>
      <c r="AL36" s="73"/>
      <c r="AM36" s="73"/>
      <c r="AN36" s="73"/>
      <c r="AO36" s="73"/>
    </row>
    <row r="37" spans="1:41" ht="40.4" hidden="1" customHeight="1" thickBot="1" x14ac:dyDescent="0.4">
      <c r="A37" s="733"/>
      <c r="B37" s="752"/>
      <c r="C37" s="737"/>
      <c r="D37" s="738"/>
      <c r="E37" s="738"/>
      <c r="F37" s="738"/>
      <c r="G37" s="738"/>
      <c r="H37" s="738"/>
      <c r="I37" s="739"/>
      <c r="J37" s="737"/>
      <c r="K37" s="738"/>
      <c r="L37" s="738"/>
      <c r="M37" s="738"/>
      <c r="N37" s="738"/>
      <c r="O37" s="738"/>
      <c r="P37" s="738"/>
      <c r="Q37" s="738"/>
      <c r="R37" s="738"/>
      <c r="S37" s="738"/>
      <c r="T37" s="738"/>
      <c r="U37" s="738"/>
      <c r="V37" s="738"/>
      <c r="W37" s="738"/>
      <c r="X37" s="738"/>
      <c r="Y37" s="738"/>
      <c r="Z37" s="738"/>
      <c r="AA37" s="738"/>
      <c r="AB37" s="738"/>
      <c r="AC37" s="738"/>
      <c r="AD37" s="738"/>
      <c r="AE37" s="738"/>
      <c r="AF37" s="733"/>
      <c r="AG37" s="733"/>
      <c r="AH37" s="753" t="s">
        <v>361</v>
      </c>
      <c r="AI37" s="753"/>
      <c r="AJ37" s="753" t="s">
        <v>362</v>
      </c>
      <c r="AK37" s="753"/>
      <c r="AL37" s="753" t="s">
        <v>363</v>
      </c>
      <c r="AM37" s="753"/>
      <c r="AN37" s="73"/>
      <c r="AO37" s="73"/>
    </row>
    <row r="38" spans="1:41" ht="40.4" customHeight="1" thickBot="1" x14ac:dyDescent="0.4">
      <c r="A38" s="267"/>
      <c r="B38" s="267"/>
      <c r="C38" s="268"/>
      <c r="D38" s="723" t="s">
        <v>47</v>
      </c>
      <c r="E38" s="723"/>
      <c r="F38" s="723"/>
      <c r="G38" s="723"/>
      <c r="H38" s="723"/>
      <c r="I38" s="724"/>
      <c r="J38" s="725" t="s">
        <v>820</v>
      </c>
      <c r="K38" s="726"/>
      <c r="L38" s="726"/>
      <c r="M38" s="726"/>
      <c r="N38" s="726"/>
      <c r="O38" s="726"/>
      <c r="P38" s="726"/>
      <c r="Q38" s="726"/>
      <c r="R38" s="726"/>
      <c r="S38" s="726"/>
      <c r="T38" s="726"/>
      <c r="U38" s="726"/>
      <c r="V38" s="726"/>
      <c r="W38" s="726"/>
      <c r="X38" s="726"/>
      <c r="Y38" s="726"/>
      <c r="Z38" s="726"/>
      <c r="AA38" s="726"/>
      <c r="AB38" s="726"/>
      <c r="AC38" s="726"/>
      <c r="AD38" s="726"/>
      <c r="AE38" s="726"/>
      <c r="AF38" s="73"/>
      <c r="AG38" s="73"/>
      <c r="AH38" s="131"/>
      <c r="AI38" s="131"/>
      <c r="AJ38" s="185"/>
      <c r="AK38" s="185"/>
      <c r="AL38" s="185"/>
      <c r="AM38" s="185"/>
      <c r="AN38" s="73"/>
      <c r="AO38" s="73"/>
    </row>
    <row r="39" spans="1:41" ht="50.15" customHeight="1" thickBot="1" x14ac:dyDescent="0.4">
      <c r="A39" s="754"/>
      <c r="B39" s="754"/>
      <c r="C39" s="269" t="s">
        <v>364</v>
      </c>
      <c r="D39" s="270" t="s">
        <v>50</v>
      </c>
      <c r="E39" s="270" t="s">
        <v>51</v>
      </c>
      <c r="F39" s="270" t="s">
        <v>52</v>
      </c>
      <c r="G39" s="270" t="s">
        <v>53</v>
      </c>
      <c r="H39" s="270" t="s">
        <v>54</v>
      </c>
      <c r="I39" s="271" t="s">
        <v>365</v>
      </c>
      <c r="J39" s="272" t="s">
        <v>55</v>
      </c>
      <c r="K39" s="273" t="s">
        <v>268</v>
      </c>
      <c r="L39" s="273" t="s">
        <v>366</v>
      </c>
      <c r="M39" s="273" t="s">
        <v>59</v>
      </c>
      <c r="N39" s="273" t="s">
        <v>60</v>
      </c>
      <c r="O39" s="273" t="s">
        <v>62</v>
      </c>
      <c r="P39" s="273" t="s">
        <v>63</v>
      </c>
      <c r="Q39" s="273" t="s">
        <v>367</v>
      </c>
      <c r="R39" s="274" t="s">
        <v>368</v>
      </c>
      <c r="S39" s="275" t="s">
        <v>369</v>
      </c>
      <c r="T39" s="273" t="s">
        <v>370</v>
      </c>
      <c r="U39" s="276" t="s">
        <v>371</v>
      </c>
      <c r="V39" s="277" t="s">
        <v>372</v>
      </c>
      <c r="W39" s="278" t="s">
        <v>373</v>
      </c>
      <c r="X39" s="279" t="s">
        <v>374</v>
      </c>
      <c r="Y39" s="280" t="s">
        <v>375</v>
      </c>
      <c r="Z39" s="281" t="s">
        <v>376</v>
      </c>
      <c r="AA39" s="282" t="s">
        <v>377</v>
      </c>
      <c r="AB39" s="283" t="s">
        <v>378</v>
      </c>
      <c r="AC39" s="284" t="s">
        <v>379</v>
      </c>
      <c r="AD39" s="276" t="s">
        <v>380</v>
      </c>
      <c r="AE39" s="285" t="s">
        <v>381</v>
      </c>
      <c r="AF39" s="733"/>
      <c r="AG39" s="755"/>
      <c r="AH39" s="138" t="s">
        <v>382</v>
      </c>
      <c r="AI39" s="139" t="s">
        <v>383</v>
      </c>
      <c r="AJ39" s="140" t="s">
        <v>382</v>
      </c>
      <c r="AK39" s="141" t="s">
        <v>383</v>
      </c>
      <c r="AL39" s="140" t="s">
        <v>382</v>
      </c>
      <c r="AM39" s="141" t="s">
        <v>383</v>
      </c>
      <c r="AN39" s="73"/>
      <c r="AO39" s="73"/>
    </row>
    <row r="40" spans="1:41" ht="73.5" customHeight="1" x14ac:dyDescent="0.35">
      <c r="A40" s="733"/>
      <c r="B40" s="733"/>
      <c r="C40" s="756"/>
      <c r="D40" s="759">
        <v>1</v>
      </c>
      <c r="E40" s="727" t="s">
        <v>510</v>
      </c>
      <c r="F40" s="727" t="s">
        <v>824</v>
      </c>
      <c r="G40" s="727" t="s">
        <v>533</v>
      </c>
      <c r="H40" s="727" t="s">
        <v>560</v>
      </c>
      <c r="I40" s="761" t="s">
        <v>1984</v>
      </c>
      <c r="J40" s="762" t="s">
        <v>384</v>
      </c>
      <c r="K40" s="795" t="s">
        <v>385</v>
      </c>
      <c r="L40" s="796" t="s">
        <v>386</v>
      </c>
      <c r="M40" s="797" t="s">
        <v>387</v>
      </c>
      <c r="N40" s="786" t="s">
        <v>152</v>
      </c>
      <c r="O40" s="764">
        <v>45660</v>
      </c>
      <c r="P40" s="766">
        <v>45900</v>
      </c>
      <c r="Q40" s="94" t="s">
        <v>91</v>
      </c>
      <c r="R40" s="787">
        <v>0.25</v>
      </c>
      <c r="S40" s="126">
        <v>0.35</v>
      </c>
      <c r="T40" s="152">
        <v>0.35</v>
      </c>
      <c r="U40" s="166">
        <v>0.3</v>
      </c>
      <c r="V40" s="905" t="e">
        <f>($R$40*S41)+($R$42*S43)+(#REF!*#REF!)+($R$44*S45)</f>
        <v>#REF!</v>
      </c>
      <c r="W40" s="800" t="e">
        <f>($R$40*$S40)+($R$42*$S42)+(#REF!*#REF!)+($R$44*S44)</f>
        <v>#REF!</v>
      </c>
      <c r="X40" s="778" t="s">
        <v>388</v>
      </c>
      <c r="Y40" s="906" t="e">
        <f>($R$40*T41)+($R$42*T43)+(#REF!*#REF!)+($R$44*T45)</f>
        <v>#REF!</v>
      </c>
      <c r="Z40" s="779">
        <v>0.38300000000000001</v>
      </c>
      <c r="AA40" s="781" t="s">
        <v>389</v>
      </c>
      <c r="AB40" s="915" t="e">
        <f>($R$40*U41)+($R$42*U43)+(#REF!*#REF!)+($R$44*U45)</f>
        <v>#REF!</v>
      </c>
      <c r="AC40" s="783">
        <v>0.35799999999999998</v>
      </c>
      <c r="AD40" s="784" t="s">
        <v>390</v>
      </c>
      <c r="AE40" s="791">
        <v>0.2</v>
      </c>
      <c r="AF40" s="733"/>
      <c r="AG40" s="755"/>
      <c r="AH40" s="775" t="e">
        <f>+($R$40*S41)+($R$42*S43)+(#REF!*#REF!)+($R$44*S45)</f>
        <v>#REF!</v>
      </c>
      <c r="AI40" s="768" t="e">
        <f>+W40</f>
        <v>#REF!</v>
      </c>
      <c r="AJ40" s="775" t="e">
        <f>+Y40</f>
        <v>#REF!</v>
      </c>
      <c r="AK40" s="768">
        <f>+Z40</f>
        <v>0.38300000000000001</v>
      </c>
      <c r="AL40" s="775" t="e">
        <f>+AB40</f>
        <v>#REF!</v>
      </c>
      <c r="AM40" s="768">
        <f>+AC40</f>
        <v>0.35799999999999998</v>
      </c>
      <c r="AN40" s="73"/>
      <c r="AO40" s="73"/>
    </row>
    <row r="41" spans="1:41" ht="73.5" customHeight="1" x14ac:dyDescent="0.35">
      <c r="A41" s="733"/>
      <c r="B41" s="733"/>
      <c r="C41" s="757"/>
      <c r="D41" s="760"/>
      <c r="E41" s="730"/>
      <c r="F41" s="730"/>
      <c r="G41" s="730"/>
      <c r="H41" s="730"/>
      <c r="I41" s="761"/>
      <c r="J41" s="763"/>
      <c r="K41" s="676"/>
      <c r="L41" s="774"/>
      <c r="M41" s="798"/>
      <c r="N41" s="774"/>
      <c r="O41" s="765"/>
      <c r="P41" s="767"/>
      <c r="Q41" s="95" t="s">
        <v>96</v>
      </c>
      <c r="R41" s="788"/>
      <c r="S41" s="127">
        <v>0.35</v>
      </c>
      <c r="T41" s="96">
        <v>0.35</v>
      </c>
      <c r="U41" s="97">
        <v>0.3</v>
      </c>
      <c r="V41" s="906"/>
      <c r="W41" s="779"/>
      <c r="X41" s="778"/>
      <c r="Y41" s="906"/>
      <c r="Z41" s="779"/>
      <c r="AA41" s="782"/>
      <c r="AB41" s="906"/>
      <c r="AC41" s="779"/>
      <c r="AD41" s="785"/>
      <c r="AE41" s="792"/>
      <c r="AF41" s="733"/>
      <c r="AG41" s="755"/>
      <c r="AH41" s="776"/>
      <c r="AI41" s="769"/>
      <c r="AJ41" s="776"/>
      <c r="AK41" s="769"/>
      <c r="AL41" s="776"/>
      <c r="AM41" s="769"/>
      <c r="AN41" s="73"/>
      <c r="AO41" s="73"/>
    </row>
    <row r="42" spans="1:41" ht="73.5" customHeight="1" x14ac:dyDescent="0.35">
      <c r="A42" s="733"/>
      <c r="B42" s="733"/>
      <c r="C42" s="757"/>
      <c r="D42" s="771">
        <v>2</v>
      </c>
      <c r="E42" s="727" t="s">
        <v>510</v>
      </c>
      <c r="F42" s="727" t="s">
        <v>824</v>
      </c>
      <c r="G42" s="727" t="s">
        <v>533</v>
      </c>
      <c r="H42" s="727" t="s">
        <v>560</v>
      </c>
      <c r="I42" s="761"/>
      <c r="J42" s="772" t="s">
        <v>384</v>
      </c>
      <c r="K42" s="675" t="s">
        <v>391</v>
      </c>
      <c r="L42" s="773" t="s">
        <v>392</v>
      </c>
      <c r="M42" s="773" t="s">
        <v>387</v>
      </c>
      <c r="N42" s="796" t="s">
        <v>152</v>
      </c>
      <c r="O42" s="764">
        <v>45660</v>
      </c>
      <c r="P42" s="766">
        <v>45900</v>
      </c>
      <c r="Q42" s="94" t="s">
        <v>91</v>
      </c>
      <c r="R42" s="802">
        <v>0.25</v>
      </c>
      <c r="S42" s="128">
        <v>0.34</v>
      </c>
      <c r="T42" s="154">
        <v>0.33</v>
      </c>
      <c r="U42" s="166">
        <v>0.33</v>
      </c>
      <c r="V42" s="906"/>
      <c r="W42" s="779"/>
      <c r="X42" s="778" t="s">
        <v>393</v>
      </c>
      <c r="Y42" s="906"/>
      <c r="Z42" s="779"/>
      <c r="AA42" s="782" t="s">
        <v>394</v>
      </c>
      <c r="AB42" s="906"/>
      <c r="AC42" s="779"/>
      <c r="AD42" s="785" t="s">
        <v>394</v>
      </c>
      <c r="AE42" s="792"/>
      <c r="AF42" s="733"/>
      <c r="AG42" s="755"/>
      <c r="AH42" s="776"/>
      <c r="AI42" s="769"/>
      <c r="AJ42" s="776"/>
      <c r="AK42" s="769"/>
      <c r="AL42" s="776"/>
      <c r="AM42" s="769"/>
      <c r="AN42" s="73"/>
      <c r="AO42" s="73"/>
    </row>
    <row r="43" spans="1:41" ht="73.5" customHeight="1" x14ac:dyDescent="0.35">
      <c r="A43" s="733"/>
      <c r="B43" s="733"/>
      <c r="C43" s="757"/>
      <c r="D43" s="760"/>
      <c r="E43" s="730"/>
      <c r="F43" s="730"/>
      <c r="G43" s="730"/>
      <c r="H43" s="730"/>
      <c r="I43" s="761"/>
      <c r="J43" s="763"/>
      <c r="K43" s="676"/>
      <c r="L43" s="774"/>
      <c r="M43" s="774"/>
      <c r="N43" s="774"/>
      <c r="O43" s="765"/>
      <c r="P43" s="767"/>
      <c r="Q43" s="95" t="s">
        <v>96</v>
      </c>
      <c r="R43" s="788"/>
      <c r="S43" s="127">
        <v>0.34</v>
      </c>
      <c r="T43" s="96">
        <v>0.33</v>
      </c>
      <c r="U43" s="97">
        <v>0.33</v>
      </c>
      <c r="V43" s="906"/>
      <c r="W43" s="779"/>
      <c r="X43" s="778"/>
      <c r="Y43" s="906"/>
      <c r="Z43" s="779"/>
      <c r="AA43" s="782"/>
      <c r="AB43" s="906"/>
      <c r="AC43" s="779"/>
      <c r="AD43" s="785"/>
      <c r="AE43" s="792"/>
      <c r="AF43" s="733"/>
      <c r="AG43" s="755"/>
      <c r="AH43" s="776"/>
      <c r="AI43" s="769"/>
      <c r="AJ43" s="776"/>
      <c r="AK43" s="769"/>
      <c r="AL43" s="776"/>
      <c r="AM43" s="769"/>
      <c r="AN43" s="73"/>
      <c r="AO43" s="73"/>
    </row>
    <row r="44" spans="1:41" ht="73.5" customHeight="1" x14ac:dyDescent="0.35">
      <c r="A44" s="733"/>
      <c r="B44" s="733"/>
      <c r="C44" s="757"/>
      <c r="D44" s="771">
        <v>4</v>
      </c>
      <c r="E44" s="727" t="s">
        <v>510</v>
      </c>
      <c r="F44" s="727" t="s">
        <v>824</v>
      </c>
      <c r="G44" s="727" t="s">
        <v>533</v>
      </c>
      <c r="H44" s="727" t="s">
        <v>560</v>
      </c>
      <c r="I44" s="761"/>
      <c r="J44" s="772" t="s">
        <v>39</v>
      </c>
      <c r="K44" s="675" t="s">
        <v>1985</v>
      </c>
      <c r="L44" s="773" t="s">
        <v>1986</v>
      </c>
      <c r="M44" s="773" t="s">
        <v>857</v>
      </c>
      <c r="N44" s="773">
        <v>0</v>
      </c>
      <c r="O44" s="764">
        <v>45660</v>
      </c>
      <c r="P44" s="766">
        <v>45900</v>
      </c>
      <c r="Q44" s="100" t="s">
        <v>91</v>
      </c>
      <c r="R44" s="789">
        <v>0.25</v>
      </c>
      <c r="S44" s="128">
        <v>0</v>
      </c>
      <c r="T44" s="153">
        <v>0.23</v>
      </c>
      <c r="U44" s="114">
        <v>0.5</v>
      </c>
      <c r="V44" s="906"/>
      <c r="W44" s="779"/>
      <c r="X44" s="778" t="s">
        <v>397</v>
      </c>
      <c r="Y44" s="906"/>
      <c r="Z44" s="779"/>
      <c r="AA44" s="803" t="s">
        <v>398</v>
      </c>
      <c r="AB44" s="906"/>
      <c r="AC44" s="779"/>
      <c r="AD44" s="782" t="s">
        <v>399</v>
      </c>
      <c r="AE44" s="792"/>
      <c r="AF44" s="733"/>
      <c r="AG44" s="755"/>
      <c r="AH44" s="776"/>
      <c r="AI44" s="769"/>
      <c r="AJ44" s="776"/>
      <c r="AK44" s="769"/>
      <c r="AL44" s="776"/>
      <c r="AM44" s="769"/>
      <c r="AN44" s="73"/>
      <c r="AO44" s="73"/>
    </row>
    <row r="45" spans="1:41" ht="198.65" customHeight="1" thickBot="1" x14ac:dyDescent="0.4">
      <c r="A45" s="733"/>
      <c r="B45" s="733"/>
      <c r="C45" s="758"/>
      <c r="D45" s="759"/>
      <c r="E45" s="730"/>
      <c r="F45" s="730"/>
      <c r="G45" s="730"/>
      <c r="H45" s="730"/>
      <c r="I45" s="761"/>
      <c r="J45" s="762"/>
      <c r="K45" s="676"/>
      <c r="L45" s="774"/>
      <c r="M45" s="774"/>
      <c r="N45" s="774"/>
      <c r="O45" s="765"/>
      <c r="P45" s="767"/>
      <c r="Q45" s="102" t="s">
        <v>96</v>
      </c>
      <c r="R45" s="790"/>
      <c r="S45" s="129">
        <v>0</v>
      </c>
      <c r="T45" s="103">
        <v>0.5</v>
      </c>
      <c r="U45" s="104">
        <v>0.5</v>
      </c>
      <c r="V45" s="907"/>
      <c r="W45" s="801"/>
      <c r="X45" s="794"/>
      <c r="Y45" s="914"/>
      <c r="Z45" s="780"/>
      <c r="AA45" s="804"/>
      <c r="AB45" s="914"/>
      <c r="AC45" s="780"/>
      <c r="AD45" s="799"/>
      <c r="AE45" s="793"/>
      <c r="AF45" s="733"/>
      <c r="AG45" s="755"/>
      <c r="AH45" s="777"/>
      <c r="AI45" s="770"/>
      <c r="AJ45" s="777"/>
      <c r="AK45" s="770"/>
      <c r="AL45" s="777"/>
      <c r="AM45" s="770"/>
      <c r="AN45" s="73"/>
      <c r="AO45" s="73"/>
    </row>
    <row r="46" spans="1:41" ht="73.5" customHeight="1" x14ac:dyDescent="0.35">
      <c r="A46" s="805"/>
      <c r="B46" s="805"/>
      <c r="C46" s="194"/>
      <c r="D46" s="771">
        <v>5</v>
      </c>
      <c r="E46" s="727" t="s">
        <v>510</v>
      </c>
      <c r="F46" s="727" t="s">
        <v>824</v>
      </c>
      <c r="G46" s="727" t="s">
        <v>84</v>
      </c>
      <c r="H46" s="727" t="s">
        <v>154</v>
      </c>
      <c r="I46" s="917" t="s">
        <v>1987</v>
      </c>
      <c r="J46" s="772" t="s">
        <v>384</v>
      </c>
      <c r="K46" s="675" t="s">
        <v>395</v>
      </c>
      <c r="L46" s="773" t="s">
        <v>396</v>
      </c>
      <c r="M46" s="773" t="s">
        <v>387</v>
      </c>
      <c r="N46" s="773" t="s">
        <v>152</v>
      </c>
      <c r="O46" s="764">
        <v>45660</v>
      </c>
      <c r="P46" s="766">
        <v>45900</v>
      </c>
      <c r="Q46" s="105" t="s">
        <v>91</v>
      </c>
      <c r="R46" s="815">
        <v>0.125</v>
      </c>
      <c r="S46" s="106">
        <v>1</v>
      </c>
      <c r="T46" s="107">
        <v>0</v>
      </c>
      <c r="U46" s="108">
        <v>0</v>
      </c>
      <c r="V46" s="191"/>
      <c r="W46" s="286"/>
      <c r="X46" s="819" t="s">
        <v>400</v>
      </c>
      <c r="Y46" s="191"/>
      <c r="Z46" s="286"/>
      <c r="AA46" s="818" t="s">
        <v>401</v>
      </c>
      <c r="AB46" s="191"/>
      <c r="AC46" s="286"/>
      <c r="AD46" s="818" t="s">
        <v>401</v>
      </c>
      <c r="AE46" s="287"/>
      <c r="AF46" s="805"/>
      <c r="AG46" s="817"/>
      <c r="AH46" s="196"/>
      <c r="AI46" s="195"/>
      <c r="AJ46" s="196"/>
      <c r="AK46" s="195"/>
      <c r="AL46" s="196"/>
      <c r="AM46" s="195"/>
      <c r="AN46" s="80"/>
      <c r="AO46" s="80"/>
    </row>
    <row r="47" spans="1:41" ht="73.5" customHeight="1" thickBot="1" x14ac:dyDescent="0.4">
      <c r="A47" s="805"/>
      <c r="B47" s="805"/>
      <c r="C47" s="194"/>
      <c r="D47" s="759"/>
      <c r="E47" s="730"/>
      <c r="F47" s="730"/>
      <c r="G47" s="730"/>
      <c r="H47" s="730"/>
      <c r="I47" s="917"/>
      <c r="J47" s="763"/>
      <c r="K47" s="676"/>
      <c r="L47" s="774"/>
      <c r="M47" s="774"/>
      <c r="N47" s="774"/>
      <c r="O47" s="765"/>
      <c r="P47" s="767"/>
      <c r="Q47" s="109" t="s">
        <v>96</v>
      </c>
      <c r="R47" s="816"/>
      <c r="S47" s="110">
        <v>1</v>
      </c>
      <c r="T47" s="98">
        <v>0</v>
      </c>
      <c r="U47" s="99">
        <v>0</v>
      </c>
      <c r="V47" s="191"/>
      <c r="W47" s="286"/>
      <c r="X47" s="820"/>
      <c r="Y47" s="191"/>
      <c r="Z47" s="286"/>
      <c r="AA47" s="782"/>
      <c r="AB47" s="191"/>
      <c r="AC47" s="286"/>
      <c r="AD47" s="782"/>
      <c r="AE47" s="287"/>
      <c r="AF47" s="805"/>
      <c r="AG47" s="817"/>
      <c r="AH47" s="196"/>
      <c r="AI47" s="195"/>
      <c r="AJ47" s="196"/>
      <c r="AK47" s="195"/>
      <c r="AL47" s="196"/>
      <c r="AM47" s="195"/>
      <c r="AN47" s="80"/>
      <c r="AO47" s="80"/>
    </row>
    <row r="48" spans="1:41" ht="73.5" customHeight="1" x14ac:dyDescent="0.35">
      <c r="A48" s="805"/>
      <c r="B48" s="805"/>
      <c r="C48" s="194"/>
      <c r="D48" s="771">
        <v>6</v>
      </c>
      <c r="E48" s="727" t="s">
        <v>510</v>
      </c>
      <c r="F48" s="727" t="s">
        <v>824</v>
      </c>
      <c r="G48" s="727" t="s">
        <v>84</v>
      </c>
      <c r="H48" s="727" t="s">
        <v>154</v>
      </c>
      <c r="I48" s="917"/>
      <c r="J48" s="772" t="s">
        <v>87</v>
      </c>
      <c r="K48" s="675" t="s">
        <v>423</v>
      </c>
      <c r="L48" s="773" t="s">
        <v>424</v>
      </c>
      <c r="M48" s="773" t="s">
        <v>387</v>
      </c>
      <c r="N48" s="773" t="s">
        <v>152</v>
      </c>
      <c r="O48" s="764">
        <v>45717</v>
      </c>
      <c r="P48" s="766">
        <v>46022</v>
      </c>
      <c r="Q48" s="916">
        <v>46022</v>
      </c>
      <c r="R48" s="815">
        <v>0.125</v>
      </c>
      <c r="S48" s="106">
        <v>1</v>
      </c>
      <c r="T48" s="107">
        <v>0</v>
      </c>
      <c r="U48" s="108">
        <v>0</v>
      </c>
      <c r="V48" s="191"/>
      <c r="W48" s="286"/>
      <c r="X48" s="819" t="s">
        <v>400</v>
      </c>
      <c r="Y48" s="191"/>
      <c r="Z48" s="286"/>
      <c r="AA48" s="818" t="s">
        <v>401</v>
      </c>
      <c r="AB48" s="191"/>
      <c r="AC48" s="286"/>
      <c r="AD48" s="818" t="s">
        <v>401</v>
      </c>
      <c r="AE48" s="287"/>
      <c r="AF48" s="805"/>
      <c r="AG48" s="817"/>
      <c r="AH48" s="196"/>
      <c r="AI48" s="195"/>
      <c r="AJ48" s="196"/>
      <c r="AK48" s="195"/>
      <c r="AL48" s="196"/>
      <c r="AM48" s="195"/>
      <c r="AN48" s="80"/>
      <c r="AO48" s="80"/>
    </row>
    <row r="49" spans="1:41" ht="73.5" customHeight="1" thickBot="1" x14ac:dyDescent="0.4">
      <c r="A49" s="805"/>
      <c r="B49" s="805"/>
      <c r="C49" s="194"/>
      <c r="D49" s="759"/>
      <c r="E49" s="730"/>
      <c r="F49" s="730"/>
      <c r="G49" s="730"/>
      <c r="H49" s="730"/>
      <c r="I49" s="918"/>
      <c r="J49" s="763"/>
      <c r="K49" s="676"/>
      <c r="L49" s="774"/>
      <c r="M49" s="774"/>
      <c r="N49" s="774"/>
      <c r="O49" s="765"/>
      <c r="P49" s="767"/>
      <c r="Q49" s="852"/>
      <c r="R49" s="816"/>
      <c r="S49" s="110">
        <v>1</v>
      </c>
      <c r="T49" s="98">
        <v>0</v>
      </c>
      <c r="U49" s="99">
        <v>0</v>
      </c>
      <c r="V49" s="191"/>
      <c r="W49" s="286"/>
      <c r="X49" s="820"/>
      <c r="Y49" s="191"/>
      <c r="Z49" s="286"/>
      <c r="AA49" s="782"/>
      <c r="AB49" s="191"/>
      <c r="AC49" s="286"/>
      <c r="AD49" s="782"/>
      <c r="AE49" s="287"/>
      <c r="AF49" s="805"/>
      <c r="AG49" s="817"/>
      <c r="AH49" s="196"/>
      <c r="AI49" s="195"/>
      <c r="AJ49" s="196"/>
      <c r="AK49" s="195"/>
      <c r="AL49" s="196"/>
      <c r="AM49" s="195"/>
      <c r="AN49" s="80"/>
      <c r="AO49" s="80"/>
    </row>
    <row r="50" spans="1:41" ht="73.5" customHeight="1" x14ac:dyDescent="0.35">
      <c r="A50" s="805"/>
      <c r="B50" s="805"/>
      <c r="C50" s="194"/>
      <c r="D50" s="771">
        <v>7</v>
      </c>
      <c r="E50" s="727" t="s">
        <v>510</v>
      </c>
      <c r="F50" s="727" t="s">
        <v>824</v>
      </c>
      <c r="G50" s="727" t="s">
        <v>84</v>
      </c>
      <c r="H50" s="727" t="s">
        <v>154</v>
      </c>
      <c r="I50" s="920" t="s">
        <v>1988</v>
      </c>
      <c r="J50" s="772" t="s">
        <v>384</v>
      </c>
      <c r="K50" s="809" t="s">
        <v>1989</v>
      </c>
      <c r="L50" s="809" t="s">
        <v>1990</v>
      </c>
      <c r="M50" s="811" t="s">
        <v>387</v>
      </c>
      <c r="N50" s="813" t="s">
        <v>152</v>
      </c>
      <c r="O50" s="764">
        <v>45292</v>
      </c>
      <c r="P50" s="766">
        <v>45641</v>
      </c>
      <c r="Q50" s="105" t="s">
        <v>91</v>
      </c>
      <c r="R50" s="815">
        <v>0.125</v>
      </c>
      <c r="S50" s="106">
        <v>1</v>
      </c>
      <c r="T50" s="107">
        <v>0</v>
      </c>
      <c r="U50" s="108">
        <v>0</v>
      </c>
      <c r="V50" s="191"/>
      <c r="W50" s="286"/>
      <c r="X50" s="819" t="s">
        <v>400</v>
      </c>
      <c r="Y50" s="191"/>
      <c r="Z50" s="286"/>
      <c r="AA50" s="818" t="s">
        <v>401</v>
      </c>
      <c r="AB50" s="191"/>
      <c r="AC50" s="286"/>
      <c r="AD50" s="818" t="s">
        <v>401</v>
      </c>
      <c r="AE50" s="287"/>
      <c r="AF50" s="805"/>
      <c r="AG50" s="817"/>
      <c r="AH50" s="196"/>
      <c r="AI50" s="195"/>
      <c r="AJ50" s="196"/>
      <c r="AK50" s="195"/>
      <c r="AL50" s="196"/>
      <c r="AM50" s="195"/>
      <c r="AN50" s="80"/>
      <c r="AO50" s="80"/>
    </row>
    <row r="51" spans="1:41" ht="73.5" customHeight="1" thickBot="1" x14ac:dyDescent="0.4">
      <c r="A51" s="805"/>
      <c r="B51" s="805"/>
      <c r="C51" s="194"/>
      <c r="D51" s="759"/>
      <c r="E51" s="730"/>
      <c r="F51" s="730"/>
      <c r="G51" s="730"/>
      <c r="H51" s="730"/>
      <c r="I51" s="921"/>
      <c r="J51" s="763"/>
      <c r="K51" s="810"/>
      <c r="L51" s="810"/>
      <c r="M51" s="812"/>
      <c r="N51" s="814"/>
      <c r="O51" s="765"/>
      <c r="P51" s="767"/>
      <c r="Q51" s="109" t="s">
        <v>96</v>
      </c>
      <c r="R51" s="816"/>
      <c r="S51" s="110">
        <v>1</v>
      </c>
      <c r="T51" s="98">
        <v>0</v>
      </c>
      <c r="U51" s="99">
        <v>0</v>
      </c>
      <c r="V51" s="191"/>
      <c r="W51" s="286"/>
      <c r="X51" s="820"/>
      <c r="Y51" s="191"/>
      <c r="Z51" s="286"/>
      <c r="AA51" s="782"/>
      <c r="AB51" s="191"/>
      <c r="AC51" s="286"/>
      <c r="AD51" s="782"/>
      <c r="AE51" s="287"/>
      <c r="AF51" s="805"/>
      <c r="AG51" s="817"/>
      <c r="AH51" s="196"/>
      <c r="AI51" s="195"/>
      <c r="AJ51" s="196"/>
      <c r="AK51" s="195"/>
      <c r="AL51" s="196"/>
      <c r="AM51" s="195"/>
      <c r="AN51" s="80"/>
      <c r="AO51" s="80"/>
    </row>
    <row r="52" spans="1:41" ht="73.5" customHeight="1" x14ac:dyDescent="0.35">
      <c r="A52" s="805"/>
      <c r="B52" s="805"/>
      <c r="C52" s="806"/>
      <c r="D52" s="771">
        <v>8</v>
      </c>
      <c r="E52" s="727" t="s">
        <v>510</v>
      </c>
      <c r="F52" s="727" t="s">
        <v>824</v>
      </c>
      <c r="G52" s="727" t="s">
        <v>84</v>
      </c>
      <c r="H52" s="727" t="s">
        <v>154</v>
      </c>
      <c r="I52" s="921"/>
      <c r="J52" s="772" t="s">
        <v>384</v>
      </c>
      <c r="K52" s="809" t="s">
        <v>1991</v>
      </c>
      <c r="L52" s="809" t="s">
        <v>1992</v>
      </c>
      <c r="M52" s="811" t="s">
        <v>387</v>
      </c>
      <c r="N52" s="813" t="s">
        <v>152</v>
      </c>
      <c r="O52" s="764">
        <v>45292</v>
      </c>
      <c r="P52" s="766">
        <v>45641</v>
      </c>
      <c r="Q52" s="105" t="s">
        <v>91</v>
      </c>
      <c r="R52" s="815">
        <v>0.125</v>
      </c>
      <c r="S52" s="106">
        <v>1</v>
      </c>
      <c r="T52" s="107">
        <v>0</v>
      </c>
      <c r="U52" s="108">
        <v>0</v>
      </c>
      <c r="V52" s="905">
        <f>($R$52*S53)+($R$54*S55)+($R$56*S57)+($R$58*S59)+($R$60*S61)+($R$62*S63)+($R$66*S67)+($R$78*S79)</f>
        <v>0.75</v>
      </c>
      <c r="W52" s="800">
        <f>($R$52*$S52)+($R$54*$S54)+($R$56*$S56)+($R$58*$S58)+($R$60*$S60)+($R$62*$S62)+($R$66*$S66)+($R$78*$S78)</f>
        <v>0.75</v>
      </c>
      <c r="X52" s="819" t="s">
        <v>400</v>
      </c>
      <c r="Y52" s="915">
        <f>($R$52*T53)+($R$54*T55)+($R$56*T57)+($R$58*T59)+($R$60*T61)+($R$62*T63)+($R$66*T67)+($R$78*T79)</f>
        <v>6.25E-2</v>
      </c>
      <c r="Z52" s="783">
        <f>($R$52*T52)+($R$54*T54)+($R$56*T56)+($R$58*T58)+($R$60*T60)+($R$62*T62)+($R$66*T66)+($R$78*T78)</f>
        <v>6.25E-2</v>
      </c>
      <c r="AA52" s="818" t="s">
        <v>401</v>
      </c>
      <c r="AB52" s="915">
        <f>($R$52*U53)+($R$54*U55)+($R$56*U57)+($R$58*U59)+($R$60*U61)+($R$62*U63)+($R$66*U67)+($R$78*U79)</f>
        <v>0.1875</v>
      </c>
      <c r="AC52" s="783">
        <f>($R$52*U52)+($R$54*U54)+($R$56*U56)+($R$58*U58)+($R$60*U60)+($R$62*U62)+($R$66*U66)+($R$78*U78)</f>
        <v>0.1875</v>
      </c>
      <c r="AD52" s="818" t="s">
        <v>401</v>
      </c>
      <c r="AE52" s="821">
        <v>0.3</v>
      </c>
      <c r="AF52" s="805"/>
      <c r="AG52" s="817"/>
      <c r="AH52" s="775">
        <f>+V52</f>
        <v>0.75</v>
      </c>
      <c r="AI52" s="768">
        <f>+W52</f>
        <v>0.75</v>
      </c>
      <c r="AJ52" s="775">
        <f>+Y52</f>
        <v>6.25E-2</v>
      </c>
      <c r="AK52" s="768">
        <f>+Z52</f>
        <v>6.25E-2</v>
      </c>
      <c r="AL52" s="775">
        <f>+AB52</f>
        <v>0.1875</v>
      </c>
      <c r="AM52" s="768">
        <f>+AC52</f>
        <v>0.1875</v>
      </c>
      <c r="AN52" s="80"/>
      <c r="AO52" s="80"/>
    </row>
    <row r="53" spans="1:41" ht="73.5" customHeight="1" thickBot="1" x14ac:dyDescent="0.4">
      <c r="A53" s="805"/>
      <c r="B53" s="805"/>
      <c r="C53" s="807"/>
      <c r="D53" s="759"/>
      <c r="E53" s="730"/>
      <c r="F53" s="730"/>
      <c r="G53" s="730"/>
      <c r="H53" s="730"/>
      <c r="I53" s="921"/>
      <c r="J53" s="763"/>
      <c r="K53" s="810"/>
      <c r="L53" s="810"/>
      <c r="M53" s="812"/>
      <c r="N53" s="814"/>
      <c r="O53" s="765"/>
      <c r="P53" s="767"/>
      <c r="Q53" s="109" t="s">
        <v>96</v>
      </c>
      <c r="R53" s="816"/>
      <c r="S53" s="110">
        <v>1</v>
      </c>
      <c r="T53" s="98">
        <v>0</v>
      </c>
      <c r="U53" s="99">
        <v>0</v>
      </c>
      <c r="V53" s="906"/>
      <c r="W53" s="779"/>
      <c r="X53" s="820"/>
      <c r="Y53" s="906"/>
      <c r="Z53" s="779"/>
      <c r="AA53" s="782"/>
      <c r="AB53" s="906"/>
      <c r="AC53" s="779"/>
      <c r="AD53" s="782"/>
      <c r="AE53" s="822"/>
      <c r="AF53" s="805"/>
      <c r="AG53" s="817"/>
      <c r="AH53" s="776"/>
      <c r="AI53" s="769"/>
      <c r="AJ53" s="776"/>
      <c r="AK53" s="769"/>
      <c r="AL53" s="776"/>
      <c r="AM53" s="769"/>
      <c r="AN53" s="80"/>
      <c r="AO53" s="80"/>
    </row>
    <row r="54" spans="1:41" ht="73.5" customHeight="1" x14ac:dyDescent="0.35">
      <c r="A54" s="805"/>
      <c r="B54" s="805"/>
      <c r="C54" s="807"/>
      <c r="D54" s="771">
        <v>9</v>
      </c>
      <c r="E54" s="727" t="s">
        <v>510</v>
      </c>
      <c r="F54" s="727" t="s">
        <v>824</v>
      </c>
      <c r="G54" s="727" t="s">
        <v>84</v>
      </c>
      <c r="H54" s="727" t="s">
        <v>154</v>
      </c>
      <c r="I54" s="921"/>
      <c r="J54" s="772" t="s">
        <v>1993</v>
      </c>
      <c r="K54" s="809" t="s">
        <v>1994</v>
      </c>
      <c r="L54" s="809" t="s">
        <v>1995</v>
      </c>
      <c r="M54" s="811" t="s">
        <v>1996</v>
      </c>
      <c r="N54" s="813" t="s">
        <v>152</v>
      </c>
      <c r="O54" s="764" t="s">
        <v>1997</v>
      </c>
      <c r="P54" s="766" t="s">
        <v>1977</v>
      </c>
      <c r="Q54" s="919" t="s">
        <v>1977</v>
      </c>
      <c r="R54" s="815">
        <v>0.125</v>
      </c>
      <c r="S54" s="106">
        <v>1</v>
      </c>
      <c r="T54" s="107">
        <v>0</v>
      </c>
      <c r="U54" s="108">
        <v>0</v>
      </c>
      <c r="V54" s="906"/>
      <c r="W54" s="779"/>
      <c r="X54" s="819" t="s">
        <v>400</v>
      </c>
      <c r="Y54" s="906"/>
      <c r="Z54" s="779"/>
      <c r="AA54" s="818" t="s">
        <v>401</v>
      </c>
      <c r="AB54" s="906"/>
      <c r="AC54" s="779"/>
      <c r="AD54" s="818" t="s">
        <v>401</v>
      </c>
      <c r="AE54" s="822"/>
      <c r="AF54" s="805"/>
      <c r="AG54" s="817"/>
      <c r="AH54" s="776"/>
      <c r="AI54" s="769"/>
      <c r="AJ54" s="776"/>
      <c r="AK54" s="769"/>
      <c r="AL54" s="776"/>
      <c r="AM54" s="769"/>
      <c r="AN54" s="80"/>
      <c r="AO54" s="80"/>
    </row>
    <row r="55" spans="1:41" ht="73.5" customHeight="1" thickBot="1" x14ac:dyDescent="0.4">
      <c r="A55" s="805"/>
      <c r="B55" s="805"/>
      <c r="C55" s="807"/>
      <c r="D55" s="759"/>
      <c r="E55" s="730"/>
      <c r="F55" s="730"/>
      <c r="G55" s="730"/>
      <c r="H55" s="730"/>
      <c r="I55" s="921"/>
      <c r="J55" s="763"/>
      <c r="K55" s="810"/>
      <c r="L55" s="810"/>
      <c r="M55" s="812"/>
      <c r="N55" s="814"/>
      <c r="O55" s="765"/>
      <c r="P55" s="767"/>
      <c r="Q55" s="866"/>
      <c r="R55" s="816"/>
      <c r="S55" s="110">
        <v>1</v>
      </c>
      <c r="T55" s="98">
        <v>0</v>
      </c>
      <c r="U55" s="99">
        <v>0</v>
      </c>
      <c r="V55" s="906"/>
      <c r="W55" s="779"/>
      <c r="X55" s="820"/>
      <c r="Y55" s="906"/>
      <c r="Z55" s="779"/>
      <c r="AA55" s="782"/>
      <c r="AB55" s="906"/>
      <c r="AC55" s="779"/>
      <c r="AD55" s="782"/>
      <c r="AE55" s="822"/>
      <c r="AF55" s="805"/>
      <c r="AG55" s="817"/>
      <c r="AH55" s="776"/>
      <c r="AI55" s="769"/>
      <c r="AJ55" s="776"/>
      <c r="AK55" s="769"/>
      <c r="AL55" s="776"/>
      <c r="AM55" s="769"/>
      <c r="AN55" s="80"/>
      <c r="AO55" s="80"/>
    </row>
    <row r="56" spans="1:41" ht="73.5" customHeight="1" x14ac:dyDescent="0.35">
      <c r="A56" s="805"/>
      <c r="B56" s="805"/>
      <c r="C56" s="807"/>
      <c r="D56" s="771">
        <v>10</v>
      </c>
      <c r="E56" s="727" t="s">
        <v>510</v>
      </c>
      <c r="F56" s="727" t="s">
        <v>824</v>
      </c>
      <c r="G56" s="727" t="s">
        <v>84</v>
      </c>
      <c r="H56" s="727" t="s">
        <v>154</v>
      </c>
      <c r="I56" s="921"/>
      <c r="J56" s="772" t="s">
        <v>1998</v>
      </c>
      <c r="K56" s="809" t="s">
        <v>1999</v>
      </c>
      <c r="L56" s="809" t="s">
        <v>2000</v>
      </c>
      <c r="M56" s="811" t="s">
        <v>616</v>
      </c>
      <c r="N56" s="813" t="s">
        <v>2001</v>
      </c>
      <c r="O56" s="764" t="s">
        <v>1997</v>
      </c>
      <c r="P56" s="766" t="s">
        <v>1977</v>
      </c>
      <c r="Q56" s="919" t="s">
        <v>1977</v>
      </c>
      <c r="R56" s="815">
        <v>0.125</v>
      </c>
      <c r="S56" s="106">
        <v>1</v>
      </c>
      <c r="T56" s="107">
        <v>0</v>
      </c>
      <c r="U56" s="108">
        <v>0</v>
      </c>
      <c r="V56" s="906"/>
      <c r="W56" s="779"/>
      <c r="X56" s="819" t="s">
        <v>400</v>
      </c>
      <c r="Y56" s="906"/>
      <c r="Z56" s="779"/>
      <c r="AA56" s="818" t="s">
        <v>401</v>
      </c>
      <c r="AB56" s="906"/>
      <c r="AC56" s="779"/>
      <c r="AD56" s="818" t="s">
        <v>401</v>
      </c>
      <c r="AE56" s="822"/>
      <c r="AF56" s="805"/>
      <c r="AG56" s="817"/>
      <c r="AH56" s="776"/>
      <c r="AI56" s="769"/>
      <c r="AJ56" s="776"/>
      <c r="AK56" s="769"/>
      <c r="AL56" s="776"/>
      <c r="AM56" s="769"/>
      <c r="AN56" s="80"/>
      <c r="AO56" s="80"/>
    </row>
    <row r="57" spans="1:41" ht="73.5" customHeight="1" thickBot="1" x14ac:dyDescent="0.4">
      <c r="A57" s="805"/>
      <c r="B57" s="805"/>
      <c r="C57" s="807"/>
      <c r="D57" s="759"/>
      <c r="E57" s="730"/>
      <c r="F57" s="730"/>
      <c r="G57" s="730"/>
      <c r="H57" s="730"/>
      <c r="I57" s="921"/>
      <c r="J57" s="763"/>
      <c r="K57" s="810"/>
      <c r="L57" s="810"/>
      <c r="M57" s="812"/>
      <c r="N57" s="814"/>
      <c r="O57" s="765"/>
      <c r="P57" s="767"/>
      <c r="Q57" s="866"/>
      <c r="R57" s="816"/>
      <c r="S57" s="110">
        <v>1</v>
      </c>
      <c r="T57" s="98">
        <v>0</v>
      </c>
      <c r="U57" s="99">
        <v>0</v>
      </c>
      <c r="V57" s="906"/>
      <c r="W57" s="779"/>
      <c r="X57" s="820"/>
      <c r="Y57" s="906"/>
      <c r="Z57" s="779"/>
      <c r="AA57" s="782"/>
      <c r="AB57" s="906"/>
      <c r="AC57" s="779"/>
      <c r="AD57" s="782"/>
      <c r="AE57" s="822"/>
      <c r="AF57" s="805"/>
      <c r="AG57" s="817"/>
      <c r="AH57" s="776"/>
      <c r="AI57" s="769"/>
      <c r="AJ57" s="776"/>
      <c r="AK57" s="769"/>
      <c r="AL57" s="776"/>
      <c r="AM57" s="769"/>
      <c r="AN57" s="80"/>
      <c r="AO57" s="80"/>
    </row>
    <row r="58" spans="1:41" ht="73.5" customHeight="1" x14ac:dyDescent="0.35">
      <c r="A58" s="805"/>
      <c r="B58" s="805"/>
      <c r="C58" s="807"/>
      <c r="D58" s="771">
        <v>11</v>
      </c>
      <c r="E58" s="727" t="s">
        <v>510</v>
      </c>
      <c r="F58" s="727" t="s">
        <v>824</v>
      </c>
      <c r="G58" s="727" t="s">
        <v>84</v>
      </c>
      <c r="H58" s="727" t="s">
        <v>154</v>
      </c>
      <c r="I58" s="921"/>
      <c r="J58" s="772" t="s">
        <v>2002</v>
      </c>
      <c r="K58" s="809" t="s">
        <v>2003</v>
      </c>
      <c r="L58" s="809" t="s">
        <v>2004</v>
      </c>
      <c r="M58" s="811" t="s">
        <v>1996</v>
      </c>
      <c r="N58" s="813" t="s">
        <v>152</v>
      </c>
      <c r="O58" s="764" t="s">
        <v>1997</v>
      </c>
      <c r="P58" s="766" t="s">
        <v>1977</v>
      </c>
      <c r="Q58" s="919" t="s">
        <v>1977</v>
      </c>
      <c r="R58" s="815">
        <v>0.125</v>
      </c>
      <c r="S58" s="106">
        <v>1</v>
      </c>
      <c r="T58" s="107">
        <v>0</v>
      </c>
      <c r="U58" s="108">
        <v>0</v>
      </c>
      <c r="V58" s="906"/>
      <c r="W58" s="779"/>
      <c r="X58" s="819" t="s">
        <v>400</v>
      </c>
      <c r="Y58" s="906"/>
      <c r="Z58" s="779"/>
      <c r="AA58" s="818" t="s">
        <v>401</v>
      </c>
      <c r="AB58" s="906"/>
      <c r="AC58" s="779"/>
      <c r="AD58" s="818" t="s">
        <v>401</v>
      </c>
      <c r="AE58" s="822"/>
      <c r="AF58" s="805"/>
      <c r="AG58" s="817"/>
      <c r="AH58" s="776"/>
      <c r="AI58" s="769"/>
      <c r="AJ58" s="776"/>
      <c r="AK58" s="769"/>
      <c r="AL58" s="776"/>
      <c r="AM58" s="769"/>
      <c r="AN58" s="80"/>
      <c r="AO58" s="80"/>
    </row>
    <row r="59" spans="1:41" ht="73.5" customHeight="1" thickBot="1" x14ac:dyDescent="0.4">
      <c r="A59" s="805"/>
      <c r="B59" s="805"/>
      <c r="C59" s="807"/>
      <c r="D59" s="759"/>
      <c r="E59" s="730"/>
      <c r="F59" s="730"/>
      <c r="G59" s="730"/>
      <c r="H59" s="730"/>
      <c r="I59" s="921"/>
      <c r="J59" s="763"/>
      <c r="K59" s="810"/>
      <c r="L59" s="810"/>
      <c r="M59" s="812"/>
      <c r="N59" s="814"/>
      <c r="O59" s="765"/>
      <c r="P59" s="767"/>
      <c r="Q59" s="866"/>
      <c r="R59" s="816"/>
      <c r="S59" s="110">
        <v>1</v>
      </c>
      <c r="T59" s="98">
        <v>0</v>
      </c>
      <c r="U59" s="99">
        <v>0</v>
      </c>
      <c r="V59" s="906"/>
      <c r="W59" s="779"/>
      <c r="X59" s="820"/>
      <c r="Y59" s="906"/>
      <c r="Z59" s="779"/>
      <c r="AA59" s="782"/>
      <c r="AB59" s="906"/>
      <c r="AC59" s="779"/>
      <c r="AD59" s="782"/>
      <c r="AE59" s="822"/>
      <c r="AF59" s="805"/>
      <c r="AG59" s="817"/>
      <c r="AH59" s="776"/>
      <c r="AI59" s="769"/>
      <c r="AJ59" s="776"/>
      <c r="AK59" s="769"/>
      <c r="AL59" s="776"/>
      <c r="AM59" s="769"/>
      <c r="AN59" s="80"/>
      <c r="AO59" s="80"/>
    </row>
    <row r="60" spans="1:41" ht="73.5" customHeight="1" x14ac:dyDescent="0.35">
      <c r="A60" s="805"/>
      <c r="B60" s="805"/>
      <c r="C60" s="807"/>
      <c r="D60" s="771">
        <v>12</v>
      </c>
      <c r="E60" s="727" t="s">
        <v>510</v>
      </c>
      <c r="F60" s="727" t="s">
        <v>824</v>
      </c>
      <c r="G60" s="727" t="s">
        <v>84</v>
      </c>
      <c r="H60" s="727" t="s">
        <v>154</v>
      </c>
      <c r="I60" s="921"/>
      <c r="J60" s="772" t="s">
        <v>2005</v>
      </c>
      <c r="K60" s="809" t="s">
        <v>2006</v>
      </c>
      <c r="L60" s="809" t="s">
        <v>2007</v>
      </c>
      <c r="M60" s="811" t="s">
        <v>616</v>
      </c>
      <c r="N60" s="813" t="s">
        <v>620</v>
      </c>
      <c r="O60" s="764" t="s">
        <v>1997</v>
      </c>
      <c r="P60" s="766" t="s">
        <v>1977</v>
      </c>
      <c r="Q60" s="919" t="s">
        <v>1977</v>
      </c>
      <c r="R60" s="815">
        <v>0.125</v>
      </c>
      <c r="S60" s="106">
        <v>1</v>
      </c>
      <c r="T60" s="107">
        <v>0</v>
      </c>
      <c r="U60" s="108">
        <v>0</v>
      </c>
      <c r="V60" s="906"/>
      <c r="W60" s="779"/>
      <c r="X60" s="819" t="s">
        <v>400</v>
      </c>
      <c r="Y60" s="906"/>
      <c r="Z60" s="779"/>
      <c r="AA60" s="818" t="s">
        <v>401</v>
      </c>
      <c r="AB60" s="906"/>
      <c r="AC60" s="779"/>
      <c r="AD60" s="818" t="s">
        <v>401</v>
      </c>
      <c r="AE60" s="822"/>
      <c r="AF60" s="805"/>
      <c r="AG60" s="817"/>
      <c r="AH60" s="776"/>
      <c r="AI60" s="769"/>
      <c r="AJ60" s="776"/>
      <c r="AK60" s="769"/>
      <c r="AL60" s="776"/>
      <c r="AM60" s="769"/>
      <c r="AN60" s="80"/>
      <c r="AO60" s="80"/>
    </row>
    <row r="61" spans="1:41" ht="73.5" customHeight="1" thickBot="1" x14ac:dyDescent="0.4">
      <c r="A61" s="805"/>
      <c r="B61" s="805"/>
      <c r="C61" s="807"/>
      <c r="D61" s="759"/>
      <c r="E61" s="730"/>
      <c r="F61" s="730"/>
      <c r="G61" s="730"/>
      <c r="H61" s="730"/>
      <c r="I61" s="921"/>
      <c r="J61" s="763"/>
      <c r="K61" s="810"/>
      <c r="L61" s="810"/>
      <c r="M61" s="812"/>
      <c r="N61" s="814"/>
      <c r="O61" s="765"/>
      <c r="P61" s="767"/>
      <c r="Q61" s="866"/>
      <c r="R61" s="816"/>
      <c r="S61" s="110">
        <v>1</v>
      </c>
      <c r="T61" s="98">
        <v>0</v>
      </c>
      <c r="U61" s="99">
        <v>0</v>
      </c>
      <c r="V61" s="906"/>
      <c r="W61" s="779"/>
      <c r="X61" s="820"/>
      <c r="Y61" s="906"/>
      <c r="Z61" s="779"/>
      <c r="AA61" s="782"/>
      <c r="AB61" s="906"/>
      <c r="AC61" s="779"/>
      <c r="AD61" s="782"/>
      <c r="AE61" s="822"/>
      <c r="AF61" s="805"/>
      <c r="AG61" s="817"/>
      <c r="AH61" s="776"/>
      <c r="AI61" s="769"/>
      <c r="AJ61" s="776"/>
      <c r="AK61" s="769"/>
      <c r="AL61" s="776"/>
      <c r="AM61" s="769"/>
      <c r="AN61" s="80"/>
      <c r="AO61" s="80"/>
    </row>
    <row r="62" spans="1:41" ht="73.5" customHeight="1" x14ac:dyDescent="0.35">
      <c r="A62" s="805"/>
      <c r="B62" s="805"/>
      <c r="C62" s="807"/>
      <c r="D62" s="771">
        <v>13</v>
      </c>
      <c r="E62" s="727" t="s">
        <v>510</v>
      </c>
      <c r="F62" s="727" t="s">
        <v>824</v>
      </c>
      <c r="G62" s="727" t="s">
        <v>84</v>
      </c>
      <c r="H62" s="727" t="s">
        <v>154</v>
      </c>
      <c r="I62" s="921"/>
      <c r="J62" s="772" t="s">
        <v>120</v>
      </c>
      <c r="K62" s="809" t="s">
        <v>2008</v>
      </c>
      <c r="L62" s="809" t="s">
        <v>2009</v>
      </c>
      <c r="M62" s="811" t="s">
        <v>1996</v>
      </c>
      <c r="N62" s="813" t="s">
        <v>152</v>
      </c>
      <c r="O62" s="764" t="s">
        <v>1997</v>
      </c>
      <c r="P62" s="766" t="s">
        <v>1977</v>
      </c>
      <c r="Q62" s="919" t="s">
        <v>1977</v>
      </c>
      <c r="R62" s="815">
        <v>0.125</v>
      </c>
      <c r="S62" s="106">
        <v>1</v>
      </c>
      <c r="T62" s="107">
        <v>0</v>
      </c>
      <c r="U62" s="108">
        <v>0</v>
      </c>
      <c r="V62" s="906"/>
      <c r="W62" s="779"/>
      <c r="X62" s="819" t="s">
        <v>400</v>
      </c>
      <c r="Y62" s="906"/>
      <c r="Z62" s="779"/>
      <c r="AA62" s="818" t="s">
        <v>401</v>
      </c>
      <c r="AB62" s="906"/>
      <c r="AC62" s="779"/>
      <c r="AD62" s="818" t="s">
        <v>401</v>
      </c>
      <c r="AE62" s="822"/>
      <c r="AF62" s="805"/>
      <c r="AG62" s="817"/>
      <c r="AH62" s="776"/>
      <c r="AI62" s="769"/>
      <c r="AJ62" s="776"/>
      <c r="AK62" s="769"/>
      <c r="AL62" s="776"/>
      <c r="AM62" s="769"/>
      <c r="AN62" s="80"/>
      <c r="AO62" s="80"/>
    </row>
    <row r="63" spans="1:41" ht="73.5" customHeight="1" thickBot="1" x14ac:dyDescent="0.4">
      <c r="A63" s="805"/>
      <c r="B63" s="805"/>
      <c r="C63" s="807"/>
      <c r="D63" s="759"/>
      <c r="E63" s="730"/>
      <c r="F63" s="730"/>
      <c r="G63" s="730"/>
      <c r="H63" s="730"/>
      <c r="I63" s="922"/>
      <c r="J63" s="763"/>
      <c r="K63" s="810"/>
      <c r="L63" s="810"/>
      <c r="M63" s="812"/>
      <c r="N63" s="814"/>
      <c r="O63" s="765"/>
      <c r="P63" s="767"/>
      <c r="Q63" s="866"/>
      <c r="R63" s="816"/>
      <c r="S63" s="110">
        <v>1</v>
      </c>
      <c r="T63" s="98">
        <v>0</v>
      </c>
      <c r="U63" s="99">
        <v>0</v>
      </c>
      <c r="V63" s="906"/>
      <c r="W63" s="779"/>
      <c r="X63" s="820"/>
      <c r="Y63" s="906"/>
      <c r="Z63" s="779"/>
      <c r="AA63" s="782"/>
      <c r="AB63" s="906"/>
      <c r="AC63" s="779"/>
      <c r="AD63" s="782"/>
      <c r="AE63" s="822"/>
      <c r="AF63" s="805"/>
      <c r="AG63" s="817"/>
      <c r="AH63" s="776"/>
      <c r="AI63" s="769"/>
      <c r="AJ63" s="776"/>
      <c r="AK63" s="769"/>
      <c r="AL63" s="776"/>
      <c r="AM63" s="769"/>
      <c r="AN63" s="80"/>
      <c r="AO63" s="80"/>
    </row>
    <row r="64" spans="1:41" ht="73.5" customHeight="1" x14ac:dyDescent="0.35">
      <c r="A64" s="80"/>
      <c r="B64" s="80"/>
      <c r="C64" s="807"/>
      <c r="D64" s="771">
        <v>14</v>
      </c>
      <c r="E64" s="727" t="s">
        <v>510</v>
      </c>
      <c r="F64" s="727" t="s">
        <v>824</v>
      </c>
      <c r="G64" s="727" t="s">
        <v>84</v>
      </c>
      <c r="H64" s="727" t="s">
        <v>154</v>
      </c>
      <c r="I64" s="924" t="s">
        <v>2010</v>
      </c>
      <c r="J64" s="772" t="s">
        <v>97</v>
      </c>
      <c r="K64" s="809" t="s">
        <v>433</v>
      </c>
      <c r="L64" s="809" t="s">
        <v>2011</v>
      </c>
      <c r="M64" s="811" t="s">
        <v>434</v>
      </c>
      <c r="N64" s="813" t="s">
        <v>152</v>
      </c>
      <c r="O64" s="764">
        <v>45658</v>
      </c>
      <c r="P64" s="766">
        <v>46022</v>
      </c>
      <c r="Q64" s="266"/>
      <c r="R64" s="193"/>
      <c r="S64" s="110"/>
      <c r="T64" s="98"/>
      <c r="U64" s="99"/>
      <c r="V64" s="906"/>
      <c r="W64" s="779"/>
      <c r="X64" s="198"/>
      <c r="Y64" s="906"/>
      <c r="Z64" s="779"/>
      <c r="AA64" s="192"/>
      <c r="AB64" s="906"/>
      <c r="AC64" s="779"/>
      <c r="AD64" s="192"/>
      <c r="AE64" s="822"/>
      <c r="AF64" s="80"/>
      <c r="AG64" s="197"/>
      <c r="AH64" s="776"/>
      <c r="AI64" s="769"/>
      <c r="AJ64" s="776"/>
      <c r="AK64" s="769"/>
      <c r="AL64" s="776"/>
      <c r="AM64" s="769"/>
      <c r="AN64" s="80"/>
      <c r="AO64" s="80"/>
    </row>
    <row r="65" spans="1:41" ht="73.5" customHeight="1" thickBot="1" x14ac:dyDescent="0.4">
      <c r="A65" s="80"/>
      <c r="B65" s="80"/>
      <c r="C65" s="807"/>
      <c r="D65" s="759"/>
      <c r="E65" s="730"/>
      <c r="F65" s="730"/>
      <c r="G65" s="730"/>
      <c r="H65" s="730"/>
      <c r="I65" s="925"/>
      <c r="J65" s="763"/>
      <c r="K65" s="810"/>
      <c r="L65" s="810"/>
      <c r="M65" s="812"/>
      <c r="N65" s="814"/>
      <c r="O65" s="765"/>
      <c r="P65" s="767"/>
      <c r="Q65" s="266"/>
      <c r="R65" s="193"/>
      <c r="S65" s="110"/>
      <c r="T65" s="98"/>
      <c r="U65" s="99"/>
      <c r="V65" s="906"/>
      <c r="W65" s="779"/>
      <c r="X65" s="198"/>
      <c r="Y65" s="906"/>
      <c r="Z65" s="779"/>
      <c r="AA65" s="192"/>
      <c r="AB65" s="906"/>
      <c r="AC65" s="779"/>
      <c r="AD65" s="192"/>
      <c r="AE65" s="822"/>
      <c r="AF65" s="80"/>
      <c r="AG65" s="197"/>
      <c r="AH65" s="776"/>
      <c r="AI65" s="769"/>
      <c r="AJ65" s="776"/>
      <c r="AK65" s="769"/>
      <c r="AL65" s="776"/>
      <c r="AM65" s="769"/>
      <c r="AN65" s="80"/>
      <c r="AO65" s="80"/>
    </row>
    <row r="66" spans="1:41" ht="73.5" customHeight="1" x14ac:dyDescent="0.35">
      <c r="A66" s="733"/>
      <c r="B66" s="733"/>
      <c r="C66" s="807"/>
      <c r="D66" s="771">
        <v>15</v>
      </c>
      <c r="E66" s="727" t="s">
        <v>510</v>
      </c>
      <c r="F66" s="727" t="s">
        <v>824</v>
      </c>
      <c r="G66" s="727" t="s">
        <v>84</v>
      </c>
      <c r="H66" s="727" t="s">
        <v>154</v>
      </c>
      <c r="I66" s="932" t="s">
        <v>2012</v>
      </c>
      <c r="J66" s="809" t="s">
        <v>261</v>
      </c>
      <c r="K66" s="729" t="s">
        <v>2017</v>
      </c>
      <c r="L66" s="727" t="s">
        <v>2018</v>
      </c>
      <c r="M66" s="825" t="s">
        <v>387</v>
      </c>
      <c r="N66" s="894" t="s">
        <v>152</v>
      </c>
      <c r="O66" s="900">
        <v>45705</v>
      </c>
      <c r="P66" s="900">
        <v>45747</v>
      </c>
      <c r="Q66" s="101" t="s">
        <v>91</v>
      </c>
      <c r="R66" s="816">
        <f>+R62</f>
        <v>0.125</v>
      </c>
      <c r="S66" s="113">
        <v>0</v>
      </c>
      <c r="T66" s="113">
        <v>0.5</v>
      </c>
      <c r="U66" s="114">
        <v>0.5</v>
      </c>
      <c r="V66" s="906"/>
      <c r="W66" s="779"/>
      <c r="X66" s="778" t="s">
        <v>401</v>
      </c>
      <c r="Y66" s="906"/>
      <c r="Z66" s="779"/>
      <c r="AA66" s="782" t="s">
        <v>406</v>
      </c>
      <c r="AB66" s="906"/>
      <c r="AC66" s="779"/>
      <c r="AD66" s="824"/>
      <c r="AE66" s="822"/>
      <c r="AF66" s="733"/>
      <c r="AG66" s="755"/>
      <c r="AH66" s="776"/>
      <c r="AI66" s="769"/>
      <c r="AJ66" s="776"/>
      <c r="AK66" s="769"/>
      <c r="AL66" s="776"/>
      <c r="AM66" s="769"/>
      <c r="AN66" s="73"/>
      <c r="AO66" s="73"/>
    </row>
    <row r="67" spans="1:41" ht="73.5" customHeight="1" thickBot="1" x14ac:dyDescent="0.4">
      <c r="A67" s="733"/>
      <c r="B67" s="733"/>
      <c r="C67" s="807"/>
      <c r="D67" s="759"/>
      <c r="E67" s="730"/>
      <c r="F67" s="730"/>
      <c r="G67" s="730"/>
      <c r="H67" s="730"/>
      <c r="I67" s="933"/>
      <c r="J67" s="810"/>
      <c r="K67" s="729"/>
      <c r="L67" s="730"/>
      <c r="M67" s="826"/>
      <c r="N67" s="895"/>
      <c r="O67" s="901"/>
      <c r="P67" s="901"/>
      <c r="Q67" s="109" t="s">
        <v>96</v>
      </c>
      <c r="R67" s="816"/>
      <c r="S67" s="112">
        <v>0</v>
      </c>
      <c r="T67" s="96">
        <v>0.5</v>
      </c>
      <c r="U67" s="97">
        <v>0.5</v>
      </c>
      <c r="V67" s="906"/>
      <c r="W67" s="779"/>
      <c r="X67" s="778"/>
      <c r="Y67" s="906"/>
      <c r="Z67" s="779"/>
      <c r="AA67" s="782"/>
      <c r="AB67" s="906"/>
      <c r="AC67" s="779"/>
      <c r="AD67" s="824"/>
      <c r="AE67" s="822"/>
      <c r="AF67" s="733"/>
      <c r="AG67" s="755"/>
      <c r="AH67" s="776"/>
      <c r="AI67" s="769"/>
      <c r="AJ67" s="776"/>
      <c r="AK67" s="769"/>
      <c r="AL67" s="776"/>
      <c r="AM67" s="769"/>
      <c r="AN67" s="73"/>
      <c r="AO67" s="73"/>
    </row>
    <row r="68" spans="1:41" ht="137.9" customHeight="1" x14ac:dyDescent="0.35">
      <c r="A68" s="733"/>
      <c r="B68" s="733"/>
      <c r="C68" s="807"/>
      <c r="D68" s="771">
        <v>16</v>
      </c>
      <c r="E68" s="727" t="s">
        <v>510</v>
      </c>
      <c r="F68" s="727" t="s">
        <v>824</v>
      </c>
      <c r="G68" s="727" t="s">
        <v>84</v>
      </c>
      <c r="H68" s="727" t="s">
        <v>154</v>
      </c>
      <c r="I68" s="933"/>
      <c r="J68" s="809" t="s">
        <v>261</v>
      </c>
      <c r="K68" s="729" t="s">
        <v>2019</v>
      </c>
      <c r="L68" s="727" t="s">
        <v>2020</v>
      </c>
      <c r="M68" s="926" t="s">
        <v>387</v>
      </c>
      <c r="N68" s="928" t="s">
        <v>152</v>
      </c>
      <c r="O68" s="851">
        <v>45689</v>
      </c>
      <c r="P68" s="851">
        <v>45835</v>
      </c>
      <c r="Q68" s="101" t="s">
        <v>91</v>
      </c>
      <c r="R68" s="816">
        <f>+R56</f>
        <v>0.125</v>
      </c>
      <c r="S68" s="113">
        <v>0</v>
      </c>
      <c r="T68" s="113">
        <v>0</v>
      </c>
      <c r="U68" s="161">
        <v>1</v>
      </c>
      <c r="V68" s="906"/>
      <c r="W68" s="779"/>
      <c r="X68" s="778" t="s">
        <v>401</v>
      </c>
      <c r="Y68" s="906"/>
      <c r="Z68" s="779"/>
      <c r="AA68" s="782" t="s">
        <v>401</v>
      </c>
      <c r="AB68" s="906"/>
      <c r="AC68" s="779"/>
      <c r="AD68" s="782"/>
      <c r="AE68" s="822"/>
      <c r="AF68" s="733"/>
      <c r="AG68" s="755"/>
      <c r="AH68" s="776"/>
      <c r="AI68" s="769"/>
      <c r="AJ68" s="776"/>
      <c r="AK68" s="769"/>
      <c r="AL68" s="776"/>
      <c r="AM68" s="769"/>
      <c r="AN68" s="88"/>
      <c r="AO68" s="73"/>
    </row>
    <row r="69" spans="1:41" ht="137.9" customHeight="1" thickBot="1" x14ac:dyDescent="0.4">
      <c r="A69" s="733"/>
      <c r="B69" s="733"/>
      <c r="C69" s="807"/>
      <c r="D69" s="759"/>
      <c r="E69" s="730"/>
      <c r="F69" s="730"/>
      <c r="G69" s="730"/>
      <c r="H69" s="730"/>
      <c r="I69" s="933"/>
      <c r="J69" s="810"/>
      <c r="K69" s="729"/>
      <c r="L69" s="730"/>
      <c r="M69" s="826"/>
      <c r="N69" s="895"/>
      <c r="O69" s="892"/>
      <c r="P69" s="892"/>
      <c r="Q69" s="115" t="s">
        <v>96</v>
      </c>
      <c r="R69" s="840"/>
      <c r="S69" s="116">
        <v>0</v>
      </c>
      <c r="T69" s="117">
        <v>0</v>
      </c>
      <c r="U69" s="118">
        <v>1</v>
      </c>
      <c r="V69" s="906"/>
      <c r="W69" s="779"/>
      <c r="X69" s="794"/>
      <c r="Y69" s="906"/>
      <c r="Z69" s="779"/>
      <c r="AA69" s="799"/>
      <c r="AB69" s="906"/>
      <c r="AC69" s="779"/>
      <c r="AD69" s="799"/>
      <c r="AE69" s="822"/>
      <c r="AF69" s="733"/>
      <c r="AG69" s="755"/>
      <c r="AH69" s="776"/>
      <c r="AI69" s="769"/>
      <c r="AJ69" s="776"/>
      <c r="AK69" s="769"/>
      <c r="AL69" s="776"/>
      <c r="AM69" s="769"/>
      <c r="AN69" s="73"/>
      <c r="AO69" s="73"/>
    </row>
    <row r="70" spans="1:41" ht="137.9" customHeight="1" x14ac:dyDescent="0.35">
      <c r="A70" s="733"/>
      <c r="B70" s="733"/>
      <c r="C70" s="807"/>
      <c r="D70" s="771">
        <v>17</v>
      </c>
      <c r="E70" s="727" t="s">
        <v>510</v>
      </c>
      <c r="F70" s="727" t="s">
        <v>824</v>
      </c>
      <c r="G70" s="727" t="s">
        <v>84</v>
      </c>
      <c r="H70" s="727" t="s">
        <v>154</v>
      </c>
      <c r="I70" s="933"/>
      <c r="J70" s="809" t="s">
        <v>261</v>
      </c>
      <c r="K70" s="729" t="s">
        <v>2021</v>
      </c>
      <c r="L70" s="727" t="s">
        <v>2020</v>
      </c>
      <c r="M70" s="926" t="s">
        <v>387</v>
      </c>
      <c r="N70" s="928" t="s">
        <v>152</v>
      </c>
      <c r="O70" s="851">
        <v>45839</v>
      </c>
      <c r="P70" s="885">
        <v>46022</v>
      </c>
      <c r="Q70" s="101" t="s">
        <v>91</v>
      </c>
      <c r="R70" s="816">
        <f>+R58</f>
        <v>0.125</v>
      </c>
      <c r="S70" s="113">
        <v>0</v>
      </c>
      <c r="T70" s="113">
        <v>0</v>
      </c>
      <c r="U70" s="161">
        <v>1</v>
      </c>
      <c r="V70" s="906"/>
      <c r="W70" s="779"/>
      <c r="X70" s="778" t="s">
        <v>401</v>
      </c>
      <c r="Y70" s="906"/>
      <c r="Z70" s="779"/>
      <c r="AA70" s="782" t="s">
        <v>401</v>
      </c>
      <c r="AB70" s="906"/>
      <c r="AC70" s="779"/>
      <c r="AD70" s="782"/>
      <c r="AE70" s="822"/>
      <c r="AF70" s="733"/>
      <c r="AG70" s="755"/>
      <c r="AH70" s="776"/>
      <c r="AI70" s="769"/>
      <c r="AJ70" s="776"/>
      <c r="AK70" s="769"/>
      <c r="AL70" s="776"/>
      <c r="AM70" s="769"/>
      <c r="AN70" s="88"/>
      <c r="AO70" s="73"/>
    </row>
    <row r="71" spans="1:41" ht="137.9" customHeight="1" thickBot="1" x14ac:dyDescent="0.4">
      <c r="A71" s="733"/>
      <c r="B71" s="733"/>
      <c r="C71" s="807"/>
      <c r="D71" s="759"/>
      <c r="E71" s="730"/>
      <c r="F71" s="730"/>
      <c r="G71" s="730"/>
      <c r="H71" s="730"/>
      <c r="I71" s="933"/>
      <c r="J71" s="810"/>
      <c r="K71" s="729"/>
      <c r="L71" s="730"/>
      <c r="M71" s="826"/>
      <c r="N71" s="895"/>
      <c r="O71" s="892"/>
      <c r="P71" s="935"/>
      <c r="Q71" s="115" t="s">
        <v>96</v>
      </c>
      <c r="R71" s="840"/>
      <c r="S71" s="116">
        <v>0</v>
      </c>
      <c r="T71" s="117">
        <v>0</v>
      </c>
      <c r="U71" s="118">
        <v>1</v>
      </c>
      <c r="V71" s="906"/>
      <c r="W71" s="779"/>
      <c r="X71" s="794"/>
      <c r="Y71" s="906"/>
      <c r="Z71" s="779"/>
      <c r="AA71" s="799"/>
      <c r="AB71" s="906"/>
      <c r="AC71" s="779"/>
      <c r="AD71" s="799"/>
      <c r="AE71" s="822"/>
      <c r="AF71" s="733"/>
      <c r="AG71" s="755"/>
      <c r="AH71" s="776"/>
      <c r="AI71" s="769"/>
      <c r="AJ71" s="776"/>
      <c r="AK71" s="769"/>
      <c r="AL71" s="776"/>
      <c r="AM71" s="769"/>
      <c r="AN71" s="73"/>
      <c r="AO71" s="73"/>
    </row>
    <row r="72" spans="1:41" ht="137.9" customHeight="1" x14ac:dyDescent="0.35">
      <c r="A72" s="733"/>
      <c r="B72" s="733"/>
      <c r="C72" s="807"/>
      <c r="D72" s="771">
        <v>18</v>
      </c>
      <c r="E72" s="727" t="s">
        <v>510</v>
      </c>
      <c r="F72" s="727" t="s">
        <v>824</v>
      </c>
      <c r="G72" s="727" t="s">
        <v>84</v>
      </c>
      <c r="H72" s="727" t="s">
        <v>154</v>
      </c>
      <c r="I72" s="933"/>
      <c r="J72" s="809" t="s">
        <v>261</v>
      </c>
      <c r="K72" s="729" t="s">
        <v>402</v>
      </c>
      <c r="L72" s="727" t="s">
        <v>403</v>
      </c>
      <c r="M72" s="926" t="s">
        <v>387</v>
      </c>
      <c r="N72" s="928" t="s">
        <v>152</v>
      </c>
      <c r="O72" s="903">
        <v>45839</v>
      </c>
      <c r="P72" s="903">
        <v>45900</v>
      </c>
      <c r="Q72" s="101" t="s">
        <v>91</v>
      </c>
      <c r="R72" s="816">
        <f>+R60</f>
        <v>0.125</v>
      </c>
      <c r="S72" s="113">
        <v>0</v>
      </c>
      <c r="T72" s="113">
        <v>0</v>
      </c>
      <c r="U72" s="161">
        <v>1</v>
      </c>
      <c r="V72" s="906"/>
      <c r="W72" s="779"/>
      <c r="X72" s="778" t="s">
        <v>401</v>
      </c>
      <c r="Y72" s="906"/>
      <c r="Z72" s="779"/>
      <c r="AA72" s="782" t="s">
        <v>401</v>
      </c>
      <c r="AB72" s="906"/>
      <c r="AC72" s="779"/>
      <c r="AD72" s="782"/>
      <c r="AE72" s="822"/>
      <c r="AF72" s="733"/>
      <c r="AG72" s="755"/>
      <c r="AH72" s="776"/>
      <c r="AI72" s="769"/>
      <c r="AJ72" s="776"/>
      <c r="AK72" s="769"/>
      <c r="AL72" s="776"/>
      <c r="AM72" s="769"/>
      <c r="AN72" s="88"/>
      <c r="AO72" s="73"/>
    </row>
    <row r="73" spans="1:41" ht="137.9" customHeight="1" thickBot="1" x14ac:dyDescent="0.4">
      <c r="A73" s="733"/>
      <c r="B73" s="733"/>
      <c r="C73" s="807"/>
      <c r="D73" s="759"/>
      <c r="E73" s="730"/>
      <c r="F73" s="730"/>
      <c r="G73" s="730"/>
      <c r="H73" s="730"/>
      <c r="I73" s="933"/>
      <c r="J73" s="810"/>
      <c r="K73" s="729"/>
      <c r="L73" s="730"/>
      <c r="M73" s="826"/>
      <c r="N73" s="895"/>
      <c r="O73" s="931"/>
      <c r="P73" s="931"/>
      <c r="Q73" s="115" t="s">
        <v>96</v>
      </c>
      <c r="R73" s="840"/>
      <c r="S73" s="116">
        <v>0</v>
      </c>
      <c r="T73" s="117">
        <v>0</v>
      </c>
      <c r="U73" s="118">
        <v>1</v>
      </c>
      <c r="V73" s="906"/>
      <c r="W73" s="779"/>
      <c r="X73" s="794"/>
      <c r="Y73" s="906"/>
      <c r="Z73" s="779"/>
      <c r="AA73" s="799"/>
      <c r="AB73" s="906"/>
      <c r="AC73" s="779"/>
      <c r="AD73" s="799"/>
      <c r="AE73" s="822"/>
      <c r="AF73" s="733"/>
      <c r="AG73" s="755"/>
      <c r="AH73" s="776"/>
      <c r="AI73" s="769"/>
      <c r="AJ73" s="776"/>
      <c r="AK73" s="769"/>
      <c r="AL73" s="776"/>
      <c r="AM73" s="769"/>
      <c r="AN73" s="73"/>
      <c r="AO73" s="73"/>
    </row>
    <row r="74" spans="1:41" ht="137.9" customHeight="1" x14ac:dyDescent="0.35">
      <c r="A74" s="733"/>
      <c r="B74" s="733"/>
      <c r="C74" s="807"/>
      <c r="D74" s="771">
        <v>19</v>
      </c>
      <c r="E74" s="727" t="s">
        <v>510</v>
      </c>
      <c r="F74" s="727" t="s">
        <v>824</v>
      </c>
      <c r="G74" s="727" t="s">
        <v>84</v>
      </c>
      <c r="H74" s="727" t="s">
        <v>154</v>
      </c>
      <c r="I74" s="933"/>
      <c r="J74" s="809" t="s">
        <v>261</v>
      </c>
      <c r="K74" s="727" t="s">
        <v>404</v>
      </c>
      <c r="L74" s="727" t="s">
        <v>2022</v>
      </c>
      <c r="M74" s="926" t="s">
        <v>387</v>
      </c>
      <c r="N74" s="928" t="s">
        <v>152</v>
      </c>
      <c r="O74" s="930">
        <v>56281</v>
      </c>
      <c r="P74" s="930">
        <v>45747</v>
      </c>
      <c r="Q74" s="101" t="s">
        <v>91</v>
      </c>
      <c r="R74" s="816">
        <f>+R62</f>
        <v>0.125</v>
      </c>
      <c r="S74" s="113">
        <v>0</v>
      </c>
      <c r="T74" s="113">
        <v>0</v>
      </c>
      <c r="U74" s="161">
        <v>1</v>
      </c>
      <c r="V74" s="906"/>
      <c r="W74" s="779"/>
      <c r="X74" s="778" t="s">
        <v>401</v>
      </c>
      <c r="Y74" s="906"/>
      <c r="Z74" s="779"/>
      <c r="AA74" s="782" t="s">
        <v>401</v>
      </c>
      <c r="AB74" s="906"/>
      <c r="AC74" s="779"/>
      <c r="AD74" s="782"/>
      <c r="AE74" s="822"/>
      <c r="AF74" s="733"/>
      <c r="AG74" s="755"/>
      <c r="AH74" s="776"/>
      <c r="AI74" s="769"/>
      <c r="AJ74" s="776"/>
      <c r="AK74" s="769"/>
      <c r="AL74" s="776"/>
      <c r="AM74" s="769"/>
      <c r="AN74" s="88"/>
      <c r="AO74" s="73"/>
    </row>
    <row r="75" spans="1:41" ht="137.9" customHeight="1" thickBot="1" x14ac:dyDescent="0.4">
      <c r="A75" s="733"/>
      <c r="B75" s="733"/>
      <c r="C75" s="807"/>
      <c r="D75" s="759"/>
      <c r="E75" s="730"/>
      <c r="F75" s="730"/>
      <c r="G75" s="730"/>
      <c r="H75" s="730"/>
      <c r="I75" s="933"/>
      <c r="J75" s="810"/>
      <c r="K75" s="730"/>
      <c r="L75" s="730"/>
      <c r="M75" s="826"/>
      <c r="N75" s="895"/>
      <c r="O75" s="901"/>
      <c r="P75" s="901"/>
      <c r="Q75" s="115" t="s">
        <v>96</v>
      </c>
      <c r="R75" s="840"/>
      <c r="S75" s="116">
        <v>0</v>
      </c>
      <c r="T75" s="117">
        <v>0</v>
      </c>
      <c r="U75" s="118">
        <v>1</v>
      </c>
      <c r="V75" s="906"/>
      <c r="W75" s="779"/>
      <c r="X75" s="794"/>
      <c r="Y75" s="906"/>
      <c r="Z75" s="779"/>
      <c r="AA75" s="799"/>
      <c r="AB75" s="906"/>
      <c r="AC75" s="779"/>
      <c r="AD75" s="799"/>
      <c r="AE75" s="822"/>
      <c r="AF75" s="733"/>
      <c r="AG75" s="755"/>
      <c r="AH75" s="776"/>
      <c r="AI75" s="769"/>
      <c r="AJ75" s="776"/>
      <c r="AK75" s="769"/>
      <c r="AL75" s="776"/>
      <c r="AM75" s="769"/>
      <c r="AN75" s="73"/>
      <c r="AO75" s="73"/>
    </row>
    <row r="76" spans="1:41" ht="137.9" customHeight="1" x14ac:dyDescent="0.35">
      <c r="A76" s="733"/>
      <c r="B76" s="733"/>
      <c r="C76" s="807"/>
      <c r="D76" s="771">
        <v>20</v>
      </c>
      <c r="E76" s="727" t="s">
        <v>510</v>
      </c>
      <c r="F76" s="727" t="s">
        <v>824</v>
      </c>
      <c r="G76" s="727" t="s">
        <v>84</v>
      </c>
      <c r="H76" s="727" t="s">
        <v>154</v>
      </c>
      <c r="I76" s="933"/>
      <c r="J76" s="809" t="s">
        <v>261</v>
      </c>
      <c r="K76" s="727" t="s">
        <v>405</v>
      </c>
      <c r="L76" s="727" t="s">
        <v>2023</v>
      </c>
      <c r="M76" s="926" t="s">
        <v>387</v>
      </c>
      <c r="N76" s="928" t="s">
        <v>152</v>
      </c>
      <c r="O76" s="903">
        <v>45823</v>
      </c>
      <c r="P76" s="903">
        <v>45869</v>
      </c>
      <c r="Q76" s="101" t="s">
        <v>91</v>
      </c>
      <c r="R76" s="816">
        <f>+R64</f>
        <v>0</v>
      </c>
      <c r="S76" s="113">
        <v>0</v>
      </c>
      <c r="T76" s="113">
        <v>0</v>
      </c>
      <c r="U76" s="161">
        <v>1</v>
      </c>
      <c r="V76" s="906"/>
      <c r="W76" s="779"/>
      <c r="X76" s="778" t="s">
        <v>401</v>
      </c>
      <c r="Y76" s="906"/>
      <c r="Z76" s="779"/>
      <c r="AA76" s="782" t="s">
        <v>401</v>
      </c>
      <c r="AB76" s="906"/>
      <c r="AC76" s="779"/>
      <c r="AD76" s="782"/>
      <c r="AE76" s="822"/>
      <c r="AF76" s="733"/>
      <c r="AG76" s="755"/>
      <c r="AH76" s="776"/>
      <c r="AI76" s="769"/>
      <c r="AJ76" s="776"/>
      <c r="AK76" s="769"/>
      <c r="AL76" s="776"/>
      <c r="AM76" s="769"/>
      <c r="AN76" s="88"/>
      <c r="AO76" s="73"/>
    </row>
    <row r="77" spans="1:41" ht="137.9" customHeight="1" thickBot="1" x14ac:dyDescent="0.4">
      <c r="A77" s="733"/>
      <c r="B77" s="733"/>
      <c r="C77" s="807"/>
      <c r="D77" s="759"/>
      <c r="E77" s="730"/>
      <c r="F77" s="730"/>
      <c r="G77" s="730"/>
      <c r="H77" s="730"/>
      <c r="I77" s="933"/>
      <c r="J77" s="675"/>
      <c r="K77" s="728"/>
      <c r="L77" s="728"/>
      <c r="M77" s="927"/>
      <c r="N77" s="929"/>
      <c r="O77" s="904"/>
      <c r="P77" s="904"/>
      <c r="Q77" s="115" t="s">
        <v>96</v>
      </c>
      <c r="R77" s="840"/>
      <c r="S77" s="116">
        <v>0</v>
      </c>
      <c r="T77" s="117">
        <v>0</v>
      </c>
      <c r="U77" s="118">
        <v>1</v>
      </c>
      <c r="V77" s="906"/>
      <c r="W77" s="779"/>
      <c r="X77" s="794"/>
      <c r="Y77" s="906"/>
      <c r="Z77" s="779"/>
      <c r="AA77" s="799"/>
      <c r="AB77" s="906"/>
      <c r="AC77" s="779"/>
      <c r="AD77" s="799"/>
      <c r="AE77" s="822"/>
      <c r="AF77" s="733"/>
      <c r="AG77" s="755"/>
      <c r="AH77" s="776"/>
      <c r="AI77" s="769"/>
      <c r="AJ77" s="776"/>
      <c r="AK77" s="769"/>
      <c r="AL77" s="776"/>
      <c r="AM77" s="769"/>
      <c r="AN77" s="73"/>
      <c r="AO77" s="73"/>
    </row>
    <row r="78" spans="1:41" ht="137.9" customHeight="1" x14ac:dyDescent="0.35">
      <c r="A78" s="733"/>
      <c r="B78" s="733"/>
      <c r="C78" s="807"/>
      <c r="D78" s="771">
        <v>21</v>
      </c>
      <c r="E78" s="727" t="s">
        <v>510</v>
      </c>
      <c r="F78" s="727" t="s">
        <v>824</v>
      </c>
      <c r="G78" s="727" t="s">
        <v>84</v>
      </c>
      <c r="H78" s="727" t="s">
        <v>154</v>
      </c>
      <c r="I78" s="933"/>
      <c r="J78" s="810" t="s">
        <v>261</v>
      </c>
      <c r="K78" s="729" t="s">
        <v>2024</v>
      </c>
      <c r="L78" s="729" t="s">
        <v>407</v>
      </c>
      <c r="M78" s="896" t="s">
        <v>387</v>
      </c>
      <c r="N78" s="897" t="s">
        <v>152</v>
      </c>
      <c r="O78" s="902">
        <v>45992</v>
      </c>
      <c r="P78" s="902">
        <v>46022</v>
      </c>
      <c r="Q78" s="101" t="s">
        <v>91</v>
      </c>
      <c r="R78" s="816">
        <f>+R66</f>
        <v>0.125</v>
      </c>
      <c r="S78" s="113">
        <v>0</v>
      </c>
      <c r="T78" s="113">
        <v>0</v>
      </c>
      <c r="U78" s="161">
        <v>1</v>
      </c>
      <c r="V78" s="906"/>
      <c r="W78" s="779"/>
      <c r="X78" s="778" t="s">
        <v>401</v>
      </c>
      <c r="Y78" s="906"/>
      <c r="Z78" s="779"/>
      <c r="AA78" s="782" t="s">
        <v>401</v>
      </c>
      <c r="AB78" s="906"/>
      <c r="AC78" s="779"/>
      <c r="AD78" s="782"/>
      <c r="AE78" s="822"/>
      <c r="AF78" s="733"/>
      <c r="AG78" s="755"/>
      <c r="AH78" s="776"/>
      <c r="AI78" s="769"/>
      <c r="AJ78" s="776"/>
      <c r="AK78" s="769"/>
      <c r="AL78" s="776"/>
      <c r="AM78" s="769"/>
      <c r="AN78" s="88"/>
      <c r="AO78" s="73"/>
    </row>
    <row r="79" spans="1:41" ht="137.9" customHeight="1" thickBot="1" x14ac:dyDescent="0.4">
      <c r="A79" s="733"/>
      <c r="B79" s="733"/>
      <c r="C79" s="808"/>
      <c r="D79" s="759"/>
      <c r="E79" s="730"/>
      <c r="F79" s="730"/>
      <c r="G79" s="730"/>
      <c r="H79" s="730"/>
      <c r="I79" s="933"/>
      <c r="J79" s="810"/>
      <c r="K79" s="729"/>
      <c r="L79" s="729"/>
      <c r="M79" s="896"/>
      <c r="N79" s="897"/>
      <c r="O79" s="902"/>
      <c r="P79" s="902"/>
      <c r="Q79" s="115" t="s">
        <v>96</v>
      </c>
      <c r="R79" s="840"/>
      <c r="S79" s="116">
        <v>0</v>
      </c>
      <c r="T79" s="117">
        <v>0</v>
      </c>
      <c r="U79" s="118">
        <v>1</v>
      </c>
      <c r="V79" s="907"/>
      <c r="W79" s="801"/>
      <c r="X79" s="794"/>
      <c r="Y79" s="914"/>
      <c r="Z79" s="780"/>
      <c r="AA79" s="799"/>
      <c r="AB79" s="907"/>
      <c r="AC79" s="801"/>
      <c r="AD79" s="799"/>
      <c r="AE79" s="823"/>
      <c r="AF79" s="733"/>
      <c r="AG79" s="755"/>
      <c r="AH79" s="776"/>
      <c r="AI79" s="769"/>
      <c r="AJ79" s="776"/>
      <c r="AK79" s="769"/>
      <c r="AL79" s="776"/>
      <c r="AM79" s="769"/>
      <c r="AN79" s="73"/>
      <c r="AO79" s="73"/>
    </row>
    <row r="80" spans="1:41" ht="73.5" customHeight="1" x14ac:dyDescent="0.35">
      <c r="A80" s="733"/>
      <c r="B80" s="755"/>
      <c r="C80" s="835"/>
      <c r="D80" s="771">
        <v>22</v>
      </c>
      <c r="E80" s="727" t="s">
        <v>510</v>
      </c>
      <c r="F80" s="727" t="s">
        <v>824</v>
      </c>
      <c r="G80" s="727" t="s">
        <v>84</v>
      </c>
      <c r="H80" s="727" t="s">
        <v>85</v>
      </c>
      <c r="I80" s="933"/>
      <c r="J80" s="837" t="s">
        <v>87</v>
      </c>
      <c r="K80" s="839" t="s">
        <v>408</v>
      </c>
      <c r="L80" s="891" t="s">
        <v>409</v>
      </c>
      <c r="M80" s="891" t="s">
        <v>387</v>
      </c>
      <c r="N80" s="891" t="s">
        <v>152</v>
      </c>
      <c r="O80" s="892">
        <v>45659</v>
      </c>
      <c r="P80" s="892">
        <v>46022</v>
      </c>
      <c r="Q80" s="105" t="s">
        <v>91</v>
      </c>
      <c r="R80" s="893">
        <f>1/7</f>
        <v>0.14285714285714285</v>
      </c>
      <c r="S80" s="119">
        <v>0.33</v>
      </c>
      <c r="T80" s="155">
        <v>0.33</v>
      </c>
      <c r="U80" s="162">
        <v>0.27</v>
      </c>
      <c r="V80" s="908" t="e">
        <f>($R$80*S81)+($R$82*S83)+($R$84*S85)+($R$86*S87)+(#REF!*#REF!)+(#REF!*#REF!)+(#REF!*#REF!)</f>
        <v>#REF!</v>
      </c>
      <c r="W80" s="800" t="e">
        <f>($R$80*$S80)+($R$82*$S82)+($R$84*$S84)+($R$86*$S86)+(#REF!*#REF!)+(#REF!*#REF!)+(#REF!*#REF!)</f>
        <v>#REF!</v>
      </c>
      <c r="X80" s="832" t="s">
        <v>410</v>
      </c>
      <c r="Y80" s="915" t="e">
        <f>($R$80*T81)+($R$82*T83)+($R$84*T85)+($R$86*T87)+(#REF!*#REF!)+(#REF!*#REF!)+(#REF!*#REF!)</f>
        <v>#REF!</v>
      </c>
      <c r="Z80" s="783" t="e">
        <f>($R$80*T80)+($R$82*T82)+($R$84*T84)+($R$86*T86)+(#REF!*#REF!)+(#REF!*#REF!)+(#REF!*#REF!)</f>
        <v>#REF!</v>
      </c>
      <c r="AA80" s="832" t="s">
        <v>411</v>
      </c>
      <c r="AB80" s="915" t="e">
        <f>($R$80*U81)+($R$82*U83)+($R$84*U85)+($R$86*U87)+(#REF!*#REF!)+(#REF!*#REF!)+(#REF!*#REF!)</f>
        <v>#REF!</v>
      </c>
      <c r="AC80" s="783" t="e">
        <f>($R$80*U80)+($R$82*U82)+($R$84*U84)+($R$86*U86)+(#REF!*#REF!)+(#REF!*#REF!)+(#REF!*#REF!)</f>
        <v>#REF!</v>
      </c>
      <c r="AD80" s="832" t="s">
        <v>412</v>
      </c>
      <c r="AE80" s="821">
        <v>0.3</v>
      </c>
      <c r="AF80" s="834"/>
      <c r="AG80" s="755"/>
      <c r="AH80" s="775" t="e">
        <f>+V80</f>
        <v>#REF!</v>
      </c>
      <c r="AI80" s="829" t="e">
        <f>+W80</f>
        <v>#REF!</v>
      </c>
      <c r="AJ80" s="775" t="e">
        <f>+Y80</f>
        <v>#REF!</v>
      </c>
      <c r="AK80" s="829" t="e">
        <f>+Z80</f>
        <v>#REF!</v>
      </c>
      <c r="AL80" s="775" t="e">
        <f>+AB80</f>
        <v>#REF!</v>
      </c>
      <c r="AM80" s="829" t="e">
        <f>+AC80</f>
        <v>#REF!</v>
      </c>
      <c r="AN80" s="73"/>
      <c r="AO80" s="73"/>
    </row>
    <row r="81" spans="1:41" ht="73.5" customHeight="1" thickBot="1" x14ac:dyDescent="0.4">
      <c r="A81" s="733"/>
      <c r="B81" s="755"/>
      <c r="C81" s="836"/>
      <c r="D81" s="759"/>
      <c r="E81" s="730"/>
      <c r="F81" s="730"/>
      <c r="G81" s="730"/>
      <c r="H81" s="730"/>
      <c r="I81" s="933"/>
      <c r="J81" s="838"/>
      <c r="K81" s="667"/>
      <c r="L81" s="856"/>
      <c r="M81" s="856"/>
      <c r="N81" s="856"/>
      <c r="O81" s="852"/>
      <c r="P81" s="852"/>
      <c r="Q81" s="109" t="s">
        <v>96</v>
      </c>
      <c r="R81" s="828"/>
      <c r="S81" s="110">
        <v>0.33</v>
      </c>
      <c r="T81" s="96">
        <v>0.33</v>
      </c>
      <c r="U81" s="97">
        <v>0.34</v>
      </c>
      <c r="V81" s="909"/>
      <c r="W81" s="779"/>
      <c r="X81" s="833"/>
      <c r="Y81" s="906"/>
      <c r="Z81" s="779"/>
      <c r="AA81" s="833"/>
      <c r="AB81" s="906"/>
      <c r="AC81" s="779"/>
      <c r="AD81" s="833"/>
      <c r="AE81" s="822"/>
      <c r="AF81" s="834"/>
      <c r="AG81" s="755"/>
      <c r="AH81" s="831"/>
      <c r="AI81" s="830"/>
      <c r="AJ81" s="831"/>
      <c r="AK81" s="830"/>
      <c r="AL81" s="831"/>
      <c r="AM81" s="830"/>
      <c r="AN81" s="73"/>
      <c r="AO81" s="73"/>
    </row>
    <row r="82" spans="1:41" ht="73.5" customHeight="1" x14ac:dyDescent="0.35">
      <c r="A82" s="733"/>
      <c r="B82" s="755"/>
      <c r="C82" s="836"/>
      <c r="D82" s="771">
        <v>23</v>
      </c>
      <c r="E82" s="727" t="s">
        <v>510</v>
      </c>
      <c r="F82" s="727" t="s">
        <v>824</v>
      </c>
      <c r="G82" s="727" t="s">
        <v>84</v>
      </c>
      <c r="H82" s="727" t="s">
        <v>85</v>
      </c>
      <c r="I82" s="933"/>
      <c r="J82" s="841" t="s">
        <v>87</v>
      </c>
      <c r="K82" s="666" t="s">
        <v>413</v>
      </c>
      <c r="L82" s="855" t="s">
        <v>2013</v>
      </c>
      <c r="M82" s="853" t="s">
        <v>387</v>
      </c>
      <c r="N82" s="855" t="s">
        <v>152</v>
      </c>
      <c r="O82" s="851">
        <v>45659</v>
      </c>
      <c r="P82" s="851">
        <v>46022</v>
      </c>
      <c r="Q82" s="120" t="s">
        <v>91</v>
      </c>
      <c r="R82" s="827">
        <f>1/7</f>
        <v>0.14285714285714285</v>
      </c>
      <c r="S82" s="121">
        <v>0</v>
      </c>
      <c r="T82" s="146">
        <v>0.5</v>
      </c>
      <c r="U82" s="146">
        <v>0.5</v>
      </c>
      <c r="V82" s="909"/>
      <c r="W82" s="779"/>
      <c r="X82" s="832" t="s">
        <v>414</v>
      </c>
      <c r="Y82" s="906"/>
      <c r="Z82" s="779"/>
      <c r="AA82" s="832" t="s">
        <v>415</v>
      </c>
      <c r="AB82" s="906"/>
      <c r="AC82" s="779"/>
      <c r="AD82" s="832" t="s">
        <v>416</v>
      </c>
      <c r="AE82" s="822"/>
      <c r="AF82" s="834"/>
      <c r="AG82" s="755"/>
      <c r="AH82" s="831"/>
      <c r="AI82" s="830"/>
      <c r="AJ82" s="831"/>
      <c r="AK82" s="830"/>
      <c r="AL82" s="831"/>
      <c r="AM82" s="830"/>
      <c r="AN82" s="73"/>
      <c r="AO82" s="73"/>
    </row>
    <row r="83" spans="1:41" ht="73.5" customHeight="1" thickBot="1" x14ac:dyDescent="0.4">
      <c r="A83" s="733"/>
      <c r="B83" s="755"/>
      <c r="C83" s="836"/>
      <c r="D83" s="759"/>
      <c r="E83" s="730"/>
      <c r="F83" s="730"/>
      <c r="G83" s="730"/>
      <c r="H83" s="730"/>
      <c r="I83" s="933"/>
      <c r="J83" s="838"/>
      <c r="K83" s="667"/>
      <c r="L83" s="856"/>
      <c r="M83" s="854"/>
      <c r="N83" s="856"/>
      <c r="O83" s="852"/>
      <c r="P83" s="852"/>
      <c r="Q83" s="122" t="s">
        <v>96</v>
      </c>
      <c r="R83" s="828"/>
      <c r="S83" s="110">
        <v>0</v>
      </c>
      <c r="T83" s="96">
        <v>0.5</v>
      </c>
      <c r="U83" s="97">
        <v>0.5</v>
      </c>
      <c r="V83" s="909"/>
      <c r="W83" s="779"/>
      <c r="X83" s="833"/>
      <c r="Y83" s="906"/>
      <c r="Z83" s="779"/>
      <c r="AA83" s="833"/>
      <c r="AB83" s="906"/>
      <c r="AC83" s="779"/>
      <c r="AD83" s="833"/>
      <c r="AE83" s="822"/>
      <c r="AF83" s="834"/>
      <c r="AG83" s="755"/>
      <c r="AH83" s="831"/>
      <c r="AI83" s="830"/>
      <c r="AJ83" s="831"/>
      <c r="AK83" s="830"/>
      <c r="AL83" s="831"/>
      <c r="AM83" s="830"/>
      <c r="AN83" s="73"/>
      <c r="AO83" s="73"/>
    </row>
    <row r="84" spans="1:41" ht="73.5" customHeight="1" x14ac:dyDescent="0.35">
      <c r="A84" s="733"/>
      <c r="B84" s="755"/>
      <c r="C84" s="836"/>
      <c r="D84" s="771">
        <v>24</v>
      </c>
      <c r="E84" s="727" t="s">
        <v>510</v>
      </c>
      <c r="F84" s="727" t="s">
        <v>824</v>
      </c>
      <c r="G84" s="727" t="s">
        <v>84</v>
      </c>
      <c r="H84" s="727" t="s">
        <v>85</v>
      </c>
      <c r="I84" s="933"/>
      <c r="J84" s="841" t="s">
        <v>87</v>
      </c>
      <c r="K84" s="666" t="s">
        <v>2014</v>
      </c>
      <c r="L84" s="855" t="s">
        <v>2015</v>
      </c>
      <c r="M84" s="847" t="s">
        <v>387</v>
      </c>
      <c r="N84" s="849" t="s">
        <v>152</v>
      </c>
      <c r="O84" s="851">
        <v>45869</v>
      </c>
      <c r="P84" s="885">
        <v>46053</v>
      </c>
      <c r="Q84" s="101" t="s">
        <v>91</v>
      </c>
      <c r="R84" s="827">
        <f>1/7</f>
        <v>0.14285714285714285</v>
      </c>
      <c r="S84" s="121">
        <v>0</v>
      </c>
      <c r="T84" s="156">
        <v>0.5</v>
      </c>
      <c r="U84" s="161">
        <v>0.5</v>
      </c>
      <c r="V84" s="909"/>
      <c r="W84" s="779"/>
      <c r="X84" s="832" t="s">
        <v>417</v>
      </c>
      <c r="Y84" s="906"/>
      <c r="Z84" s="779"/>
      <c r="AA84" s="844" t="s">
        <v>418</v>
      </c>
      <c r="AB84" s="906"/>
      <c r="AC84" s="779"/>
      <c r="AD84" s="842" t="s">
        <v>419</v>
      </c>
      <c r="AE84" s="822"/>
      <c r="AF84" s="834"/>
      <c r="AG84" s="755"/>
      <c r="AH84" s="831"/>
      <c r="AI84" s="830"/>
      <c r="AJ84" s="831"/>
      <c r="AK84" s="830"/>
      <c r="AL84" s="831"/>
      <c r="AM84" s="830"/>
      <c r="AN84" s="73"/>
      <c r="AO84" s="73"/>
    </row>
    <row r="85" spans="1:41" ht="73.5" customHeight="1" thickBot="1" x14ac:dyDescent="0.4">
      <c r="A85" s="733"/>
      <c r="B85" s="755"/>
      <c r="C85" s="836"/>
      <c r="D85" s="759"/>
      <c r="E85" s="730"/>
      <c r="F85" s="730"/>
      <c r="G85" s="730"/>
      <c r="H85" s="730"/>
      <c r="I85" s="933"/>
      <c r="J85" s="838"/>
      <c r="K85" s="846"/>
      <c r="L85" s="856"/>
      <c r="M85" s="848"/>
      <c r="N85" s="850"/>
      <c r="O85" s="859"/>
      <c r="P85" s="886"/>
      <c r="Q85" s="109" t="s">
        <v>96</v>
      </c>
      <c r="R85" s="828"/>
      <c r="S85" s="110">
        <v>0</v>
      </c>
      <c r="T85" s="96">
        <v>0.5</v>
      </c>
      <c r="U85" s="97">
        <v>0.5</v>
      </c>
      <c r="V85" s="909"/>
      <c r="W85" s="779"/>
      <c r="X85" s="833"/>
      <c r="Y85" s="906"/>
      <c r="Z85" s="779"/>
      <c r="AA85" s="845"/>
      <c r="AB85" s="906"/>
      <c r="AC85" s="779"/>
      <c r="AD85" s="843"/>
      <c r="AE85" s="822"/>
      <c r="AF85" s="834"/>
      <c r="AG85" s="755"/>
      <c r="AH85" s="831"/>
      <c r="AI85" s="830"/>
      <c r="AJ85" s="831"/>
      <c r="AK85" s="830"/>
      <c r="AL85" s="831"/>
      <c r="AM85" s="830"/>
      <c r="AN85" s="73"/>
      <c r="AO85" s="73"/>
    </row>
    <row r="86" spans="1:41" ht="71.650000000000006" customHeight="1" x14ac:dyDescent="0.35">
      <c r="A86" s="733"/>
      <c r="B86" s="755"/>
      <c r="C86" s="836"/>
      <c r="D86" s="771">
        <v>25</v>
      </c>
      <c r="E86" s="727" t="s">
        <v>510</v>
      </c>
      <c r="F86" s="727" t="s">
        <v>824</v>
      </c>
      <c r="G86" s="727" t="s">
        <v>84</v>
      </c>
      <c r="H86" s="727" t="s">
        <v>85</v>
      </c>
      <c r="I86" s="933"/>
      <c r="J86" s="841" t="s">
        <v>87</v>
      </c>
      <c r="K86" s="666" t="s">
        <v>420</v>
      </c>
      <c r="L86" s="855" t="s">
        <v>2016</v>
      </c>
      <c r="M86" s="847" t="s">
        <v>387</v>
      </c>
      <c r="N86" s="849" t="s">
        <v>152</v>
      </c>
      <c r="O86" s="851">
        <v>45900</v>
      </c>
      <c r="P86" s="885">
        <v>46081</v>
      </c>
      <c r="Q86" s="101" t="s">
        <v>91</v>
      </c>
      <c r="R86" s="827">
        <f>1/7</f>
        <v>0.14285714285714285</v>
      </c>
      <c r="S86" s="121">
        <v>0</v>
      </c>
      <c r="T86" s="157">
        <v>0.5</v>
      </c>
      <c r="U86" s="173">
        <v>0.5</v>
      </c>
      <c r="V86" s="909"/>
      <c r="W86" s="779"/>
      <c r="X86" s="860" t="s">
        <v>129</v>
      </c>
      <c r="Y86" s="906"/>
      <c r="Z86" s="779"/>
      <c r="AA86" s="844" t="s">
        <v>421</v>
      </c>
      <c r="AB86" s="906"/>
      <c r="AC86" s="779"/>
      <c r="AD86" s="842" t="s">
        <v>422</v>
      </c>
      <c r="AE86" s="822"/>
      <c r="AF86" s="834"/>
      <c r="AG86" s="755"/>
      <c r="AH86" s="831"/>
      <c r="AI86" s="830"/>
      <c r="AJ86" s="831"/>
      <c r="AK86" s="830"/>
      <c r="AL86" s="831"/>
      <c r="AM86" s="830"/>
      <c r="AN86" s="73"/>
      <c r="AO86" s="73"/>
    </row>
    <row r="87" spans="1:41" ht="83.65" customHeight="1" thickBot="1" x14ac:dyDescent="0.4">
      <c r="A87" s="733"/>
      <c r="B87" s="755"/>
      <c r="C87" s="836"/>
      <c r="D87" s="759"/>
      <c r="E87" s="730"/>
      <c r="F87" s="730"/>
      <c r="G87" s="730"/>
      <c r="H87" s="730"/>
      <c r="I87" s="934"/>
      <c r="J87" s="857"/>
      <c r="K87" s="846"/>
      <c r="L87" s="923"/>
      <c r="M87" s="858"/>
      <c r="N87" s="884"/>
      <c r="O87" s="859"/>
      <c r="P87" s="886"/>
      <c r="Q87" s="109" t="s">
        <v>96</v>
      </c>
      <c r="R87" s="887"/>
      <c r="S87" s="110">
        <v>0</v>
      </c>
      <c r="T87" s="96">
        <v>0.5</v>
      </c>
      <c r="U87" s="97">
        <v>0.5</v>
      </c>
      <c r="V87" s="909"/>
      <c r="W87" s="779"/>
      <c r="X87" s="861"/>
      <c r="Y87" s="906"/>
      <c r="Z87" s="779"/>
      <c r="AA87" s="845"/>
      <c r="AB87" s="906"/>
      <c r="AC87" s="779"/>
      <c r="AD87" s="843"/>
      <c r="AE87" s="822"/>
      <c r="AF87" s="834"/>
      <c r="AG87" s="755"/>
      <c r="AH87" s="831"/>
      <c r="AI87" s="830"/>
      <c r="AJ87" s="831"/>
      <c r="AK87" s="830"/>
      <c r="AL87" s="831"/>
      <c r="AM87" s="830"/>
      <c r="AN87" s="73"/>
      <c r="AO87" s="73"/>
    </row>
    <row r="88" spans="1:41" ht="103.5" customHeight="1" x14ac:dyDescent="0.35">
      <c r="A88" s="733"/>
      <c r="B88" s="733"/>
      <c r="C88" s="864"/>
      <c r="D88" s="771">
        <v>26</v>
      </c>
      <c r="E88" s="727" t="s">
        <v>510</v>
      </c>
      <c r="F88" s="727" t="s">
        <v>824</v>
      </c>
      <c r="G88" s="727" t="s">
        <v>533</v>
      </c>
      <c r="H88" s="727" t="s">
        <v>560</v>
      </c>
      <c r="I88" s="862" t="s">
        <v>2025</v>
      </c>
      <c r="J88" s="810" t="s">
        <v>426</v>
      </c>
      <c r="K88" s="810" t="s">
        <v>427</v>
      </c>
      <c r="L88" s="865" t="s">
        <v>428</v>
      </c>
      <c r="M88" s="814" t="s">
        <v>425</v>
      </c>
      <c r="N88" s="814" t="s">
        <v>152</v>
      </c>
      <c r="O88" s="892">
        <v>45659</v>
      </c>
      <c r="P88" s="892">
        <v>46022</v>
      </c>
      <c r="Q88" s="888" t="s">
        <v>96</v>
      </c>
      <c r="R88" s="890">
        <f>1/3</f>
        <v>0.33333333333333331</v>
      </c>
      <c r="S88" s="111">
        <v>0</v>
      </c>
      <c r="T88" s="156">
        <v>0.5</v>
      </c>
      <c r="U88" s="161">
        <v>0.5</v>
      </c>
      <c r="V88" s="910"/>
      <c r="W88" s="898"/>
      <c r="X88" s="869" t="s">
        <v>429</v>
      </c>
      <c r="Y88" s="910"/>
      <c r="Z88" s="898"/>
      <c r="AA88" s="869" t="s">
        <v>430</v>
      </c>
      <c r="AB88" s="910"/>
      <c r="AC88" s="898"/>
      <c r="AD88" s="867"/>
      <c r="AE88" s="871"/>
      <c r="AF88" s="733"/>
      <c r="AG88" s="733"/>
      <c r="AH88" s="776"/>
      <c r="AI88" s="769"/>
      <c r="AJ88" s="776"/>
      <c r="AK88" s="769"/>
      <c r="AL88" s="776"/>
      <c r="AM88" s="769"/>
      <c r="AN88" s="733"/>
      <c r="AO88" s="733"/>
    </row>
    <row r="89" spans="1:41" ht="138" customHeight="1" thickBot="1" x14ac:dyDescent="0.4">
      <c r="A89" s="733"/>
      <c r="B89" s="733"/>
      <c r="C89" s="836"/>
      <c r="D89" s="759"/>
      <c r="E89" s="728"/>
      <c r="F89" s="728"/>
      <c r="G89" s="728"/>
      <c r="H89" s="728"/>
      <c r="I89" s="863"/>
      <c r="J89" s="675"/>
      <c r="K89" s="675"/>
      <c r="L89" s="841"/>
      <c r="M89" s="773"/>
      <c r="N89" s="773"/>
      <c r="O89" s="892"/>
      <c r="P89" s="892"/>
      <c r="Q89" s="889"/>
      <c r="R89" s="827"/>
      <c r="S89" s="123">
        <v>0</v>
      </c>
      <c r="T89" s="124">
        <v>0.5</v>
      </c>
      <c r="U89" s="125">
        <v>0.5</v>
      </c>
      <c r="V89" s="911"/>
      <c r="W89" s="899"/>
      <c r="X89" s="870"/>
      <c r="Y89" s="911"/>
      <c r="Z89" s="899"/>
      <c r="AA89" s="870"/>
      <c r="AB89" s="911"/>
      <c r="AC89" s="899"/>
      <c r="AD89" s="868"/>
      <c r="AE89" s="871"/>
      <c r="AF89" s="733"/>
      <c r="AG89" s="733"/>
      <c r="AH89" s="777"/>
      <c r="AI89" s="770"/>
      <c r="AJ89" s="777"/>
      <c r="AK89" s="770"/>
      <c r="AL89" s="777"/>
      <c r="AM89" s="770"/>
      <c r="AN89" s="733"/>
      <c r="AO89" s="733"/>
    </row>
    <row r="90" spans="1:41" ht="73.5" customHeight="1" x14ac:dyDescent="0.35">
      <c r="A90" s="733"/>
      <c r="B90" s="733"/>
      <c r="C90" s="835"/>
      <c r="D90" s="771">
        <v>27</v>
      </c>
      <c r="E90" s="729" t="s">
        <v>510</v>
      </c>
      <c r="F90" s="729" t="s">
        <v>824</v>
      </c>
      <c r="G90" s="729" t="s">
        <v>118</v>
      </c>
      <c r="H90" s="729" t="s">
        <v>517</v>
      </c>
      <c r="I90" s="937" t="s">
        <v>2026</v>
      </c>
      <c r="J90" s="883" t="s">
        <v>259</v>
      </c>
      <c r="K90" s="883" t="s">
        <v>2027</v>
      </c>
      <c r="L90" s="866" t="s">
        <v>2028</v>
      </c>
      <c r="M90" s="866" t="s">
        <v>2029</v>
      </c>
      <c r="N90" s="866" t="s">
        <v>2030</v>
      </c>
      <c r="O90" s="881">
        <v>45538</v>
      </c>
      <c r="P90" s="881">
        <v>45800</v>
      </c>
      <c r="Q90" s="101" t="s">
        <v>91</v>
      </c>
      <c r="R90" s="872">
        <f>1/3</f>
        <v>0.33333333333333331</v>
      </c>
      <c r="S90" s="290">
        <f>1/3</f>
        <v>0.33333333333333331</v>
      </c>
      <c r="T90" s="290">
        <v>0.33</v>
      </c>
      <c r="U90" s="290">
        <v>0.34</v>
      </c>
      <c r="V90" s="912">
        <f>($R$90*S91)+($R$92*S93)+($R$94*S95)</f>
        <v>0.22</v>
      </c>
      <c r="W90" s="878">
        <f>($R$90*S90)+($R$92*S92)+($R$94*S94)</f>
        <v>0.22111111111111109</v>
      </c>
      <c r="X90" s="880" t="s">
        <v>431</v>
      </c>
      <c r="Y90" s="912">
        <f>($R$90*T91)+($R$92*T93)+($R$94*T95)</f>
        <v>0.38666666666666666</v>
      </c>
      <c r="Z90" s="878">
        <f>($R$90*T90)+($R$92*T92)+($R$94*T94)</f>
        <v>0.38666666666666666</v>
      </c>
      <c r="AA90" s="876" t="s">
        <v>431</v>
      </c>
      <c r="AB90" s="912">
        <f>($R$90*U91)+($R$92*U93)+($R$94*U95)</f>
        <v>0.39333333333333331</v>
      </c>
      <c r="AC90" s="878">
        <f>($R$90*U90)+($R$92*U92)+($R$94*U94)</f>
        <v>0.26</v>
      </c>
      <c r="AD90" s="876" t="s">
        <v>432</v>
      </c>
      <c r="AE90" s="936">
        <v>0.1</v>
      </c>
      <c r="AF90" s="733"/>
      <c r="AG90" s="755"/>
      <c r="AH90" s="775">
        <f>+V90</f>
        <v>0.22</v>
      </c>
      <c r="AI90" s="768">
        <f>+W90</f>
        <v>0.22111111111111109</v>
      </c>
      <c r="AJ90" s="775">
        <f>+Y90</f>
        <v>0.38666666666666666</v>
      </c>
      <c r="AK90" s="768">
        <f>+Z90</f>
        <v>0.38666666666666666</v>
      </c>
      <c r="AL90" s="775">
        <f>+AB90</f>
        <v>0.39333333333333331</v>
      </c>
      <c r="AM90" s="768">
        <f>+AC90</f>
        <v>0.26</v>
      </c>
      <c r="AN90" s="88"/>
      <c r="AO90" s="73"/>
    </row>
    <row r="91" spans="1:41" ht="73.5" customHeight="1" x14ac:dyDescent="0.35">
      <c r="A91" s="733"/>
      <c r="B91" s="733"/>
      <c r="C91" s="836"/>
      <c r="D91" s="759"/>
      <c r="E91" s="729"/>
      <c r="F91" s="729"/>
      <c r="G91" s="729"/>
      <c r="H91" s="729"/>
      <c r="I91" s="937"/>
      <c r="J91" s="883"/>
      <c r="K91" s="883"/>
      <c r="L91" s="866"/>
      <c r="M91" s="866"/>
      <c r="N91" s="866"/>
      <c r="O91" s="881"/>
      <c r="P91" s="881"/>
      <c r="Q91" s="109" t="s">
        <v>96</v>
      </c>
      <c r="R91" s="872"/>
      <c r="S91" s="96">
        <v>0.33</v>
      </c>
      <c r="T91" s="96">
        <v>0.33</v>
      </c>
      <c r="U91" s="96">
        <v>0.34</v>
      </c>
      <c r="V91" s="913"/>
      <c r="W91" s="879"/>
      <c r="X91" s="880"/>
      <c r="Y91" s="913"/>
      <c r="Z91" s="879"/>
      <c r="AA91" s="876"/>
      <c r="AB91" s="913"/>
      <c r="AC91" s="878"/>
      <c r="AD91" s="876"/>
      <c r="AE91" s="936"/>
      <c r="AF91" s="733"/>
      <c r="AG91" s="755"/>
      <c r="AH91" s="776"/>
      <c r="AI91" s="769"/>
      <c r="AJ91" s="776"/>
      <c r="AK91" s="769"/>
      <c r="AL91" s="776"/>
      <c r="AM91" s="769"/>
      <c r="AN91" s="73"/>
      <c r="AO91" s="73"/>
    </row>
    <row r="92" spans="1:41" ht="73.5" customHeight="1" x14ac:dyDescent="0.35">
      <c r="A92" s="733"/>
      <c r="B92" s="733"/>
      <c r="C92" s="836"/>
      <c r="D92" s="771">
        <v>28</v>
      </c>
      <c r="E92" s="729" t="s">
        <v>510</v>
      </c>
      <c r="F92" s="729" t="s">
        <v>824</v>
      </c>
      <c r="G92" s="729" t="s">
        <v>118</v>
      </c>
      <c r="H92" s="729" t="s">
        <v>517</v>
      </c>
      <c r="I92" s="937"/>
      <c r="J92" s="883" t="s">
        <v>259</v>
      </c>
      <c r="K92" s="883" t="s">
        <v>2031</v>
      </c>
      <c r="L92" s="866" t="s">
        <v>2032</v>
      </c>
      <c r="M92" s="866" t="s">
        <v>2029</v>
      </c>
      <c r="N92" s="866" t="s">
        <v>2030</v>
      </c>
      <c r="O92" s="881">
        <v>45717</v>
      </c>
      <c r="P92" s="881">
        <v>46111</v>
      </c>
      <c r="Q92" s="101" t="s">
        <v>91</v>
      </c>
      <c r="R92" s="872">
        <f>1/3</f>
        <v>0.33333333333333331</v>
      </c>
      <c r="S92" s="294">
        <v>0.33</v>
      </c>
      <c r="T92" s="294">
        <v>0.33</v>
      </c>
      <c r="U92" s="294">
        <v>0.34</v>
      </c>
      <c r="V92" s="913"/>
      <c r="W92" s="879"/>
      <c r="X92" s="880" t="s">
        <v>435</v>
      </c>
      <c r="Y92" s="913"/>
      <c r="Z92" s="879"/>
      <c r="AA92" s="877" t="s">
        <v>436</v>
      </c>
      <c r="AB92" s="913"/>
      <c r="AC92" s="878"/>
      <c r="AD92" s="877" t="s">
        <v>437</v>
      </c>
      <c r="AE92" s="936"/>
      <c r="AF92" s="733"/>
      <c r="AG92" s="755"/>
      <c r="AH92" s="776"/>
      <c r="AI92" s="769"/>
      <c r="AJ92" s="776"/>
      <c r="AK92" s="769"/>
      <c r="AL92" s="776"/>
      <c r="AM92" s="769"/>
      <c r="AN92" s="88"/>
      <c r="AO92" s="73"/>
    </row>
    <row r="93" spans="1:41" ht="73.5" customHeight="1" x14ac:dyDescent="0.35">
      <c r="A93" s="733"/>
      <c r="B93" s="733"/>
      <c r="C93" s="836"/>
      <c r="D93" s="759"/>
      <c r="E93" s="729"/>
      <c r="F93" s="729"/>
      <c r="G93" s="729"/>
      <c r="H93" s="729"/>
      <c r="I93" s="937"/>
      <c r="J93" s="883"/>
      <c r="K93" s="883"/>
      <c r="L93" s="866"/>
      <c r="M93" s="866"/>
      <c r="N93" s="866"/>
      <c r="O93" s="881"/>
      <c r="P93" s="881"/>
      <c r="Q93" s="109" t="s">
        <v>96</v>
      </c>
      <c r="R93" s="872"/>
      <c r="S93" s="96">
        <v>0.33</v>
      </c>
      <c r="T93" s="96">
        <v>0.33</v>
      </c>
      <c r="U93" s="96">
        <v>0.34</v>
      </c>
      <c r="V93" s="913"/>
      <c r="W93" s="879"/>
      <c r="X93" s="880"/>
      <c r="Y93" s="913"/>
      <c r="Z93" s="879"/>
      <c r="AA93" s="877"/>
      <c r="AB93" s="913"/>
      <c r="AC93" s="878"/>
      <c r="AD93" s="877"/>
      <c r="AE93" s="936"/>
      <c r="AF93" s="733"/>
      <c r="AG93" s="755"/>
      <c r="AH93" s="776"/>
      <c r="AI93" s="769"/>
      <c r="AJ93" s="776"/>
      <c r="AK93" s="769"/>
      <c r="AL93" s="776"/>
      <c r="AM93" s="769"/>
      <c r="AN93" s="73"/>
      <c r="AO93" s="73"/>
    </row>
    <row r="94" spans="1:41" ht="73.5" customHeight="1" x14ac:dyDescent="0.35">
      <c r="A94" s="733"/>
      <c r="B94" s="733"/>
      <c r="C94" s="836"/>
      <c r="D94" s="771">
        <v>29</v>
      </c>
      <c r="E94" s="729" t="s">
        <v>510</v>
      </c>
      <c r="F94" s="729" t="s">
        <v>824</v>
      </c>
      <c r="G94" s="729" t="s">
        <v>118</v>
      </c>
      <c r="H94" s="729" t="s">
        <v>517</v>
      </c>
      <c r="I94" s="937"/>
      <c r="J94" s="883" t="s">
        <v>155</v>
      </c>
      <c r="K94" s="883" t="s">
        <v>2033</v>
      </c>
      <c r="L94" s="866" t="s">
        <v>2034</v>
      </c>
      <c r="M94" s="866" t="s">
        <v>2029</v>
      </c>
      <c r="N94" s="866" t="s">
        <v>2030</v>
      </c>
      <c r="O94" s="881">
        <v>45200</v>
      </c>
      <c r="P94" s="881">
        <v>45808</v>
      </c>
      <c r="Q94" s="101" t="s">
        <v>91</v>
      </c>
      <c r="R94" s="872">
        <f>1/3</f>
        <v>0.33333333333333331</v>
      </c>
      <c r="S94" s="153">
        <v>0</v>
      </c>
      <c r="T94" s="158">
        <v>0.5</v>
      </c>
      <c r="U94" s="294">
        <v>0.1</v>
      </c>
      <c r="V94" s="913"/>
      <c r="W94" s="879"/>
      <c r="X94" s="873" t="s">
        <v>438</v>
      </c>
      <c r="Y94" s="913"/>
      <c r="Z94" s="879"/>
      <c r="AA94" s="874" t="s">
        <v>438</v>
      </c>
      <c r="AB94" s="913"/>
      <c r="AC94" s="878"/>
      <c r="AD94" s="875" t="s">
        <v>439</v>
      </c>
      <c r="AE94" s="936"/>
      <c r="AF94" s="733"/>
      <c r="AG94" s="755"/>
      <c r="AH94" s="776"/>
      <c r="AI94" s="769"/>
      <c r="AJ94" s="776"/>
      <c r="AK94" s="769"/>
      <c r="AL94" s="776"/>
      <c r="AM94" s="769"/>
      <c r="AN94" s="73"/>
      <c r="AO94" s="73"/>
    </row>
    <row r="95" spans="1:41" ht="73.5" customHeight="1" thickBot="1" x14ac:dyDescent="0.4">
      <c r="A95" s="733"/>
      <c r="B95" s="733"/>
      <c r="C95" s="882"/>
      <c r="D95" s="759"/>
      <c r="E95" s="729"/>
      <c r="F95" s="729"/>
      <c r="G95" s="729"/>
      <c r="H95" s="729"/>
      <c r="I95" s="937"/>
      <c r="J95" s="883"/>
      <c r="K95" s="883"/>
      <c r="L95" s="866"/>
      <c r="M95" s="866"/>
      <c r="N95" s="866"/>
      <c r="O95" s="881"/>
      <c r="P95" s="881"/>
      <c r="Q95" s="109" t="s">
        <v>96</v>
      </c>
      <c r="R95" s="872"/>
      <c r="S95" s="96">
        <v>0</v>
      </c>
      <c r="T95" s="96">
        <v>0.5</v>
      </c>
      <c r="U95" s="96">
        <v>0.5</v>
      </c>
      <c r="V95" s="913"/>
      <c r="W95" s="879"/>
      <c r="X95" s="873"/>
      <c r="Y95" s="913"/>
      <c r="Z95" s="879"/>
      <c r="AA95" s="874"/>
      <c r="AB95" s="913"/>
      <c r="AC95" s="878"/>
      <c r="AD95" s="875"/>
      <c r="AE95" s="936"/>
      <c r="AF95" s="733"/>
      <c r="AG95" s="755"/>
      <c r="AH95" s="776"/>
      <c r="AI95" s="769"/>
      <c r="AJ95" s="776"/>
      <c r="AK95" s="769"/>
      <c r="AL95" s="776"/>
      <c r="AM95" s="769"/>
      <c r="AN95" s="73"/>
      <c r="AO95" s="73"/>
    </row>
    <row r="96" spans="1:41" ht="73.5" customHeight="1" x14ac:dyDescent="0.35">
      <c r="A96" s="733"/>
      <c r="B96" s="733"/>
      <c r="C96" s="288"/>
      <c r="D96" s="771">
        <v>30</v>
      </c>
      <c r="E96" s="729" t="s">
        <v>510</v>
      </c>
      <c r="F96" s="729" t="s">
        <v>824</v>
      </c>
      <c r="G96" s="729" t="s">
        <v>118</v>
      </c>
      <c r="H96" s="729" t="s">
        <v>517</v>
      </c>
      <c r="I96" s="937"/>
      <c r="J96" s="883" t="s">
        <v>2040</v>
      </c>
      <c r="K96" s="883" t="s">
        <v>2035</v>
      </c>
      <c r="L96" s="866" t="s">
        <v>2036</v>
      </c>
      <c r="M96" s="866" t="s">
        <v>448</v>
      </c>
      <c r="N96" s="866" t="s">
        <v>2037</v>
      </c>
      <c r="O96" s="881">
        <v>45748</v>
      </c>
      <c r="P96" s="881">
        <v>46022</v>
      </c>
      <c r="Q96" s="101" t="s">
        <v>91</v>
      </c>
      <c r="R96" s="872">
        <f>1/3</f>
        <v>0.33333333333333331</v>
      </c>
      <c r="S96" s="294">
        <v>0.33</v>
      </c>
      <c r="T96" s="294">
        <v>0.33</v>
      </c>
      <c r="U96" s="294">
        <v>0.34</v>
      </c>
      <c r="V96" s="292"/>
      <c r="W96" s="293"/>
      <c r="X96" s="880" t="s">
        <v>435</v>
      </c>
      <c r="Y96" s="292"/>
      <c r="Z96" s="293"/>
      <c r="AA96" s="877" t="s">
        <v>436</v>
      </c>
      <c r="AB96" s="292"/>
      <c r="AC96" s="291"/>
      <c r="AD96" s="877" t="s">
        <v>437</v>
      </c>
      <c r="AE96" s="936"/>
      <c r="AF96" s="733"/>
      <c r="AG96" s="755"/>
      <c r="AH96" s="196"/>
      <c r="AI96" s="195"/>
      <c r="AJ96" s="289"/>
      <c r="AK96" s="195"/>
      <c r="AL96" s="289"/>
      <c r="AM96" s="195"/>
      <c r="AN96" s="88"/>
      <c r="AO96" s="73"/>
    </row>
    <row r="97" spans="1:41" ht="73.5" customHeight="1" x14ac:dyDescent="0.35">
      <c r="A97" s="733"/>
      <c r="B97" s="733"/>
      <c r="C97" s="288"/>
      <c r="D97" s="759"/>
      <c r="E97" s="729"/>
      <c r="F97" s="729"/>
      <c r="G97" s="729"/>
      <c r="H97" s="729"/>
      <c r="I97" s="937"/>
      <c r="J97" s="883"/>
      <c r="K97" s="883"/>
      <c r="L97" s="866"/>
      <c r="M97" s="866"/>
      <c r="N97" s="866"/>
      <c r="O97" s="881"/>
      <c r="P97" s="881"/>
      <c r="Q97" s="109" t="s">
        <v>96</v>
      </c>
      <c r="R97" s="872"/>
      <c r="S97" s="96">
        <v>0.33</v>
      </c>
      <c r="T97" s="96">
        <v>0.33</v>
      </c>
      <c r="U97" s="96">
        <v>0.34</v>
      </c>
      <c r="V97" s="292"/>
      <c r="W97" s="293"/>
      <c r="X97" s="880"/>
      <c r="Y97" s="292"/>
      <c r="Z97" s="293"/>
      <c r="AA97" s="877"/>
      <c r="AB97" s="292"/>
      <c r="AC97" s="291"/>
      <c r="AD97" s="877"/>
      <c r="AE97" s="936"/>
      <c r="AF97" s="733"/>
      <c r="AG97" s="755"/>
      <c r="AH97" s="196"/>
      <c r="AI97" s="195"/>
      <c r="AJ97" s="289"/>
      <c r="AK97" s="195"/>
      <c r="AL97" s="289"/>
      <c r="AM97" s="195"/>
      <c r="AN97" s="73"/>
      <c r="AO97" s="73"/>
    </row>
    <row r="98" spans="1:41" ht="73.5" customHeight="1" x14ac:dyDescent="0.35">
      <c r="A98" s="733"/>
      <c r="B98" s="733"/>
      <c r="C98" s="288"/>
      <c r="D98" s="771">
        <v>31</v>
      </c>
      <c r="E98" s="729" t="s">
        <v>510</v>
      </c>
      <c r="F98" s="729" t="s">
        <v>824</v>
      </c>
      <c r="G98" s="729" t="s">
        <v>118</v>
      </c>
      <c r="H98" s="729" t="s">
        <v>517</v>
      </c>
      <c r="I98" s="937"/>
      <c r="J98" s="883" t="s">
        <v>2040</v>
      </c>
      <c r="K98" s="883" t="s">
        <v>2038</v>
      </c>
      <c r="L98" s="866" t="s">
        <v>2039</v>
      </c>
      <c r="M98" s="866" t="s">
        <v>448</v>
      </c>
      <c r="N98" s="866" t="s">
        <v>2037</v>
      </c>
      <c r="O98" s="881">
        <v>45748</v>
      </c>
      <c r="P98" s="881">
        <v>46022</v>
      </c>
      <c r="Q98" s="101" t="s">
        <v>91</v>
      </c>
      <c r="R98" s="872">
        <f>1/3</f>
        <v>0.33333333333333331</v>
      </c>
      <c r="S98" s="153">
        <v>0</v>
      </c>
      <c r="T98" s="158">
        <v>0.5</v>
      </c>
      <c r="U98" s="294">
        <v>0.1</v>
      </c>
      <c r="V98" s="292"/>
      <c r="W98" s="293"/>
      <c r="X98" s="873" t="s">
        <v>438</v>
      </c>
      <c r="Y98" s="292"/>
      <c r="Z98" s="293"/>
      <c r="AA98" s="874" t="s">
        <v>438</v>
      </c>
      <c r="AB98" s="292"/>
      <c r="AC98" s="291"/>
      <c r="AD98" s="875" t="s">
        <v>439</v>
      </c>
      <c r="AE98" s="936"/>
      <c r="AF98" s="733"/>
      <c r="AG98" s="755"/>
      <c r="AH98" s="196"/>
      <c r="AI98" s="195"/>
      <c r="AJ98" s="289"/>
      <c r="AK98" s="195"/>
      <c r="AL98" s="289"/>
      <c r="AM98" s="195"/>
      <c r="AN98" s="73"/>
      <c r="AO98" s="73"/>
    </row>
    <row r="99" spans="1:41" ht="73.5" customHeight="1" x14ac:dyDescent="0.35">
      <c r="A99" s="733"/>
      <c r="B99" s="733"/>
      <c r="C99" s="288"/>
      <c r="D99" s="759"/>
      <c r="E99" s="729"/>
      <c r="F99" s="729"/>
      <c r="G99" s="729"/>
      <c r="H99" s="729"/>
      <c r="I99" s="937"/>
      <c r="J99" s="883"/>
      <c r="K99" s="883"/>
      <c r="L99" s="866"/>
      <c r="M99" s="866"/>
      <c r="N99" s="866"/>
      <c r="O99" s="881"/>
      <c r="P99" s="881"/>
      <c r="Q99" s="109" t="s">
        <v>96</v>
      </c>
      <c r="R99" s="872"/>
      <c r="S99" s="96">
        <v>0</v>
      </c>
      <c r="T99" s="96">
        <v>0.5</v>
      </c>
      <c r="U99" s="96">
        <v>0.5</v>
      </c>
      <c r="V99" s="292"/>
      <c r="W99" s="293"/>
      <c r="X99" s="873"/>
      <c r="Y99" s="292"/>
      <c r="Z99" s="293"/>
      <c r="AA99" s="874"/>
      <c r="AB99" s="292"/>
      <c r="AC99" s="291"/>
      <c r="AD99" s="875"/>
      <c r="AE99" s="936"/>
      <c r="AF99" s="733"/>
      <c r="AG99" s="755"/>
      <c r="AH99" s="196"/>
      <c r="AI99" s="195"/>
      <c r="AJ99" s="289"/>
      <c r="AK99" s="195"/>
      <c r="AL99" s="289"/>
      <c r="AM99" s="195"/>
      <c r="AN99" s="73"/>
      <c r="AO99" s="73"/>
    </row>
    <row r="100" spans="1:41" s="134" customFormat="1" ht="77.150000000000006" hidden="1" customHeight="1" thickBot="1" x14ac:dyDescent="0.65">
      <c r="A100" s="731"/>
      <c r="B100" s="731"/>
      <c r="C100" s="130"/>
      <c r="D100" s="130"/>
      <c r="E100" s="130"/>
      <c r="F100" s="130"/>
      <c r="G100" s="130"/>
      <c r="H100" s="130"/>
      <c r="I100" s="130"/>
      <c r="J100" s="130"/>
      <c r="K100" s="130"/>
      <c r="L100" s="130"/>
      <c r="M100" s="130"/>
      <c r="N100" s="130"/>
      <c r="O100" s="130"/>
      <c r="P100" s="130"/>
      <c r="Q100" s="131"/>
      <c r="R100" s="130"/>
      <c r="S100" s="130"/>
      <c r="T100" s="130"/>
      <c r="U100" s="130"/>
      <c r="V100" s="131"/>
      <c r="W100" s="131"/>
      <c r="X100" s="132"/>
      <c r="Y100" s="132"/>
      <c r="Z100" s="132"/>
      <c r="AA100" s="132"/>
      <c r="AB100" s="132"/>
      <c r="AC100" s="131"/>
      <c r="AD100" s="131"/>
      <c r="AE100" s="131"/>
      <c r="AF100" s="130"/>
      <c r="AG100" s="131"/>
      <c r="AH100" s="143" t="e">
        <f>+($AE$40*AH40)+($AE$52*AH52)+($AE$80*AH80)+(#REF!*#REF!)+($AE$90*AH90)</f>
        <v>#REF!</v>
      </c>
      <c r="AI100" s="135" t="e">
        <f>+($AE$40*AI40)+($AE$52*AI52)+($AE$80*AI80)+(#REF!*#REF!)+($AE$90*AI90)</f>
        <v>#REF!</v>
      </c>
      <c r="AJ100" s="144" t="e">
        <f>+($AE$40*AJ40)+($AE$52*AJ52)+($AE$80*AJ80)+(#REF!*#REF!)+($AE$90*AJ90)</f>
        <v>#REF!</v>
      </c>
      <c r="AK100" s="135" t="e">
        <f>+($AE$40*AK40)+($AE$52*AK52)+($AE$80*AK80)+(#REF!*#REF!)+($AE$90*AK90)</f>
        <v>#REF!</v>
      </c>
      <c r="AL100" s="144" t="e">
        <f>+($AE$40*AL40)+($AE$52*AL52)+($AE$80*AL80)+(#REF!*#REF!)+($AE$90*AL90)</f>
        <v>#REF!</v>
      </c>
      <c r="AM100" s="135" t="e">
        <f>+($AE$40*AM40)+($AE$52*AM52)+($AE$80*AM80)+(#REF!*#REF!)+($AE$90*AM90)</f>
        <v>#REF!</v>
      </c>
      <c r="AN100" s="133"/>
      <c r="AO100" s="133"/>
    </row>
    <row r="101" spans="1:41" s="134" customFormat="1" ht="52.5" hidden="1" thickBot="1" x14ac:dyDescent="0.65">
      <c r="A101" s="731"/>
      <c r="B101" s="731"/>
      <c r="C101" s="130"/>
      <c r="D101" s="130"/>
      <c r="E101" s="371" t="s">
        <v>51</v>
      </c>
      <c r="F101" s="371" t="s">
        <v>52</v>
      </c>
      <c r="G101" s="371" t="s">
        <v>53</v>
      </c>
      <c r="H101" s="371" t="s">
        <v>54</v>
      </c>
      <c r="I101" s="371" t="s">
        <v>30</v>
      </c>
      <c r="J101" s="373" t="s">
        <v>55</v>
      </c>
      <c r="K101" s="1"/>
      <c r="L101" s="1"/>
      <c r="M101" s="1"/>
      <c r="N101" s="1"/>
      <c r="O101" s="373" t="s">
        <v>509</v>
      </c>
      <c r="P101" s="130"/>
      <c r="Q101" s="131"/>
      <c r="R101" s="130"/>
      <c r="S101" s="130"/>
      <c r="T101" s="130"/>
      <c r="U101" s="130"/>
      <c r="V101" s="131"/>
      <c r="W101" s="131"/>
      <c r="X101" s="132"/>
      <c r="Y101" s="132"/>
      <c r="Z101" s="132"/>
      <c r="AA101" s="132"/>
      <c r="AB101" s="132"/>
      <c r="AC101" s="131"/>
      <c r="AD101" s="131"/>
      <c r="AE101" s="131"/>
      <c r="AF101" s="130"/>
      <c r="AG101"/>
      <c r="AH101" s="159" t="s">
        <v>440</v>
      </c>
      <c r="AI101" s="136" t="e">
        <f>+AI100/AH100</f>
        <v>#REF!</v>
      </c>
      <c r="AJ101" s="137"/>
      <c r="AK101" s="136" t="e">
        <f>+AK100/AJ100</f>
        <v>#REF!</v>
      </c>
      <c r="AL101" s="137"/>
      <c r="AM101" s="136" t="e">
        <f>+AM100/AL100</f>
        <v>#REF!</v>
      </c>
      <c r="AN101" s="133"/>
      <c r="AO101" s="133"/>
    </row>
    <row r="102" spans="1:41" s="134" customFormat="1" ht="46.5" hidden="1" thickBot="1" x14ac:dyDescent="0.65">
      <c r="A102" s="731"/>
      <c r="B102" s="731"/>
      <c r="C102" s="130"/>
      <c r="D102" s="130"/>
      <c r="E102" s="372"/>
      <c r="F102" s="372"/>
      <c r="G102" s="372"/>
      <c r="H102" s="372"/>
      <c r="I102" s="372"/>
      <c r="J102" s="372"/>
      <c r="K102" s="1"/>
      <c r="L102" s="1"/>
      <c r="M102" s="1"/>
      <c r="N102" s="1"/>
      <c r="O102" s="372"/>
      <c r="P102" s="130"/>
      <c r="Q102" s="131"/>
      <c r="R102" s="130"/>
      <c r="S102" s="130"/>
      <c r="T102" s="130"/>
      <c r="U102" s="130"/>
      <c r="V102" s="131"/>
      <c r="W102" s="131"/>
      <c r="X102" s="132"/>
      <c r="Y102" s="132"/>
      <c r="Z102" s="132"/>
      <c r="AA102" s="132"/>
      <c r="AB102" s="132"/>
      <c r="AC102" s="131"/>
      <c r="AD102" s="131"/>
      <c r="AE102" s="131"/>
      <c r="AF102" s="130"/>
      <c r="AG102"/>
      <c r="AH102" s="160" t="s">
        <v>441</v>
      </c>
      <c r="AI102" s="136" t="e">
        <f>+AI101</f>
        <v>#REF!</v>
      </c>
      <c r="AJ102" s="137"/>
      <c r="AK102" s="136" t="e">
        <f>+(AI100+AK100)/(AH100+AJ100)</f>
        <v>#REF!</v>
      </c>
      <c r="AL102" s="137"/>
      <c r="AM102" s="136" t="e">
        <f>+(AM100+AK100+AI100)/(AL100+AJ100+AH100)</f>
        <v>#REF!</v>
      </c>
      <c r="AN102" s="169" t="e">
        <f>AVERAGE(AI102,AK102,AM102)</f>
        <v>#REF!</v>
      </c>
      <c r="AO102" s="133"/>
    </row>
    <row r="103" spans="1:41" hidden="1" x14ac:dyDescent="0.35">
      <c r="E103" s="1" t="s">
        <v>510</v>
      </c>
      <c r="F103" s="13" t="s">
        <v>829</v>
      </c>
      <c r="G103" s="1" t="s">
        <v>118</v>
      </c>
      <c r="H103" s="1" t="s">
        <v>119</v>
      </c>
      <c r="I103" s="1" t="s">
        <v>512</v>
      </c>
      <c r="J103" s="1" t="s">
        <v>513</v>
      </c>
      <c r="K103" s="1"/>
      <c r="L103" s="1"/>
      <c r="M103" s="1"/>
      <c r="N103" s="1"/>
      <c r="O103" s="13" t="s">
        <v>514</v>
      </c>
    </row>
    <row r="104" spans="1:41" hidden="1" x14ac:dyDescent="0.35">
      <c r="E104" s="1" t="s">
        <v>515</v>
      </c>
      <c r="F104" s="13" t="s">
        <v>830</v>
      </c>
      <c r="G104" s="1" t="s">
        <v>254</v>
      </c>
      <c r="H104" s="1" t="s">
        <v>517</v>
      </c>
      <c r="I104" s="1" t="s">
        <v>518</v>
      </c>
      <c r="J104" s="1" t="s">
        <v>519</v>
      </c>
      <c r="K104" s="1"/>
      <c r="L104" s="1"/>
      <c r="M104" s="1"/>
      <c r="N104" s="1"/>
      <c r="O104" s="13" t="s">
        <v>520</v>
      </c>
    </row>
    <row r="105" spans="1:41" hidden="1" x14ac:dyDescent="0.35">
      <c r="E105" s="1" t="s">
        <v>521</v>
      </c>
      <c r="F105" s="13" t="s">
        <v>826</v>
      </c>
      <c r="G105" s="1" t="s">
        <v>84</v>
      </c>
      <c r="H105" s="1" t="s">
        <v>255</v>
      </c>
      <c r="I105" s="1" t="s">
        <v>523</v>
      </c>
      <c r="J105" s="1" t="s">
        <v>524</v>
      </c>
      <c r="K105" s="1"/>
      <c r="L105" s="1"/>
      <c r="M105" s="1"/>
      <c r="N105" s="1"/>
      <c r="O105" s="13" t="s">
        <v>525</v>
      </c>
    </row>
    <row r="106" spans="1:41" hidden="1" x14ac:dyDescent="0.35">
      <c r="E106" s="1" t="s">
        <v>526</v>
      </c>
      <c r="F106" s="13" t="s">
        <v>827</v>
      </c>
      <c r="G106" s="1" t="s">
        <v>157</v>
      </c>
      <c r="H106" s="1" t="s">
        <v>528</v>
      </c>
      <c r="I106" s="1" t="s">
        <v>529</v>
      </c>
      <c r="J106" s="1" t="s">
        <v>530</v>
      </c>
      <c r="K106" s="1"/>
      <c r="L106" s="1"/>
      <c r="M106" s="1"/>
      <c r="N106" s="1"/>
      <c r="O106" s="1"/>
    </row>
    <row r="107" spans="1:41" hidden="1" x14ac:dyDescent="0.35">
      <c r="E107" s="1" t="s">
        <v>531</v>
      </c>
      <c r="F107" s="13" t="s">
        <v>828</v>
      </c>
      <c r="G107" s="1" t="s">
        <v>533</v>
      </c>
      <c r="H107" s="1" t="s">
        <v>534</v>
      </c>
      <c r="I107" s="1" t="s">
        <v>535</v>
      </c>
      <c r="J107" s="1" t="s">
        <v>536</v>
      </c>
      <c r="K107" s="1"/>
      <c r="L107" s="1"/>
      <c r="M107" s="1"/>
      <c r="N107" s="1"/>
      <c r="O107" s="1"/>
    </row>
    <row r="108" spans="1:41" hidden="1" x14ac:dyDescent="0.35">
      <c r="E108" s="1" t="s">
        <v>537</v>
      </c>
      <c r="F108" s="13" t="s">
        <v>825</v>
      </c>
      <c r="G108" s="1" t="s">
        <v>539</v>
      </c>
      <c r="H108" s="1" t="s">
        <v>150</v>
      </c>
      <c r="I108" s="1" t="s">
        <v>244</v>
      </c>
      <c r="J108" s="1" t="s">
        <v>384</v>
      </c>
      <c r="K108" s="1"/>
      <c r="L108" s="1"/>
      <c r="M108" s="1"/>
      <c r="N108" s="1"/>
      <c r="O108" s="1"/>
    </row>
    <row r="109" spans="1:41" hidden="1" x14ac:dyDescent="0.35">
      <c r="E109" s="1" t="s">
        <v>540</v>
      </c>
      <c r="F109" s="13" t="s">
        <v>823</v>
      </c>
      <c r="G109" s="1" t="s">
        <v>542</v>
      </c>
      <c r="H109" s="1" t="s">
        <v>112</v>
      </c>
      <c r="I109" s="1" t="s">
        <v>543</v>
      </c>
      <c r="J109" s="1" t="s">
        <v>544</v>
      </c>
      <c r="K109" s="1"/>
      <c r="L109" s="1"/>
      <c r="M109" s="1"/>
      <c r="N109" s="1"/>
      <c r="O109" s="1"/>
    </row>
    <row r="110" spans="1:41" hidden="1" x14ac:dyDescent="0.35">
      <c r="E110" s="1" t="s">
        <v>545</v>
      </c>
      <c r="F110" s="13" t="s">
        <v>821</v>
      </c>
      <c r="G110" s="1"/>
      <c r="H110" s="1" t="s">
        <v>451</v>
      </c>
      <c r="I110" s="1" t="s">
        <v>547</v>
      </c>
      <c r="J110" s="1" t="s">
        <v>426</v>
      </c>
      <c r="K110" s="1"/>
      <c r="L110" s="1"/>
      <c r="M110" s="1"/>
      <c r="N110" s="1"/>
      <c r="O110" s="1"/>
    </row>
    <row r="111" spans="1:41" hidden="1" x14ac:dyDescent="0.35">
      <c r="E111" s="1"/>
      <c r="F111" s="13" t="s">
        <v>822</v>
      </c>
      <c r="G111" s="1"/>
      <c r="H111" s="1" t="s">
        <v>123</v>
      </c>
      <c r="I111" s="1" t="s">
        <v>549</v>
      </c>
      <c r="J111" s="1" t="s">
        <v>97</v>
      </c>
      <c r="K111" s="1"/>
      <c r="L111" s="1"/>
      <c r="M111" s="1"/>
      <c r="N111" s="1"/>
      <c r="O111" s="1"/>
    </row>
    <row r="112" spans="1:41" hidden="1" x14ac:dyDescent="0.35">
      <c r="E112" s="1"/>
      <c r="F112" s="13" t="s">
        <v>824</v>
      </c>
      <c r="G112" s="1"/>
      <c r="H112" s="1" t="s">
        <v>551</v>
      </c>
      <c r="I112" s="1" t="s">
        <v>552</v>
      </c>
      <c r="J112" s="1" t="s">
        <v>120</v>
      </c>
      <c r="K112" s="1"/>
      <c r="L112" s="1"/>
      <c r="M112" s="1"/>
      <c r="N112" s="1"/>
      <c r="O112" s="1"/>
    </row>
    <row r="113" spans="5:15" hidden="1" x14ac:dyDescent="0.35">
      <c r="E113" s="1"/>
      <c r="F113" s="1"/>
      <c r="G113" s="1"/>
      <c r="H113" s="1" t="s">
        <v>85</v>
      </c>
      <c r="I113" s="1" t="s">
        <v>553</v>
      </c>
      <c r="J113" s="1" t="s">
        <v>108</v>
      </c>
      <c r="K113" s="1"/>
      <c r="L113" s="1"/>
      <c r="M113" s="1"/>
      <c r="N113" s="1"/>
      <c r="O113" s="1"/>
    </row>
    <row r="114" spans="5:15" hidden="1" x14ac:dyDescent="0.35">
      <c r="E114" s="1"/>
      <c r="F114" s="1"/>
      <c r="G114" s="1"/>
      <c r="H114" s="1" t="s">
        <v>554</v>
      </c>
      <c r="I114" s="1" t="s">
        <v>555</v>
      </c>
      <c r="J114" s="1" t="s">
        <v>556</v>
      </c>
      <c r="K114" s="1"/>
      <c r="L114" s="1"/>
      <c r="M114" s="1"/>
      <c r="N114" s="1"/>
      <c r="O114" s="1"/>
    </row>
    <row r="115" spans="5:15" hidden="1" x14ac:dyDescent="0.35">
      <c r="E115" s="1"/>
      <c r="F115" s="1"/>
      <c r="G115" s="1"/>
      <c r="H115" s="1" t="s">
        <v>154</v>
      </c>
      <c r="I115" s="1"/>
      <c r="J115" s="1" t="s">
        <v>557</v>
      </c>
      <c r="K115" s="1"/>
      <c r="L115" s="1"/>
      <c r="M115" s="1"/>
      <c r="N115" s="1"/>
      <c r="O115" s="1"/>
    </row>
    <row r="116" spans="5:15" hidden="1" x14ac:dyDescent="0.35">
      <c r="E116" s="1"/>
      <c r="F116" s="1"/>
      <c r="G116" s="1"/>
      <c r="H116" s="1" t="s">
        <v>558</v>
      </c>
      <c r="I116" s="1"/>
      <c r="J116" s="1" t="s">
        <v>559</v>
      </c>
      <c r="K116" s="1"/>
      <c r="L116" s="1"/>
      <c r="M116" s="1"/>
      <c r="N116" s="1"/>
      <c r="O116" s="1"/>
    </row>
    <row r="117" spans="5:15" hidden="1" x14ac:dyDescent="0.35">
      <c r="E117" s="1"/>
      <c r="F117" s="1"/>
      <c r="G117" s="1"/>
      <c r="H117" s="1" t="s">
        <v>560</v>
      </c>
      <c r="I117" s="1"/>
      <c r="J117" s="1" t="s">
        <v>561</v>
      </c>
      <c r="K117" s="1"/>
      <c r="L117" s="1"/>
      <c r="M117" s="1"/>
      <c r="N117" s="1"/>
      <c r="O117" s="1"/>
    </row>
    <row r="118" spans="5:15" hidden="1" x14ac:dyDescent="0.35">
      <c r="E118" s="1"/>
      <c r="F118" s="1"/>
      <c r="G118" s="1"/>
      <c r="H118" s="1" t="s">
        <v>107</v>
      </c>
      <c r="I118" s="1"/>
      <c r="J118" s="1" t="s">
        <v>562</v>
      </c>
      <c r="K118" s="1"/>
      <c r="L118" s="1"/>
      <c r="M118" s="1"/>
      <c r="N118" s="1"/>
      <c r="O118" s="1"/>
    </row>
    <row r="119" spans="5:15" hidden="1" x14ac:dyDescent="0.35">
      <c r="E119" s="1"/>
      <c r="F119" s="1"/>
      <c r="G119" s="1"/>
      <c r="H119" s="1" t="s">
        <v>563</v>
      </c>
      <c r="I119" s="1"/>
      <c r="J119" s="1" t="s">
        <v>564</v>
      </c>
      <c r="K119" s="1"/>
      <c r="L119" s="1"/>
      <c r="M119" s="1"/>
      <c r="N119" s="1"/>
      <c r="O119" s="1"/>
    </row>
    <row r="120" spans="5:15" hidden="1" x14ac:dyDescent="0.35">
      <c r="E120" s="1"/>
      <c r="F120" s="1"/>
      <c r="G120" s="1"/>
      <c r="H120" s="1" t="s">
        <v>565</v>
      </c>
      <c r="I120" s="1"/>
      <c r="J120" s="1" t="s">
        <v>566</v>
      </c>
      <c r="K120" s="1"/>
      <c r="L120" s="1"/>
      <c r="M120" s="1"/>
      <c r="N120" s="1"/>
      <c r="O120" s="1"/>
    </row>
    <row r="121" spans="5:15" hidden="1" x14ac:dyDescent="0.35">
      <c r="E121" s="1"/>
      <c r="F121" s="1"/>
      <c r="G121" s="1"/>
      <c r="H121" s="1" t="s">
        <v>567</v>
      </c>
      <c r="I121" s="1"/>
      <c r="J121" s="1" t="s">
        <v>568</v>
      </c>
      <c r="K121" s="1"/>
      <c r="L121" s="1"/>
      <c r="M121" s="1"/>
      <c r="N121" s="1"/>
      <c r="O121" s="1"/>
    </row>
    <row r="122" spans="5:15" hidden="1" x14ac:dyDescent="0.35">
      <c r="E122" s="1"/>
      <c r="F122" s="1"/>
      <c r="G122" s="1"/>
      <c r="H122" s="1"/>
      <c r="I122" s="1"/>
      <c r="J122" s="1" t="s">
        <v>569</v>
      </c>
      <c r="K122" s="1"/>
      <c r="L122" s="1"/>
      <c r="M122" s="1"/>
      <c r="N122" s="1"/>
      <c r="O122" s="1"/>
    </row>
    <row r="123" spans="5:15" hidden="1" x14ac:dyDescent="0.35">
      <c r="E123" s="1"/>
      <c r="F123" s="1"/>
      <c r="G123" s="1"/>
      <c r="H123" s="1"/>
      <c r="I123" s="1"/>
      <c r="J123" s="1" t="s">
        <v>570</v>
      </c>
      <c r="K123" s="1"/>
      <c r="L123" s="1"/>
      <c r="M123" s="1"/>
      <c r="N123" s="1"/>
      <c r="O123" s="1"/>
    </row>
    <row r="124" spans="5:15" hidden="1" x14ac:dyDescent="0.35">
      <c r="E124" s="1"/>
      <c r="F124" s="1"/>
      <c r="G124" s="1"/>
      <c r="H124" s="1"/>
      <c r="I124" s="1"/>
      <c r="J124" s="1" t="s">
        <v>571</v>
      </c>
      <c r="K124" s="1"/>
      <c r="L124" s="1"/>
      <c r="M124" s="1"/>
      <c r="N124" s="1"/>
      <c r="O124" s="1"/>
    </row>
    <row r="125" spans="5:15" hidden="1" x14ac:dyDescent="0.35">
      <c r="E125" s="1"/>
      <c r="F125" s="1"/>
      <c r="G125" s="1"/>
      <c r="H125" s="1"/>
      <c r="I125" s="1"/>
      <c r="J125" s="1" t="s">
        <v>572</v>
      </c>
      <c r="K125" s="1"/>
      <c r="L125" s="1"/>
      <c r="M125" s="1"/>
      <c r="N125" s="1"/>
      <c r="O125" s="1"/>
    </row>
    <row r="126" spans="5:15" hidden="1" x14ac:dyDescent="0.35">
      <c r="E126" s="1"/>
      <c r="F126" s="1"/>
      <c r="G126" s="1"/>
      <c r="H126" s="1"/>
      <c r="I126" s="1"/>
      <c r="J126" s="1" t="s">
        <v>573</v>
      </c>
      <c r="K126" s="1"/>
      <c r="L126" s="1"/>
      <c r="M126" s="1"/>
      <c r="N126" s="1"/>
      <c r="O126" s="1"/>
    </row>
    <row r="127" spans="5:15" hidden="1" x14ac:dyDescent="0.35">
      <c r="E127" s="1"/>
      <c r="F127" s="1"/>
      <c r="G127" s="1"/>
      <c r="H127" s="1"/>
      <c r="I127" s="1"/>
      <c r="J127" s="1" t="s">
        <v>574</v>
      </c>
      <c r="K127" s="1"/>
      <c r="L127" s="1"/>
      <c r="M127" s="1"/>
      <c r="N127" s="1"/>
      <c r="O127" s="1"/>
    </row>
    <row r="128" spans="5:15" hidden="1" x14ac:dyDescent="0.35">
      <c r="E128" s="1"/>
      <c r="F128" s="1"/>
      <c r="G128" s="1"/>
      <c r="H128" s="1"/>
      <c r="I128" s="1"/>
      <c r="J128" s="1" t="s">
        <v>575</v>
      </c>
      <c r="K128" s="1"/>
      <c r="L128" s="1"/>
      <c r="M128" s="1"/>
      <c r="N128" s="1"/>
      <c r="O128" s="1"/>
    </row>
    <row r="129" spans="5:15" hidden="1" x14ac:dyDescent="0.35">
      <c r="E129" s="1"/>
      <c r="F129" s="1"/>
      <c r="G129" s="1"/>
      <c r="H129" s="1"/>
      <c r="I129" s="1"/>
      <c r="J129" s="1" t="s">
        <v>576</v>
      </c>
      <c r="K129" s="1"/>
      <c r="L129" s="1"/>
      <c r="M129" s="1"/>
      <c r="N129" s="1"/>
      <c r="O129" s="1"/>
    </row>
    <row r="130" spans="5:15" hidden="1" x14ac:dyDescent="0.35">
      <c r="E130" s="1"/>
      <c r="F130" s="1"/>
      <c r="G130" s="1"/>
      <c r="H130" s="1"/>
      <c r="I130" s="1"/>
      <c r="J130" s="1" t="s">
        <v>577</v>
      </c>
      <c r="K130" s="1"/>
      <c r="L130" s="1"/>
      <c r="M130" s="1"/>
      <c r="N130" s="1"/>
      <c r="O130" s="1"/>
    </row>
    <row r="131" spans="5:15" hidden="1" x14ac:dyDescent="0.35">
      <c r="E131" s="1"/>
      <c r="F131" s="1"/>
      <c r="G131" s="1"/>
      <c r="H131" s="1"/>
      <c r="I131" s="1"/>
      <c r="J131" s="1" t="s">
        <v>578</v>
      </c>
      <c r="K131" s="1"/>
      <c r="L131" s="1"/>
      <c r="M131" s="1"/>
      <c r="N131" s="1"/>
      <c r="O131" s="1"/>
    </row>
    <row r="132" spans="5:15" hidden="1" x14ac:dyDescent="0.35">
      <c r="E132" s="1"/>
      <c r="F132" s="1"/>
      <c r="G132" s="1"/>
      <c r="H132" s="1"/>
      <c r="I132" s="1"/>
      <c r="J132" s="1" t="s">
        <v>579</v>
      </c>
      <c r="K132" s="1"/>
      <c r="L132" s="1"/>
      <c r="M132" s="1"/>
      <c r="N132" s="1"/>
      <c r="O132" s="1"/>
    </row>
    <row r="133" spans="5:15" hidden="1" x14ac:dyDescent="0.35">
      <c r="E133" s="1"/>
      <c r="F133" s="1"/>
      <c r="G133" s="1"/>
      <c r="H133" s="1"/>
      <c r="I133" s="1"/>
      <c r="J133" s="1" t="s">
        <v>580</v>
      </c>
      <c r="K133" s="1"/>
      <c r="L133" s="1"/>
      <c r="M133" s="1"/>
      <c r="N133" s="1"/>
      <c r="O133" s="1"/>
    </row>
    <row r="134" spans="5:15" hidden="1" x14ac:dyDescent="0.35">
      <c r="E134" s="1"/>
      <c r="F134" s="1"/>
      <c r="G134" s="1"/>
      <c r="H134" s="1"/>
      <c r="I134" s="1"/>
      <c r="J134" s="1" t="s">
        <v>581</v>
      </c>
      <c r="K134" s="1"/>
      <c r="L134" s="1"/>
      <c r="M134" s="1"/>
      <c r="N134" s="1"/>
      <c r="O134" s="1"/>
    </row>
    <row r="135" spans="5:15" hidden="1" x14ac:dyDescent="0.35">
      <c r="E135" s="1"/>
      <c r="F135" s="1"/>
      <c r="G135" s="1"/>
      <c r="H135" s="1"/>
      <c r="I135" s="1"/>
      <c r="J135" s="1" t="s">
        <v>582</v>
      </c>
      <c r="K135" s="1"/>
      <c r="L135" s="1"/>
      <c r="M135" s="1"/>
      <c r="N135" s="1"/>
      <c r="O135" s="1"/>
    </row>
    <row r="136" spans="5:15" hidden="1" x14ac:dyDescent="0.35">
      <c r="E136" s="1"/>
      <c r="F136" s="1"/>
      <c r="G136" s="1"/>
      <c r="H136" s="1"/>
      <c r="I136" s="1"/>
      <c r="J136" s="1" t="s">
        <v>124</v>
      </c>
      <c r="K136" s="1"/>
      <c r="L136" s="1"/>
      <c r="M136" s="1"/>
      <c r="N136" s="1"/>
      <c r="O136" s="1"/>
    </row>
    <row r="137" spans="5:15" hidden="1" x14ac:dyDescent="0.35">
      <c r="E137" s="1"/>
      <c r="F137" s="1"/>
      <c r="G137" s="1"/>
      <c r="H137" s="1"/>
      <c r="I137" s="1"/>
      <c r="J137" s="1" t="s">
        <v>583</v>
      </c>
      <c r="K137" s="1"/>
      <c r="L137" s="1"/>
      <c r="M137" s="1"/>
      <c r="N137" s="1"/>
      <c r="O137" s="1"/>
    </row>
    <row r="138" spans="5:15" hidden="1" x14ac:dyDescent="0.35">
      <c r="E138" s="1"/>
      <c r="F138" s="1"/>
      <c r="G138" s="1"/>
      <c r="H138" s="1"/>
      <c r="I138" s="1"/>
      <c r="J138" s="1" t="s">
        <v>584</v>
      </c>
      <c r="K138" s="1"/>
      <c r="L138" s="1"/>
      <c r="M138" s="1"/>
      <c r="N138" s="1"/>
      <c r="O138" s="1"/>
    </row>
    <row r="139" spans="5:15" hidden="1" x14ac:dyDescent="0.35">
      <c r="E139" s="1"/>
      <c r="F139" s="1"/>
      <c r="G139" s="1"/>
      <c r="H139" s="1"/>
      <c r="I139" s="1"/>
      <c r="J139" s="1" t="s">
        <v>585</v>
      </c>
      <c r="K139" s="1"/>
      <c r="L139" s="1"/>
      <c r="M139" s="1"/>
      <c r="N139" s="1"/>
      <c r="O139" s="1"/>
    </row>
    <row r="140" spans="5:15" hidden="1" x14ac:dyDescent="0.35">
      <c r="E140" s="1"/>
      <c r="F140" s="1"/>
      <c r="G140" s="1"/>
      <c r="H140" s="1"/>
      <c r="I140" s="1"/>
      <c r="J140" s="1" t="s">
        <v>586</v>
      </c>
      <c r="K140" s="1"/>
      <c r="L140" s="1"/>
      <c r="M140" s="1"/>
      <c r="N140" s="1"/>
      <c r="O140" s="1"/>
    </row>
    <row r="141" spans="5:15" hidden="1" x14ac:dyDescent="0.35">
      <c r="E141" s="1"/>
      <c r="F141" s="1"/>
      <c r="G141" s="1"/>
      <c r="H141" s="1"/>
      <c r="I141" s="1"/>
      <c r="J141" s="1" t="s">
        <v>87</v>
      </c>
      <c r="K141" s="1"/>
      <c r="L141" s="1"/>
      <c r="M141" s="1"/>
      <c r="N141" s="1"/>
      <c r="O141" s="1"/>
    </row>
    <row r="142" spans="5:15" hidden="1" x14ac:dyDescent="0.35">
      <c r="E142" s="1"/>
      <c r="F142" s="1"/>
      <c r="G142" s="1"/>
      <c r="H142" s="1"/>
      <c r="I142" s="1"/>
      <c r="J142" s="1" t="s">
        <v>587</v>
      </c>
      <c r="K142" s="1"/>
      <c r="L142" s="1"/>
      <c r="M142" s="1"/>
      <c r="N142" s="1"/>
      <c r="O142" s="1"/>
    </row>
    <row r="143" spans="5:15" hidden="1" x14ac:dyDescent="0.35">
      <c r="E143" s="1"/>
      <c r="F143" s="1"/>
      <c r="G143" s="1"/>
      <c r="H143" s="1"/>
      <c r="I143" s="1"/>
      <c r="J143" s="1" t="s">
        <v>588</v>
      </c>
      <c r="K143" s="1"/>
      <c r="L143" s="1"/>
      <c r="M143" s="1"/>
      <c r="N143" s="1"/>
      <c r="O143" s="1"/>
    </row>
    <row r="144" spans="5:15" hidden="1" x14ac:dyDescent="0.35">
      <c r="E144" s="1"/>
      <c r="F144" s="1"/>
      <c r="G144" s="1"/>
      <c r="H144" s="1"/>
      <c r="I144" s="1"/>
      <c r="J144" s="1" t="s">
        <v>261</v>
      </c>
      <c r="K144" s="1"/>
      <c r="L144" s="1"/>
      <c r="M144" s="1"/>
      <c r="N144" s="1"/>
      <c r="O144" s="1"/>
    </row>
    <row r="145" spans="5:15" hidden="1" x14ac:dyDescent="0.35">
      <c r="E145" s="1"/>
      <c r="F145" s="1"/>
      <c r="G145" s="1"/>
      <c r="H145" s="1"/>
      <c r="I145" s="1"/>
      <c r="J145" s="1" t="s">
        <v>589</v>
      </c>
      <c r="K145" s="1"/>
      <c r="L145" s="1"/>
      <c r="M145" s="1"/>
      <c r="N145" s="1"/>
      <c r="O145" s="1"/>
    </row>
    <row r="146" spans="5:15" hidden="1" x14ac:dyDescent="0.35">
      <c r="E146" s="1"/>
      <c r="F146" s="1"/>
      <c r="G146" s="1"/>
      <c r="H146" s="1"/>
      <c r="I146" s="1"/>
      <c r="J146" s="1" t="s">
        <v>590</v>
      </c>
      <c r="K146" s="1"/>
      <c r="L146" s="1"/>
      <c r="M146" s="1"/>
      <c r="N146" s="1"/>
      <c r="O146" s="1"/>
    </row>
    <row r="147" spans="5:15" hidden="1" x14ac:dyDescent="0.35">
      <c r="E147" s="1"/>
      <c r="F147" s="1"/>
      <c r="G147" s="1"/>
      <c r="H147" s="1"/>
      <c r="I147" s="1"/>
      <c r="J147" s="1" t="s">
        <v>591</v>
      </c>
      <c r="K147" s="1"/>
      <c r="L147" s="1"/>
      <c r="M147" s="1"/>
      <c r="N147" s="1"/>
      <c r="O147" s="1"/>
    </row>
    <row r="148" spans="5:15" hidden="1" x14ac:dyDescent="0.35">
      <c r="E148" s="1"/>
      <c r="F148" s="1"/>
      <c r="G148" s="1"/>
      <c r="H148" s="1"/>
      <c r="I148" s="1"/>
      <c r="J148" s="1" t="s">
        <v>592</v>
      </c>
      <c r="K148" s="1"/>
      <c r="L148" s="1"/>
      <c r="M148" s="1"/>
      <c r="N148" s="1"/>
      <c r="O148" s="1"/>
    </row>
    <row r="149" spans="5:15" hidden="1" x14ac:dyDescent="0.35">
      <c r="E149" s="1"/>
      <c r="F149" s="1"/>
      <c r="G149" s="1"/>
      <c r="H149" s="1"/>
      <c r="I149" s="1"/>
      <c r="J149" s="1" t="s">
        <v>593</v>
      </c>
      <c r="K149" s="1"/>
      <c r="L149" s="1"/>
      <c r="M149" s="1"/>
      <c r="N149" s="1"/>
      <c r="O149" s="1"/>
    </row>
    <row r="150" spans="5:15" hidden="1" x14ac:dyDescent="0.35">
      <c r="E150" s="1"/>
      <c r="F150" s="1"/>
      <c r="G150" s="1"/>
      <c r="H150" s="1"/>
      <c r="I150" s="1"/>
      <c r="J150" s="1" t="s">
        <v>594</v>
      </c>
      <c r="K150" s="1"/>
      <c r="L150" s="1"/>
      <c r="M150" s="1"/>
      <c r="N150" s="1"/>
      <c r="O150" s="1"/>
    </row>
    <row r="151" spans="5:15" hidden="1" x14ac:dyDescent="0.35">
      <c r="E151" s="1"/>
      <c r="F151" s="1"/>
      <c r="G151" s="1"/>
      <c r="H151" s="1"/>
      <c r="I151" s="1"/>
      <c r="J151" s="1" t="s">
        <v>595</v>
      </c>
      <c r="K151" s="1"/>
      <c r="L151" s="1"/>
      <c r="M151" s="1"/>
      <c r="N151" s="1"/>
      <c r="O151" s="1"/>
    </row>
    <row r="152" spans="5:15" hidden="1" x14ac:dyDescent="0.35">
      <c r="E152" s="1"/>
      <c r="F152" s="1"/>
      <c r="G152" s="1"/>
      <c r="H152" s="1"/>
      <c r="I152" s="1"/>
      <c r="J152" s="1" t="s">
        <v>596</v>
      </c>
      <c r="K152" s="1"/>
      <c r="L152" s="1"/>
      <c r="M152" s="1"/>
      <c r="N152" s="1"/>
      <c r="O152" s="1"/>
    </row>
    <row r="153" spans="5:15" hidden="1" x14ac:dyDescent="0.35">
      <c r="E153" s="1"/>
      <c r="F153" s="1"/>
      <c r="G153" s="1"/>
      <c r="H153" s="1"/>
      <c r="I153" s="1"/>
      <c r="J153" s="1" t="s">
        <v>597</v>
      </c>
      <c r="K153" s="1"/>
      <c r="L153" s="1"/>
      <c r="M153" s="1"/>
      <c r="N153" s="1"/>
      <c r="O153" s="1"/>
    </row>
    <row r="154" spans="5:15" hidden="1" x14ac:dyDescent="0.35">
      <c r="E154" s="1"/>
      <c r="F154" s="1"/>
      <c r="G154" s="1"/>
      <c r="H154" s="1"/>
      <c r="I154" s="1"/>
      <c r="J154" s="1" t="s">
        <v>259</v>
      </c>
      <c r="K154" s="1"/>
      <c r="L154" s="1"/>
      <c r="M154" s="1"/>
      <c r="N154" s="1"/>
      <c r="O154" s="1"/>
    </row>
    <row r="155" spans="5:15" hidden="1" x14ac:dyDescent="0.35">
      <c r="E155" s="1"/>
      <c r="F155" s="1"/>
      <c r="G155" s="1"/>
      <c r="H155" s="1"/>
      <c r="I155" s="1"/>
      <c r="J155" s="1" t="s">
        <v>39</v>
      </c>
      <c r="K155" s="1"/>
      <c r="L155" s="1"/>
      <c r="M155" s="1"/>
      <c r="N155" s="1"/>
      <c r="O155" s="1"/>
    </row>
    <row r="156" spans="5:15" hidden="1" x14ac:dyDescent="0.35">
      <c r="E156" s="1"/>
      <c r="F156" s="1"/>
      <c r="G156" s="1"/>
      <c r="H156" s="1"/>
      <c r="I156" s="1"/>
      <c r="J156" s="1" t="s">
        <v>153</v>
      </c>
      <c r="K156" s="1"/>
      <c r="L156" s="1"/>
      <c r="M156" s="1"/>
      <c r="N156" s="1"/>
      <c r="O156" s="1"/>
    </row>
    <row r="157" spans="5:15" hidden="1" x14ac:dyDescent="0.35">
      <c r="E157" s="1"/>
      <c r="F157" s="1"/>
      <c r="G157" s="1"/>
      <c r="H157" s="1"/>
      <c r="I157" s="1"/>
      <c r="J157" s="1" t="s">
        <v>598</v>
      </c>
      <c r="K157" s="1"/>
      <c r="L157" s="1"/>
      <c r="M157" s="1"/>
      <c r="N157" s="1"/>
      <c r="O157" s="1"/>
    </row>
    <row r="158" spans="5:15" hidden="1" x14ac:dyDescent="0.35">
      <c r="E158" s="1"/>
      <c r="F158" s="1"/>
      <c r="G158" s="1"/>
      <c r="H158" s="1"/>
      <c r="I158" s="1"/>
      <c r="J158" s="1" t="s">
        <v>599</v>
      </c>
      <c r="K158" s="1"/>
      <c r="L158" s="1"/>
      <c r="M158" s="1"/>
      <c r="N158" s="1"/>
      <c r="O158" s="1"/>
    </row>
    <row r="159" spans="5:15" hidden="1" x14ac:dyDescent="0.35">
      <c r="E159" s="1"/>
      <c r="F159" s="1"/>
      <c r="G159" s="1"/>
      <c r="H159" s="1"/>
      <c r="I159" s="1"/>
      <c r="J159" s="1" t="s">
        <v>600</v>
      </c>
      <c r="K159" s="1"/>
      <c r="L159" s="1"/>
      <c r="M159" s="1"/>
      <c r="N159" s="1"/>
      <c r="O159" s="1"/>
    </row>
    <row r="160" spans="5:15" hidden="1" x14ac:dyDescent="0.35">
      <c r="E160" s="1"/>
      <c r="F160" s="1"/>
      <c r="G160" s="1"/>
      <c r="H160" s="1"/>
      <c r="I160" s="1"/>
      <c r="J160" s="1" t="s">
        <v>601</v>
      </c>
      <c r="K160" s="1"/>
      <c r="L160" s="1"/>
      <c r="M160" s="1"/>
      <c r="N160" s="1"/>
      <c r="O160" s="1"/>
    </row>
    <row r="161" spans="5:15" hidden="1" x14ac:dyDescent="0.35">
      <c r="E161" s="1"/>
      <c r="F161" s="1"/>
      <c r="G161" s="1"/>
      <c r="H161" s="1"/>
      <c r="I161" s="1"/>
      <c r="J161" s="1" t="s">
        <v>602</v>
      </c>
      <c r="K161" s="1"/>
      <c r="L161" s="1"/>
      <c r="M161" s="1"/>
      <c r="N161" s="1"/>
      <c r="O161" s="1"/>
    </row>
    <row r="162" spans="5:15" hidden="1" x14ac:dyDescent="0.35">
      <c r="E162" s="1"/>
      <c r="F162" s="1"/>
      <c r="G162" s="1"/>
      <c r="H162" s="1"/>
      <c r="I162" s="1"/>
      <c r="J162" s="1" t="s">
        <v>603</v>
      </c>
      <c r="K162" s="1"/>
      <c r="L162" s="1"/>
      <c r="M162" s="1"/>
      <c r="N162" s="1"/>
      <c r="O162" s="1"/>
    </row>
    <row r="163" spans="5:15" hidden="1" x14ac:dyDescent="0.35"/>
  </sheetData>
  <sheetProtection formatCells="0" formatColumns="0" formatRows="0" insertColumns="0" insertRows="0" insertHyperlinks="0" deleteColumns="0" deleteRows="0" sort="0" autoFilter="0" pivotTables="0"/>
  <autoFilter ref="C39:AE95" xr:uid="{E7369476-1993-4393-BAC7-AF45F5018B0D}"/>
  <mergeCells count="739">
    <mergeCell ref="D64:D65"/>
    <mergeCell ref="M98:M99"/>
    <mergeCell ref="N98:N99"/>
    <mergeCell ref="O98:O99"/>
    <mergeCell ref="P98:P99"/>
    <mergeCell ref="R98:R99"/>
    <mergeCell ref="X98:X99"/>
    <mergeCell ref="AA98:AA99"/>
    <mergeCell ref="AD98:AD99"/>
    <mergeCell ref="L94:L95"/>
    <mergeCell ref="M68:M69"/>
    <mergeCell ref="N68:N69"/>
    <mergeCell ref="O68:O69"/>
    <mergeCell ref="P68:P69"/>
    <mergeCell ref="R68:R69"/>
    <mergeCell ref="X68:X69"/>
    <mergeCell ref="AA68:AA69"/>
    <mergeCell ref="AD68:AD69"/>
    <mergeCell ref="D70:D71"/>
    <mergeCell ref="E70:E71"/>
    <mergeCell ref="F70:F71"/>
    <mergeCell ref="G70:G71"/>
    <mergeCell ref="H70:H71"/>
    <mergeCell ref="J70:J71"/>
    <mergeCell ref="AF98:AG98"/>
    <mergeCell ref="AF99:AG99"/>
    <mergeCell ref="AE90:AE99"/>
    <mergeCell ref="A98:B98"/>
    <mergeCell ref="D98:D99"/>
    <mergeCell ref="E98:E99"/>
    <mergeCell ref="F98:F99"/>
    <mergeCell ref="G98:G99"/>
    <mergeCell ref="H98:H99"/>
    <mergeCell ref="J98:J99"/>
    <mergeCell ref="K98:K99"/>
    <mergeCell ref="L98:L99"/>
    <mergeCell ref="A99:B99"/>
    <mergeCell ref="I90:I99"/>
    <mergeCell ref="M96:M97"/>
    <mergeCell ref="N96:N97"/>
    <mergeCell ref="O96:O97"/>
    <mergeCell ref="P96:P97"/>
    <mergeCell ref="R96:R97"/>
    <mergeCell ref="X96:X97"/>
    <mergeCell ref="AA96:AA97"/>
    <mergeCell ref="AD96:AD97"/>
    <mergeCell ref="AF96:AG96"/>
    <mergeCell ref="AF97:AG97"/>
    <mergeCell ref="A96:B96"/>
    <mergeCell ref="D96:D97"/>
    <mergeCell ref="E96:E97"/>
    <mergeCell ref="F96:F97"/>
    <mergeCell ref="G96:G97"/>
    <mergeCell ref="H96:H97"/>
    <mergeCell ref="J96:J97"/>
    <mergeCell ref="K96:K97"/>
    <mergeCell ref="L96:L97"/>
    <mergeCell ref="A97:B97"/>
    <mergeCell ref="AF68:AG68"/>
    <mergeCell ref="AF69:AG69"/>
    <mergeCell ref="A68:B68"/>
    <mergeCell ref="D68:D69"/>
    <mergeCell ref="E68:E69"/>
    <mergeCell ref="F68:F69"/>
    <mergeCell ref="G68:G69"/>
    <mergeCell ref="H68:H69"/>
    <mergeCell ref="J68:J69"/>
    <mergeCell ref="K68:K69"/>
    <mergeCell ref="L68:L69"/>
    <mergeCell ref="A69:B69"/>
    <mergeCell ref="I66:I87"/>
    <mergeCell ref="M70:M71"/>
    <mergeCell ref="N70:N71"/>
    <mergeCell ref="O70:O71"/>
    <mergeCell ref="P70:P71"/>
    <mergeCell ref="R70:R71"/>
    <mergeCell ref="X70:X71"/>
    <mergeCell ref="AA70:AA71"/>
    <mergeCell ref="AD70:AD71"/>
    <mergeCell ref="AF70:AG70"/>
    <mergeCell ref="AF71:AG71"/>
    <mergeCell ref="A70:B70"/>
    <mergeCell ref="A71:B71"/>
    <mergeCell ref="AD74:AD75"/>
    <mergeCell ref="AF74:AG74"/>
    <mergeCell ref="A75:B75"/>
    <mergeCell ref="AF75:AG75"/>
    <mergeCell ref="A72:B72"/>
    <mergeCell ref="D72:D73"/>
    <mergeCell ref="E72:E73"/>
    <mergeCell ref="F72:F73"/>
    <mergeCell ref="G72:G73"/>
    <mergeCell ref="H72:H73"/>
    <mergeCell ref="J72:J73"/>
    <mergeCell ref="K72:K73"/>
    <mergeCell ref="L72:L73"/>
    <mergeCell ref="M72:M73"/>
    <mergeCell ref="N72:N73"/>
    <mergeCell ref="O72:O73"/>
    <mergeCell ref="P72:P73"/>
    <mergeCell ref="R72:R73"/>
    <mergeCell ref="X72:X73"/>
    <mergeCell ref="AA72:AA73"/>
    <mergeCell ref="AD72:AD73"/>
    <mergeCell ref="AF72:AG72"/>
    <mergeCell ref="A73:B73"/>
    <mergeCell ref="AF73:AG73"/>
    <mergeCell ref="P76:P77"/>
    <mergeCell ref="R76:R77"/>
    <mergeCell ref="X76:X77"/>
    <mergeCell ref="AA76:AA77"/>
    <mergeCell ref="AD76:AD77"/>
    <mergeCell ref="AF76:AG76"/>
    <mergeCell ref="A77:B77"/>
    <mergeCell ref="AF77:AG77"/>
    <mergeCell ref="A74:B74"/>
    <mergeCell ref="D74:D75"/>
    <mergeCell ref="E74:E75"/>
    <mergeCell ref="F74:F75"/>
    <mergeCell ref="G74:G75"/>
    <mergeCell ref="H74:H75"/>
    <mergeCell ref="J74:J75"/>
    <mergeCell ref="K74:K75"/>
    <mergeCell ref="L74:L75"/>
    <mergeCell ref="M74:M75"/>
    <mergeCell ref="N74:N75"/>
    <mergeCell ref="O74:O75"/>
    <mergeCell ref="P74:P75"/>
    <mergeCell ref="X74:X75"/>
    <mergeCell ref="AA74:AA75"/>
    <mergeCell ref="D76:D77"/>
    <mergeCell ref="E76:E77"/>
    <mergeCell ref="F76:F77"/>
    <mergeCell ref="G76:G77"/>
    <mergeCell ref="H76:H77"/>
    <mergeCell ref="J76:J77"/>
    <mergeCell ref="L76:L77"/>
    <mergeCell ref="M76:M77"/>
    <mergeCell ref="N76:N77"/>
    <mergeCell ref="K76:K77"/>
    <mergeCell ref="M64:M65"/>
    <mergeCell ref="N64:N65"/>
    <mergeCell ref="N50:N51"/>
    <mergeCell ref="O50:O51"/>
    <mergeCell ref="P50:P51"/>
    <mergeCell ref="R50:R51"/>
    <mergeCell ref="K78:K79"/>
    <mergeCell ref="K64:K65"/>
    <mergeCell ref="J64:J65"/>
    <mergeCell ref="R74:R75"/>
    <mergeCell ref="K70:K71"/>
    <mergeCell ref="L70:L71"/>
    <mergeCell ref="A49:B49"/>
    <mergeCell ref="AF49:AG49"/>
    <mergeCell ref="Q48:Q49"/>
    <mergeCell ref="I46:I49"/>
    <mergeCell ref="Q54:Q55"/>
    <mergeCell ref="I50:I63"/>
    <mergeCell ref="A48:B48"/>
    <mergeCell ref="D48:D49"/>
    <mergeCell ref="E48:E49"/>
    <mergeCell ref="F48:F49"/>
    <mergeCell ref="G48:G49"/>
    <mergeCell ref="H48:H49"/>
    <mergeCell ref="J48:J49"/>
    <mergeCell ref="K48:K49"/>
    <mergeCell ref="L48:L49"/>
    <mergeCell ref="M48:M49"/>
    <mergeCell ref="N48:N49"/>
    <mergeCell ref="O48:O49"/>
    <mergeCell ref="P48:P49"/>
    <mergeCell ref="M50:M51"/>
    <mergeCell ref="R48:R49"/>
    <mergeCell ref="Q56:Q57"/>
    <mergeCell ref="Q58:Q59"/>
    <mergeCell ref="Q60:Q61"/>
    <mergeCell ref="A50:B50"/>
    <mergeCell ref="D50:D51"/>
    <mergeCell ref="E50:E51"/>
    <mergeCell ref="F50:F51"/>
    <mergeCell ref="G50:G51"/>
    <mergeCell ref="H50:H51"/>
    <mergeCell ref="J50:J51"/>
    <mergeCell ref="K50:K51"/>
    <mergeCell ref="L50:L51"/>
    <mergeCell ref="A51:B51"/>
    <mergeCell ref="X46:X47"/>
    <mergeCell ref="AA46:AA47"/>
    <mergeCell ref="AD46:AD47"/>
    <mergeCell ref="AF46:AG46"/>
    <mergeCell ref="AF47:AG47"/>
    <mergeCell ref="X50:X51"/>
    <mergeCell ref="AA50:AA51"/>
    <mergeCell ref="AD50:AD51"/>
    <mergeCell ref="AF50:AG50"/>
    <mergeCell ref="AF51:AG51"/>
    <mergeCell ref="X48:X49"/>
    <mergeCell ref="AA48:AA49"/>
    <mergeCell ref="AD48:AD49"/>
    <mergeCell ref="AF48:AG48"/>
    <mergeCell ref="J46:J47"/>
    <mergeCell ref="K46:K47"/>
    <mergeCell ref="L46:L47"/>
    <mergeCell ref="A47:B47"/>
    <mergeCell ref="M46:M47"/>
    <mergeCell ref="N46:N47"/>
    <mergeCell ref="O46:O47"/>
    <mergeCell ref="P46:P47"/>
    <mergeCell ref="R46:R47"/>
    <mergeCell ref="P58:P59"/>
    <mergeCell ref="N62:N63"/>
    <mergeCell ref="O64:O65"/>
    <mergeCell ref="P64:P65"/>
    <mergeCell ref="O76:O77"/>
    <mergeCell ref="P56:P57"/>
    <mergeCell ref="O52:O53"/>
    <mergeCell ref="A101:B101"/>
    <mergeCell ref="V40:V45"/>
    <mergeCell ref="V52:V79"/>
    <mergeCell ref="V80:V87"/>
    <mergeCell ref="V88:V89"/>
    <mergeCell ref="V90:V95"/>
    <mergeCell ref="L44:L45"/>
    <mergeCell ref="A90:B90"/>
    <mergeCell ref="P54:P55"/>
    <mergeCell ref="O56:O57"/>
    <mergeCell ref="O54:O55"/>
    <mergeCell ref="A46:B46"/>
    <mergeCell ref="D46:D47"/>
    <mergeCell ref="E46:E47"/>
    <mergeCell ref="F46:F47"/>
    <mergeCell ref="G46:G47"/>
    <mergeCell ref="H46:H47"/>
    <mergeCell ref="P52:P53"/>
    <mergeCell ref="R90:R91"/>
    <mergeCell ref="X88:X89"/>
    <mergeCell ref="N86:N87"/>
    <mergeCell ref="O86:O87"/>
    <mergeCell ref="P86:P87"/>
    <mergeCell ref="R86:R87"/>
    <mergeCell ref="Q88:Q89"/>
    <mergeCell ref="R88:R89"/>
    <mergeCell ref="P84:P85"/>
    <mergeCell ref="R84:R85"/>
    <mergeCell ref="N80:N81"/>
    <mergeCell ref="O80:O81"/>
    <mergeCell ref="P80:P81"/>
    <mergeCell ref="R80:R81"/>
    <mergeCell ref="R62:R63"/>
    <mergeCell ref="X62:X63"/>
    <mergeCell ref="X60:X61"/>
    <mergeCell ref="N66:N67"/>
    <mergeCell ref="R66:R67"/>
    <mergeCell ref="X66:X67"/>
    <mergeCell ref="X56:X57"/>
    <mergeCell ref="X58:X59"/>
    <mergeCell ref="N78:N79"/>
    <mergeCell ref="A100:B100"/>
    <mergeCell ref="C90:C95"/>
    <mergeCell ref="D90:D91"/>
    <mergeCell ref="J90:J91"/>
    <mergeCell ref="M90:M91"/>
    <mergeCell ref="N90:N91"/>
    <mergeCell ref="A93:B93"/>
    <mergeCell ref="AF93:AG93"/>
    <mergeCell ref="A94:B94"/>
    <mergeCell ref="D94:D95"/>
    <mergeCell ref="X92:X93"/>
    <mergeCell ref="K92:K93"/>
    <mergeCell ref="M92:M93"/>
    <mergeCell ref="N92:N93"/>
    <mergeCell ref="O92:O93"/>
    <mergeCell ref="P92:P93"/>
    <mergeCell ref="A91:B91"/>
    <mergeCell ref="A92:B92"/>
    <mergeCell ref="D92:D93"/>
    <mergeCell ref="J92:J93"/>
    <mergeCell ref="P90:P91"/>
    <mergeCell ref="R92:R93"/>
    <mergeCell ref="O94:O95"/>
    <mergeCell ref="P94:P95"/>
    <mergeCell ref="W90:W95"/>
    <mergeCell ref="X90:X91"/>
    <mergeCell ref="Z90:Z95"/>
    <mergeCell ref="AA90:AA91"/>
    <mergeCell ref="AC90:AC95"/>
    <mergeCell ref="AA92:AA93"/>
    <mergeCell ref="O90:O91"/>
    <mergeCell ref="A95:B95"/>
    <mergeCell ref="AF95:AG95"/>
    <mergeCell ref="J94:J95"/>
    <mergeCell ref="K90:K91"/>
    <mergeCell ref="K94:K95"/>
    <mergeCell ref="M94:M95"/>
    <mergeCell ref="L92:L93"/>
    <mergeCell ref="Y90:Y95"/>
    <mergeCell ref="AB90:AB95"/>
    <mergeCell ref="AL90:AL95"/>
    <mergeCell ref="AM90:AM95"/>
    <mergeCell ref="AF91:AG91"/>
    <mergeCell ref="AD90:AD91"/>
    <mergeCell ref="AF90:AG90"/>
    <mergeCell ref="AH90:AH95"/>
    <mergeCell ref="AI90:AI95"/>
    <mergeCell ref="AJ90:AJ95"/>
    <mergeCell ref="AD92:AD93"/>
    <mergeCell ref="AF92:AG92"/>
    <mergeCell ref="E94:E95"/>
    <mergeCell ref="F94:F95"/>
    <mergeCell ref="G94:G95"/>
    <mergeCell ref="H94:H95"/>
    <mergeCell ref="L90:L91"/>
    <mergeCell ref="AN88:AN89"/>
    <mergeCell ref="AD88:AD89"/>
    <mergeCell ref="AF88:AF89"/>
    <mergeCell ref="AG88:AG89"/>
    <mergeCell ref="AA88:AA89"/>
    <mergeCell ref="AE88:AE89"/>
    <mergeCell ref="AH88:AH89"/>
    <mergeCell ref="AI88:AI89"/>
    <mergeCell ref="AJ88:AJ89"/>
    <mergeCell ref="AK88:AK89"/>
    <mergeCell ref="AL88:AL89"/>
    <mergeCell ref="AM88:AM89"/>
    <mergeCell ref="AK90:AK95"/>
    <mergeCell ref="N94:N95"/>
    <mergeCell ref="R94:R95"/>
    <mergeCell ref="X94:X95"/>
    <mergeCell ref="AA94:AA95"/>
    <mergeCell ref="AD94:AD95"/>
    <mergeCell ref="AF94:AG94"/>
    <mergeCell ref="D88:D89"/>
    <mergeCell ref="I88:I89"/>
    <mergeCell ref="AO88:AO89"/>
    <mergeCell ref="N88:N89"/>
    <mergeCell ref="A88:B89"/>
    <mergeCell ref="C88:C89"/>
    <mergeCell ref="J88:J89"/>
    <mergeCell ref="K88:K89"/>
    <mergeCell ref="L88:L89"/>
    <mergeCell ref="M88:M89"/>
    <mergeCell ref="W88:W89"/>
    <mergeCell ref="O88:O89"/>
    <mergeCell ref="P88:P89"/>
    <mergeCell ref="Z88:Z89"/>
    <mergeCell ref="AC88:AC89"/>
    <mergeCell ref="Y88:Y89"/>
    <mergeCell ref="AB88:AB89"/>
    <mergeCell ref="A87:B87"/>
    <mergeCell ref="AF87:AG87"/>
    <mergeCell ref="A86:B86"/>
    <mergeCell ref="D86:D87"/>
    <mergeCell ref="J86:J87"/>
    <mergeCell ref="K82:K83"/>
    <mergeCell ref="K86:K87"/>
    <mergeCell ref="M86:M87"/>
    <mergeCell ref="AE80:AE87"/>
    <mergeCell ref="AF80:AG80"/>
    <mergeCell ref="AF85:AG85"/>
    <mergeCell ref="O84:O85"/>
    <mergeCell ref="X86:X87"/>
    <mergeCell ref="AA86:AA87"/>
    <mergeCell ref="AD86:AD87"/>
    <mergeCell ref="AF86:AG86"/>
    <mergeCell ref="P82:P83"/>
    <mergeCell ref="M80:M81"/>
    <mergeCell ref="Y80:Y87"/>
    <mergeCell ref="AB80:AB87"/>
    <mergeCell ref="L80:L81"/>
    <mergeCell ref="L82:L83"/>
    <mergeCell ref="L84:L85"/>
    <mergeCell ref="L86:L87"/>
    <mergeCell ref="A84:B84"/>
    <mergeCell ref="D84:D85"/>
    <mergeCell ref="J84:J85"/>
    <mergeCell ref="K84:K85"/>
    <mergeCell ref="M84:M85"/>
    <mergeCell ref="N84:N85"/>
    <mergeCell ref="O82:O83"/>
    <mergeCell ref="A85:B85"/>
    <mergeCell ref="M82:M83"/>
    <mergeCell ref="N82:N83"/>
    <mergeCell ref="E84:E85"/>
    <mergeCell ref="F84:F85"/>
    <mergeCell ref="G84:G85"/>
    <mergeCell ref="H84:H85"/>
    <mergeCell ref="D82:D83"/>
    <mergeCell ref="AH80:AH87"/>
    <mergeCell ref="W80:W87"/>
    <mergeCell ref="X80:X81"/>
    <mergeCell ref="Z80:Z87"/>
    <mergeCell ref="X82:X83"/>
    <mergeCell ref="AD84:AD85"/>
    <mergeCell ref="AF84:AG84"/>
    <mergeCell ref="AI80:AI87"/>
    <mergeCell ref="AJ80:AJ87"/>
    <mergeCell ref="AF83:AG83"/>
    <mergeCell ref="AA82:AA83"/>
    <mergeCell ref="AD82:AD83"/>
    <mergeCell ref="AF82:AG82"/>
    <mergeCell ref="AA84:AA85"/>
    <mergeCell ref="A76:B76"/>
    <mergeCell ref="AK80:AK87"/>
    <mergeCell ref="AL80:AL87"/>
    <mergeCell ref="AM80:AM87"/>
    <mergeCell ref="AA80:AA81"/>
    <mergeCell ref="AC80:AC87"/>
    <mergeCell ref="AD80:AD81"/>
    <mergeCell ref="X84:X85"/>
    <mergeCell ref="AF81:AG81"/>
    <mergeCell ref="A79:B79"/>
    <mergeCell ref="AF79:AG79"/>
    <mergeCell ref="A80:B80"/>
    <mergeCell ref="C80:C87"/>
    <mergeCell ref="J80:J81"/>
    <mergeCell ref="K80:K81"/>
    <mergeCell ref="X78:X79"/>
    <mergeCell ref="AA78:AA79"/>
    <mergeCell ref="AF78:AG78"/>
    <mergeCell ref="R78:R79"/>
    <mergeCell ref="A78:B78"/>
    <mergeCell ref="J78:J79"/>
    <mergeCell ref="A81:B81"/>
    <mergeCell ref="A82:B82"/>
    <mergeCell ref="J82:J83"/>
    <mergeCell ref="A83:B83"/>
    <mergeCell ref="R82:R83"/>
    <mergeCell ref="E78:E79"/>
    <mergeCell ref="F78:F79"/>
    <mergeCell ref="G78:G79"/>
    <mergeCell ref="H78:H79"/>
    <mergeCell ref="E80:E81"/>
    <mergeCell ref="F80:F81"/>
    <mergeCell ref="G80:G81"/>
    <mergeCell ref="H80:H81"/>
    <mergeCell ref="E82:E83"/>
    <mergeCell ref="F82:F83"/>
    <mergeCell ref="G82:G83"/>
    <mergeCell ref="H82:H83"/>
    <mergeCell ref="D78:D79"/>
    <mergeCell ref="D80:D81"/>
    <mergeCell ref="L78:L79"/>
    <mergeCell ref="M78:M79"/>
    <mergeCell ref="O78:O79"/>
    <mergeCell ref="P78:P79"/>
    <mergeCell ref="AD66:AD67"/>
    <mergeCell ref="AF66:AG66"/>
    <mergeCell ref="AF67:AG67"/>
    <mergeCell ref="A66:B66"/>
    <mergeCell ref="D66:D67"/>
    <mergeCell ref="J66:J67"/>
    <mergeCell ref="K66:K67"/>
    <mergeCell ref="L66:L67"/>
    <mergeCell ref="M66:M67"/>
    <mergeCell ref="A67:B67"/>
    <mergeCell ref="E66:E67"/>
    <mergeCell ref="F66:F67"/>
    <mergeCell ref="G66:G67"/>
    <mergeCell ref="H66:H67"/>
    <mergeCell ref="AA66:AA67"/>
    <mergeCell ref="W52:W79"/>
    <mergeCell ref="O60:O61"/>
    <mergeCell ref="P60:P61"/>
    <mergeCell ref="O62:O63"/>
    <mergeCell ref="P62:P63"/>
    <mergeCell ref="O66:O67"/>
    <mergeCell ref="P66:P67"/>
    <mergeCell ref="AD78:AD79"/>
    <mergeCell ref="O58:O59"/>
    <mergeCell ref="AA62:AA63"/>
    <mergeCell ref="AD62:AD63"/>
    <mergeCell ref="AF62:AG62"/>
    <mergeCell ref="AF63:AG63"/>
    <mergeCell ref="A62:B62"/>
    <mergeCell ref="D62:D63"/>
    <mergeCell ref="J62:J63"/>
    <mergeCell ref="K62:K63"/>
    <mergeCell ref="L62:L63"/>
    <mergeCell ref="M62:M63"/>
    <mergeCell ref="A63:B63"/>
    <mergeCell ref="E62:E63"/>
    <mergeCell ref="F62:F63"/>
    <mergeCell ref="G62:G63"/>
    <mergeCell ref="H62:H63"/>
    <mergeCell ref="Y52:Y79"/>
    <mergeCell ref="AB52:AB79"/>
    <mergeCell ref="E64:E65"/>
    <mergeCell ref="F64:F65"/>
    <mergeCell ref="G64:G65"/>
    <mergeCell ref="H64:H65"/>
    <mergeCell ref="Q62:Q63"/>
    <mergeCell ref="I64:I65"/>
    <mergeCell ref="L64:L65"/>
    <mergeCell ref="AA60:AA61"/>
    <mergeCell ref="AD60:AD61"/>
    <mergeCell ref="AF60:AG60"/>
    <mergeCell ref="AF61:AG61"/>
    <mergeCell ref="A60:B60"/>
    <mergeCell ref="D60:D61"/>
    <mergeCell ref="J60:J61"/>
    <mergeCell ref="K60:K61"/>
    <mergeCell ref="L60:L61"/>
    <mergeCell ref="M60:M61"/>
    <mergeCell ref="A61:B61"/>
    <mergeCell ref="AF59:AG59"/>
    <mergeCell ref="AA56:AA57"/>
    <mergeCell ref="AD56:AD57"/>
    <mergeCell ref="AF56:AG56"/>
    <mergeCell ref="A57:B57"/>
    <mergeCell ref="AF57:AG57"/>
    <mergeCell ref="A58:B58"/>
    <mergeCell ref="D58:D59"/>
    <mergeCell ref="J58:J59"/>
    <mergeCell ref="K58:K59"/>
    <mergeCell ref="L58:L59"/>
    <mergeCell ref="K56:K57"/>
    <mergeCell ref="L56:L57"/>
    <mergeCell ref="M56:M57"/>
    <mergeCell ref="N56:N57"/>
    <mergeCell ref="R56:R57"/>
    <mergeCell ref="Z52:Z79"/>
    <mergeCell ref="AA52:AA53"/>
    <mergeCell ref="AC52:AC79"/>
    <mergeCell ref="AD52:AD53"/>
    <mergeCell ref="AE52:AE79"/>
    <mergeCell ref="X54:X55"/>
    <mergeCell ref="N60:N61"/>
    <mergeCell ref="R60:R61"/>
    <mergeCell ref="AA58:AA59"/>
    <mergeCell ref="AD58:AD59"/>
    <mergeCell ref="AM52:AM79"/>
    <mergeCell ref="A53:B53"/>
    <mergeCell ref="AF53:AG53"/>
    <mergeCell ref="A54:B54"/>
    <mergeCell ref="D54:D55"/>
    <mergeCell ref="J54:J55"/>
    <mergeCell ref="K54:K55"/>
    <mergeCell ref="L54:L55"/>
    <mergeCell ref="M54:M55"/>
    <mergeCell ref="N54:N55"/>
    <mergeCell ref="AF52:AG52"/>
    <mergeCell ref="AH52:AH79"/>
    <mergeCell ref="AI52:AI79"/>
    <mergeCell ref="AJ52:AJ79"/>
    <mergeCell ref="AK52:AK79"/>
    <mergeCell ref="AL52:AL79"/>
    <mergeCell ref="AF54:AG54"/>
    <mergeCell ref="X52:X53"/>
    <mergeCell ref="AF58:AG58"/>
    <mergeCell ref="A59:B59"/>
    <mergeCell ref="E52:E53"/>
    <mergeCell ref="F52:F53"/>
    <mergeCell ref="AF44:AG44"/>
    <mergeCell ref="A45:B45"/>
    <mergeCell ref="AF45:AG45"/>
    <mergeCell ref="A52:B52"/>
    <mergeCell ref="C52:C79"/>
    <mergeCell ref="D52:D53"/>
    <mergeCell ref="J52:J53"/>
    <mergeCell ref="K52:K53"/>
    <mergeCell ref="L52:L53"/>
    <mergeCell ref="M52:M53"/>
    <mergeCell ref="N52:N53"/>
    <mergeCell ref="R52:R53"/>
    <mergeCell ref="R54:R55"/>
    <mergeCell ref="M58:M59"/>
    <mergeCell ref="N58:N59"/>
    <mergeCell ref="R58:R59"/>
    <mergeCell ref="A55:B55"/>
    <mergeCell ref="AF55:AG55"/>
    <mergeCell ref="A56:B56"/>
    <mergeCell ref="D56:D57"/>
    <mergeCell ref="J56:J57"/>
    <mergeCell ref="AA54:AA55"/>
    <mergeCell ref="AD54:AD55"/>
    <mergeCell ref="A44:B44"/>
    <mergeCell ref="J44:J45"/>
    <mergeCell ref="K44:K45"/>
    <mergeCell ref="M44:M45"/>
    <mergeCell ref="N44:N45"/>
    <mergeCell ref="R44:R45"/>
    <mergeCell ref="AE40:AE45"/>
    <mergeCell ref="X44:X45"/>
    <mergeCell ref="K40:K41"/>
    <mergeCell ref="L40:L41"/>
    <mergeCell ref="M40:M41"/>
    <mergeCell ref="AD44:AD45"/>
    <mergeCell ref="W40:W45"/>
    <mergeCell ref="N42:N43"/>
    <mergeCell ref="R42:R43"/>
    <mergeCell ref="AA44:AA45"/>
    <mergeCell ref="AD42:AD43"/>
    <mergeCell ref="X42:X43"/>
    <mergeCell ref="Y40:Y45"/>
    <mergeCell ref="AB40:AB45"/>
    <mergeCell ref="AA42:AA43"/>
    <mergeCell ref="AM40:AM45"/>
    <mergeCell ref="A41:B41"/>
    <mergeCell ref="AF41:AG41"/>
    <mergeCell ref="A42:B42"/>
    <mergeCell ref="D42:D43"/>
    <mergeCell ref="J42:J43"/>
    <mergeCell ref="K42:K43"/>
    <mergeCell ref="L42:L43"/>
    <mergeCell ref="M42:M43"/>
    <mergeCell ref="AF40:AG40"/>
    <mergeCell ref="AH40:AH45"/>
    <mergeCell ref="AI40:AI45"/>
    <mergeCell ref="AJ40:AJ45"/>
    <mergeCell ref="AK40:AK45"/>
    <mergeCell ref="AL40:AL45"/>
    <mergeCell ref="AF42:AG42"/>
    <mergeCell ref="AF43:AG43"/>
    <mergeCell ref="X40:X41"/>
    <mergeCell ref="Z40:Z45"/>
    <mergeCell ref="AA40:AA41"/>
    <mergeCell ref="AC40:AC45"/>
    <mergeCell ref="AD40:AD41"/>
    <mergeCell ref="N40:N41"/>
    <mergeCell ref="R40:R41"/>
    <mergeCell ref="A40:B40"/>
    <mergeCell ref="C40:C45"/>
    <mergeCell ref="D40:D41"/>
    <mergeCell ref="I40:I45"/>
    <mergeCell ref="J40:J41"/>
    <mergeCell ref="A43:B43"/>
    <mergeCell ref="O40:O41"/>
    <mergeCell ref="P40:P41"/>
    <mergeCell ref="O42:O43"/>
    <mergeCell ref="P42:P43"/>
    <mergeCell ref="O44:O45"/>
    <mergeCell ref="P44:P45"/>
    <mergeCell ref="F40:F41"/>
    <mergeCell ref="G40:G41"/>
    <mergeCell ref="H40:H41"/>
    <mergeCell ref="E42:E43"/>
    <mergeCell ref="F42:F43"/>
    <mergeCell ref="G42:G43"/>
    <mergeCell ref="H42:H43"/>
    <mergeCell ref="E44:E45"/>
    <mergeCell ref="F44:F45"/>
    <mergeCell ref="G44:G45"/>
    <mergeCell ref="H44:H45"/>
    <mergeCell ref="D44:D45"/>
    <mergeCell ref="A37:B37"/>
    <mergeCell ref="AF37:AG37"/>
    <mergeCell ref="AH37:AI37"/>
    <mergeCell ref="AJ37:AK37"/>
    <mergeCell ref="AL37:AM37"/>
    <mergeCell ref="A39:B39"/>
    <mergeCell ref="AF39:AG39"/>
    <mergeCell ref="A34:B34"/>
    <mergeCell ref="AF34:AG34"/>
    <mergeCell ref="A35:B35"/>
    <mergeCell ref="AF35:AG35"/>
    <mergeCell ref="A36:B36"/>
    <mergeCell ref="AF36:AG36"/>
    <mergeCell ref="AF22:AG22"/>
    <mergeCell ref="A31:B31"/>
    <mergeCell ref="AF31:AG31"/>
    <mergeCell ref="A32:B32"/>
    <mergeCell ref="AF32:AG32"/>
    <mergeCell ref="A33:B33"/>
    <mergeCell ref="AF33:AG33"/>
    <mergeCell ref="A28:B28"/>
    <mergeCell ref="AF28:AG28"/>
    <mergeCell ref="A29:B29"/>
    <mergeCell ref="AF29:AG29"/>
    <mergeCell ref="A30:B30"/>
    <mergeCell ref="AF30:AG30"/>
    <mergeCell ref="A102:B102"/>
    <mergeCell ref="AF1:AG1"/>
    <mergeCell ref="C12:I37"/>
    <mergeCell ref="J12:AE37"/>
    <mergeCell ref="AF12:AG12"/>
    <mergeCell ref="AF13:AG13"/>
    <mergeCell ref="AF14:AG14"/>
    <mergeCell ref="AF15:AG15"/>
    <mergeCell ref="AF16:AG16"/>
    <mergeCell ref="AF23:AG23"/>
    <mergeCell ref="AF24:AG24"/>
    <mergeCell ref="AF25:AG25"/>
    <mergeCell ref="AF26:AG26"/>
    <mergeCell ref="N10:AE11"/>
    <mergeCell ref="J10:J11"/>
    <mergeCell ref="K10:M11"/>
    <mergeCell ref="A27:B27"/>
    <mergeCell ref="AF27:AG27"/>
    <mergeCell ref="AF17:AG17"/>
    <mergeCell ref="AF18:AG18"/>
    <mergeCell ref="AF19:AG19"/>
    <mergeCell ref="AF20:AG20"/>
    <mergeCell ref="AF21:AG21"/>
    <mergeCell ref="E40:E41"/>
    <mergeCell ref="G52:G53"/>
    <mergeCell ref="H52:H53"/>
    <mergeCell ref="E54:E55"/>
    <mergeCell ref="F54:F55"/>
    <mergeCell ref="G54:G55"/>
    <mergeCell ref="H54:H55"/>
    <mergeCell ref="E56:E57"/>
    <mergeCell ref="F56:F57"/>
    <mergeCell ref="G56:G57"/>
    <mergeCell ref="H56:H57"/>
    <mergeCell ref="F58:F59"/>
    <mergeCell ref="G58:G59"/>
    <mergeCell ref="H58:H59"/>
    <mergeCell ref="E60:E61"/>
    <mergeCell ref="F60:F61"/>
    <mergeCell ref="G60:G61"/>
    <mergeCell ref="H60:H61"/>
    <mergeCell ref="E86:E87"/>
    <mergeCell ref="F86:F87"/>
    <mergeCell ref="G86:G87"/>
    <mergeCell ref="H86:H87"/>
    <mergeCell ref="A2:E9"/>
    <mergeCell ref="F1:AE9"/>
    <mergeCell ref="D38:I38"/>
    <mergeCell ref="J38:AE38"/>
    <mergeCell ref="E101:E102"/>
    <mergeCell ref="F101:F102"/>
    <mergeCell ref="G101:G102"/>
    <mergeCell ref="H101:H102"/>
    <mergeCell ref="I101:I102"/>
    <mergeCell ref="J101:J102"/>
    <mergeCell ref="O101:O102"/>
    <mergeCell ref="E88:E89"/>
    <mergeCell ref="F88:F89"/>
    <mergeCell ref="G88:G89"/>
    <mergeCell ref="H88:H89"/>
    <mergeCell ref="E90:E91"/>
    <mergeCell ref="F90:F91"/>
    <mergeCell ref="G90:G91"/>
    <mergeCell ref="H90:H91"/>
    <mergeCell ref="E92:E93"/>
    <mergeCell ref="F92:F93"/>
    <mergeCell ref="G92:G93"/>
    <mergeCell ref="H92:H93"/>
    <mergeCell ref="E58:E59"/>
  </mergeCells>
  <dataValidations count="4">
    <dataValidation type="list" allowBlank="1" showInputMessage="1" showErrorMessage="1" sqref="E40:E99" xr:uid="{E3529F8D-623C-465B-84A7-8BB0E727EB10}">
      <formula1>$E$103:$E$110</formula1>
    </dataValidation>
    <dataValidation type="list" allowBlank="1" showInputMessage="1" showErrorMessage="1" sqref="F40:F99" xr:uid="{C6672571-3310-463F-A044-5B81960A43C6}">
      <formula1>$F$103:$F$112</formula1>
    </dataValidation>
    <dataValidation type="list" allowBlank="1" showInputMessage="1" showErrorMessage="1" sqref="G40:G99" xr:uid="{7C034547-BB94-4272-9E85-7EDE3CC87271}">
      <formula1>$G$103:$G$109</formula1>
    </dataValidation>
    <dataValidation type="list" allowBlank="1" showInputMessage="1" showErrorMessage="1" sqref="H40:H99" xr:uid="{47C6C5CA-C5F2-4A73-A98D-929827BCD2CA}">
      <formula1>$H$103:$H$121</formula1>
    </dataValidation>
  </dataValidations>
  <pageMargins left="0.7" right="0.7" top="0.75" bottom="0.75" header="0.3" footer="0.3"/>
  <pageSetup orientation="portrait" r:id="rId1"/>
  <headerFooter>
    <oddFooter>&amp;C_x000D_&amp;1#&amp;"Calibri"&amp;10&amp;K008000 DOCUMENTO PÚBLICO</oddFooter>
  </headerFooter>
  <rowBreaks count="1" manualBreakCount="1">
    <brk id="100" max="16383" man="1"/>
  </rowBreaks>
  <colBreaks count="4" manualBreakCount="4">
    <brk id="7" max="151" man="1"/>
    <brk id="11" max="151" man="1"/>
    <brk id="13" max="151" man="1"/>
    <brk id="39" max="1048575" man="1"/>
  </colBreak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1F68E-5952-4874-9F03-8E9D1ABA4877}">
  <dimension ref="A1:AJ101"/>
  <sheetViews>
    <sheetView showGridLines="0" view="pageBreakPreview" zoomScale="50" zoomScaleNormal="10" zoomScaleSheetLayoutView="50" zoomScalePageLayoutView="48" workbookViewId="0">
      <selection activeCell="C16" sqref="C16:C17"/>
    </sheetView>
  </sheetViews>
  <sheetFormatPr baseColWidth="10" defaultColWidth="12.54296875" defaultRowHeight="15" customHeight="1" x14ac:dyDescent="0.35"/>
  <cols>
    <col min="1" max="1" width="7.26953125" style="302" customWidth="1"/>
    <col min="2" max="4" width="28.54296875" style="302" customWidth="1"/>
    <col min="5" max="5" width="36.453125" style="302" customWidth="1"/>
    <col min="6" max="6" width="28.54296875" style="302" hidden="1" customWidth="1"/>
    <col min="7" max="9" width="28.54296875" style="302" customWidth="1"/>
    <col min="10" max="10" width="37.54296875" style="302" customWidth="1"/>
    <col min="11" max="11" width="50" style="302" customWidth="1"/>
    <col min="12" max="12" width="19.54296875" style="302" customWidth="1"/>
    <col min="13" max="13" width="28.54296875" style="302" customWidth="1"/>
    <col min="14" max="16" width="18.26953125" style="302" customWidth="1"/>
    <col min="17" max="19" width="13.7265625" style="302" hidden="1" customWidth="1"/>
    <col min="20" max="32" width="9.54296875" style="302" hidden="1" customWidth="1"/>
    <col min="33" max="33" width="35.7265625" style="302" hidden="1" customWidth="1"/>
    <col min="34" max="36" width="42.54296875" style="302" hidden="1" customWidth="1"/>
    <col min="37" max="16384" width="12.54296875" style="302"/>
  </cols>
  <sheetData>
    <row r="1" spans="1:36" s="295" customFormat="1" ht="15" customHeight="1" x14ac:dyDescent="0.35">
      <c r="A1" s="938"/>
      <c r="B1" s="939"/>
      <c r="C1" s="940"/>
      <c r="D1" s="719" t="s">
        <v>816</v>
      </c>
      <c r="E1" s="719"/>
      <c r="F1" s="719"/>
      <c r="G1" s="719"/>
      <c r="H1" s="719"/>
      <c r="I1" s="719"/>
      <c r="J1" s="719"/>
      <c r="K1" s="719"/>
      <c r="L1" s="719"/>
      <c r="M1" s="719"/>
      <c r="N1" s="719"/>
      <c r="O1" s="719"/>
      <c r="P1" s="719"/>
      <c r="Q1" s="719"/>
      <c r="R1" s="719"/>
      <c r="S1" s="719"/>
      <c r="T1" s="719"/>
      <c r="U1" s="719"/>
      <c r="V1" s="719"/>
      <c r="W1" s="719"/>
      <c r="X1" s="719"/>
      <c r="Y1" s="719"/>
      <c r="Z1" s="719"/>
      <c r="AA1" s="719"/>
      <c r="AB1" s="719"/>
      <c r="AC1" s="720"/>
      <c r="AD1" s="719"/>
      <c r="AE1" s="719"/>
      <c r="AF1" s="719"/>
      <c r="AG1" s="719"/>
      <c r="AH1" s="719"/>
      <c r="AI1" s="719"/>
      <c r="AJ1" s="719"/>
    </row>
    <row r="2" spans="1:36" s="295" customFormat="1" ht="20.149999999999999" customHeight="1" x14ac:dyDescent="0.35">
      <c r="A2" s="941"/>
      <c r="B2" s="942"/>
      <c r="C2" s="943"/>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2"/>
      <c r="AD2" s="721"/>
      <c r="AE2" s="721"/>
      <c r="AF2" s="721"/>
      <c r="AG2" s="721"/>
      <c r="AH2" s="721"/>
      <c r="AI2" s="721"/>
      <c r="AJ2" s="721"/>
    </row>
    <row r="3" spans="1:36" s="295" customFormat="1" ht="60" customHeight="1" thickBot="1" x14ac:dyDescent="0.4">
      <c r="A3" s="944"/>
      <c r="B3" s="945"/>
      <c r="C3" s="946"/>
      <c r="D3" s="721"/>
      <c r="E3" s="721"/>
      <c r="F3" s="721"/>
      <c r="G3" s="721"/>
      <c r="H3" s="721"/>
      <c r="I3" s="721"/>
      <c r="J3" s="721"/>
      <c r="K3" s="721"/>
      <c r="L3" s="721"/>
      <c r="M3" s="721"/>
      <c r="N3" s="721"/>
      <c r="O3" s="721"/>
      <c r="P3" s="721"/>
      <c r="Q3" s="721"/>
      <c r="R3" s="721"/>
      <c r="S3" s="721"/>
      <c r="T3" s="721"/>
      <c r="U3" s="721"/>
      <c r="V3" s="721"/>
      <c r="W3" s="721"/>
      <c r="X3" s="721"/>
      <c r="Y3" s="721"/>
      <c r="Z3" s="721"/>
      <c r="AA3" s="721"/>
      <c r="AB3" s="721"/>
      <c r="AC3" s="722"/>
      <c r="AD3" s="721"/>
      <c r="AE3" s="721"/>
      <c r="AF3" s="721"/>
      <c r="AG3" s="721"/>
      <c r="AH3" s="721"/>
      <c r="AI3" s="721"/>
      <c r="AJ3" s="721"/>
    </row>
    <row r="4" spans="1:36" s="295" customFormat="1" ht="60" hidden="1" customHeight="1" x14ac:dyDescent="0.35">
      <c r="A4" s="947" t="s">
        <v>34</v>
      </c>
      <c r="B4" s="297" t="s">
        <v>35</v>
      </c>
      <c r="C4" s="298">
        <v>0.7</v>
      </c>
      <c r="D4" s="298"/>
      <c r="E4" s="298"/>
      <c r="F4" s="296"/>
      <c r="G4" s="947" t="s">
        <v>36</v>
      </c>
      <c r="H4" s="297" t="s">
        <v>35</v>
      </c>
      <c r="I4" s="298">
        <v>0.7</v>
      </c>
      <c r="J4" s="299"/>
      <c r="K4" s="300"/>
      <c r="L4" s="300"/>
      <c r="M4" s="300"/>
      <c r="N4" s="300"/>
      <c r="O4" s="300"/>
      <c r="P4" s="300"/>
      <c r="Q4" s="300"/>
      <c r="R4" s="300"/>
      <c r="S4" s="300"/>
      <c r="T4" s="300"/>
      <c r="U4" s="300"/>
      <c r="V4" s="300"/>
      <c r="W4" s="300"/>
      <c r="X4" s="300"/>
      <c r="Y4" s="300"/>
      <c r="Z4" s="300"/>
      <c r="AA4" s="300"/>
      <c r="AB4" s="300"/>
      <c r="AC4" s="300"/>
      <c r="AD4" s="300"/>
      <c r="AE4" s="300"/>
      <c r="AF4" s="300"/>
      <c r="AG4" s="300"/>
      <c r="AH4" s="300"/>
    </row>
    <row r="5" spans="1:36" s="295" customFormat="1" ht="60" hidden="1" customHeight="1" x14ac:dyDescent="0.35">
      <c r="A5" s="947"/>
      <c r="B5" s="297" t="s">
        <v>37</v>
      </c>
      <c r="C5" s="301">
        <v>0.9</v>
      </c>
      <c r="D5" s="301"/>
      <c r="E5" s="301"/>
      <c r="F5" s="301">
        <v>1</v>
      </c>
      <c r="G5" s="947"/>
      <c r="H5" s="297" t="s">
        <v>37</v>
      </c>
      <c r="I5" s="301">
        <v>0.95</v>
      </c>
      <c r="J5" s="299"/>
      <c r="K5" s="300"/>
      <c r="L5" s="300"/>
      <c r="M5" s="300"/>
      <c r="N5" s="300"/>
      <c r="O5" s="300"/>
      <c r="P5" s="300"/>
      <c r="Q5" s="300"/>
      <c r="R5" s="300"/>
      <c r="S5" s="300"/>
      <c r="T5" s="300"/>
      <c r="U5" s="300"/>
      <c r="V5" s="300"/>
      <c r="W5" s="300"/>
      <c r="X5" s="300"/>
      <c r="Y5" s="300"/>
      <c r="Z5" s="300"/>
      <c r="AA5" s="300"/>
      <c r="AB5" s="300"/>
      <c r="AC5" s="300"/>
      <c r="AD5" s="300"/>
      <c r="AE5" s="300"/>
      <c r="AF5" s="300"/>
      <c r="AG5" s="300"/>
      <c r="AH5" s="300"/>
    </row>
    <row r="6" spans="1:36" ht="20.149999999999999" hidden="1" customHeight="1" x14ac:dyDescent="0.35">
      <c r="A6" s="948" t="s">
        <v>38</v>
      </c>
      <c r="B6" s="948"/>
      <c r="C6" s="949" t="s">
        <v>442</v>
      </c>
      <c r="D6" s="949"/>
      <c r="E6" s="950" t="s">
        <v>40</v>
      </c>
      <c r="F6" s="950"/>
      <c r="G6" s="951">
        <f>+R15+R17+R19+R21+R23+R25</f>
        <v>0</v>
      </c>
      <c r="H6" s="950" t="s">
        <v>41</v>
      </c>
      <c r="I6" s="950"/>
      <c r="J6" s="954">
        <f>+R14+R16+R18+R20+R22+R24</f>
        <v>0</v>
      </c>
      <c r="K6" s="980" t="s">
        <v>42</v>
      </c>
      <c r="L6" s="981"/>
      <c r="M6" s="986">
        <v>0.95</v>
      </c>
      <c r="N6" s="948" t="s">
        <v>43</v>
      </c>
      <c r="O6" s="948"/>
      <c r="P6" s="948"/>
      <c r="Q6" s="966" t="e">
        <f>(SUM(W14,W16,W18,W20,W22,W24)/SUM(W15,W17,W19,W21,W23,W25))/M6</f>
        <v>#DIV/0!</v>
      </c>
      <c r="R6" s="989"/>
      <c r="S6" s="967"/>
      <c r="T6" s="957" t="s">
        <v>44</v>
      </c>
      <c r="U6" s="958"/>
      <c r="V6" s="958"/>
      <c r="W6" s="959"/>
      <c r="X6" s="966" t="e">
        <f>SUM(Z14,Z16,Z18,Z20,Z22,Z24)/SUM(Z15,Z17,Z19,Z21,Z23,Z25)/M6</f>
        <v>#DIV/0!</v>
      </c>
      <c r="Y6" s="989"/>
      <c r="Z6" s="989"/>
      <c r="AA6" s="967"/>
      <c r="AB6" s="957" t="s">
        <v>45</v>
      </c>
      <c r="AC6" s="958"/>
      <c r="AD6" s="958"/>
      <c r="AE6" s="959"/>
      <c r="AF6" s="966" t="e">
        <f>SUM(AC14,AC16,AC18,AC20,AC22,AC24)/SUM(AC15,AC17,AC19,AC21,AC23,AC25)/M6</f>
        <v>#DIV/0!</v>
      </c>
      <c r="AG6" s="967"/>
      <c r="AH6" s="957" t="s">
        <v>46</v>
      </c>
      <c r="AI6" s="966" t="e">
        <f>SUM(AF14,AF16,AF18,AF20,AF22,AF24)/SUM(AF15,AF17,AF19,AF21,AF23,AF25)/M6</f>
        <v>#DIV/0!</v>
      </c>
    </row>
    <row r="7" spans="1:36" ht="15" hidden="1" customHeight="1" x14ac:dyDescent="0.35">
      <c r="A7" s="948"/>
      <c r="B7" s="948"/>
      <c r="C7" s="949"/>
      <c r="D7" s="949"/>
      <c r="E7" s="950"/>
      <c r="F7" s="950"/>
      <c r="G7" s="952"/>
      <c r="H7" s="950"/>
      <c r="I7" s="950"/>
      <c r="J7" s="955"/>
      <c r="K7" s="982"/>
      <c r="L7" s="983"/>
      <c r="M7" s="987"/>
      <c r="N7" s="948"/>
      <c r="O7" s="948"/>
      <c r="P7" s="948"/>
      <c r="Q7" s="968"/>
      <c r="R7" s="990"/>
      <c r="S7" s="969"/>
      <c r="T7" s="960"/>
      <c r="U7" s="961"/>
      <c r="V7" s="961"/>
      <c r="W7" s="962"/>
      <c r="X7" s="968"/>
      <c r="Y7" s="990"/>
      <c r="Z7" s="990"/>
      <c r="AA7" s="969"/>
      <c r="AB7" s="960"/>
      <c r="AC7" s="961"/>
      <c r="AD7" s="961"/>
      <c r="AE7" s="962"/>
      <c r="AF7" s="968"/>
      <c r="AG7" s="969"/>
      <c r="AH7" s="960"/>
      <c r="AI7" s="968"/>
    </row>
    <row r="8" spans="1:36" ht="25.4" hidden="1" customHeight="1" x14ac:dyDescent="0.35">
      <c r="A8" s="948"/>
      <c r="B8" s="948"/>
      <c r="C8" s="949"/>
      <c r="D8" s="949"/>
      <c r="E8" s="950"/>
      <c r="F8" s="950"/>
      <c r="G8" s="952"/>
      <c r="H8" s="950"/>
      <c r="I8" s="950"/>
      <c r="J8" s="955"/>
      <c r="K8" s="982"/>
      <c r="L8" s="983"/>
      <c r="M8" s="987"/>
      <c r="N8" s="948"/>
      <c r="O8" s="948"/>
      <c r="P8" s="948"/>
      <c r="Q8" s="968"/>
      <c r="R8" s="990"/>
      <c r="S8" s="969"/>
      <c r="T8" s="960"/>
      <c r="U8" s="961"/>
      <c r="V8" s="961"/>
      <c r="W8" s="962"/>
      <c r="X8" s="968"/>
      <c r="Y8" s="990"/>
      <c r="Z8" s="990"/>
      <c r="AA8" s="969"/>
      <c r="AB8" s="960"/>
      <c r="AC8" s="961"/>
      <c r="AD8" s="961"/>
      <c r="AE8" s="962"/>
      <c r="AF8" s="968"/>
      <c r="AG8" s="969"/>
      <c r="AH8" s="960"/>
      <c r="AI8" s="968"/>
    </row>
    <row r="9" spans="1:36" ht="25.4" hidden="1" customHeight="1" x14ac:dyDescent="0.35">
      <c r="A9" s="948"/>
      <c r="B9" s="948"/>
      <c r="C9" s="949"/>
      <c r="D9" s="949"/>
      <c r="E9" s="950"/>
      <c r="F9" s="950"/>
      <c r="G9" s="952"/>
      <c r="H9" s="950"/>
      <c r="I9" s="950"/>
      <c r="J9" s="955"/>
      <c r="K9" s="982"/>
      <c r="L9" s="983"/>
      <c r="M9" s="987"/>
      <c r="N9" s="948"/>
      <c r="O9" s="948"/>
      <c r="P9" s="948"/>
      <c r="Q9" s="968"/>
      <c r="R9" s="990"/>
      <c r="S9" s="969"/>
      <c r="T9" s="960"/>
      <c r="U9" s="961"/>
      <c r="V9" s="961"/>
      <c r="W9" s="962"/>
      <c r="X9" s="968"/>
      <c r="Y9" s="990"/>
      <c r="Z9" s="990"/>
      <c r="AA9" s="969"/>
      <c r="AB9" s="960"/>
      <c r="AC9" s="961"/>
      <c r="AD9" s="961"/>
      <c r="AE9" s="962"/>
      <c r="AF9" s="968"/>
      <c r="AG9" s="969"/>
      <c r="AH9" s="960"/>
      <c r="AI9" s="968"/>
    </row>
    <row r="10" spans="1:36" ht="15" hidden="1" customHeight="1" thickBot="1" x14ac:dyDescent="0.4">
      <c r="A10" s="948"/>
      <c r="B10" s="948"/>
      <c r="C10" s="949"/>
      <c r="D10" s="949"/>
      <c r="E10" s="950"/>
      <c r="F10" s="950"/>
      <c r="G10" s="953"/>
      <c r="H10" s="950"/>
      <c r="I10" s="950"/>
      <c r="J10" s="956"/>
      <c r="K10" s="984"/>
      <c r="L10" s="985"/>
      <c r="M10" s="988"/>
      <c r="N10" s="948"/>
      <c r="O10" s="948"/>
      <c r="P10" s="948"/>
      <c r="Q10" s="970"/>
      <c r="R10" s="991"/>
      <c r="S10" s="971"/>
      <c r="T10" s="963"/>
      <c r="U10" s="964"/>
      <c r="V10" s="964"/>
      <c r="W10" s="965"/>
      <c r="X10" s="970"/>
      <c r="Y10" s="991"/>
      <c r="Z10" s="991"/>
      <c r="AA10" s="971"/>
      <c r="AB10" s="963"/>
      <c r="AC10" s="964"/>
      <c r="AD10" s="964"/>
      <c r="AE10" s="965"/>
      <c r="AF10" s="970"/>
      <c r="AG10" s="971"/>
      <c r="AH10" s="963"/>
      <c r="AI10" s="970"/>
    </row>
    <row r="11" spans="1:36" s="303" customFormat="1" ht="40.4" customHeight="1" thickBot="1" x14ac:dyDescent="0.4">
      <c r="A11" s="972" t="s">
        <v>47</v>
      </c>
      <c r="B11" s="972"/>
      <c r="C11" s="972"/>
      <c r="D11" s="972"/>
      <c r="E11" s="972"/>
      <c r="F11" s="973"/>
      <c r="G11" s="974" t="s">
        <v>820</v>
      </c>
      <c r="H11" s="975"/>
      <c r="I11" s="975"/>
      <c r="J11" s="975"/>
      <c r="K11" s="975"/>
      <c r="L11" s="975"/>
      <c r="M11" s="975"/>
      <c r="N11" s="975"/>
      <c r="O11" s="975"/>
      <c r="P11" s="976"/>
      <c r="Q11" s="977" t="s">
        <v>48</v>
      </c>
      <c r="R11" s="978"/>
      <c r="S11" s="978"/>
      <c r="T11" s="978"/>
      <c r="U11" s="978"/>
      <c r="V11" s="978"/>
      <c r="W11" s="978"/>
      <c r="X11" s="978"/>
      <c r="Y11" s="978"/>
      <c r="Z11" s="978"/>
      <c r="AA11" s="978"/>
      <c r="AB11" s="978"/>
      <c r="AC11" s="978"/>
      <c r="AD11" s="978"/>
      <c r="AE11" s="978"/>
      <c r="AF11" s="979"/>
      <c r="AG11" s="977" t="s">
        <v>49</v>
      </c>
      <c r="AH11" s="978"/>
      <c r="AI11" s="978"/>
      <c r="AJ11" s="978"/>
    </row>
    <row r="12" spans="1:36" ht="39" customHeight="1" x14ac:dyDescent="0.35">
      <c r="A12" s="994" t="s">
        <v>50</v>
      </c>
      <c r="B12" s="992" t="s">
        <v>51</v>
      </c>
      <c r="C12" s="992" t="s">
        <v>52</v>
      </c>
      <c r="D12" s="992" t="s">
        <v>53</v>
      </c>
      <c r="E12" s="992" t="s">
        <v>54</v>
      </c>
      <c r="F12" s="992" t="s">
        <v>30</v>
      </c>
      <c r="G12" s="992" t="s">
        <v>443</v>
      </c>
      <c r="H12" s="992" t="s">
        <v>444</v>
      </c>
      <c r="I12" s="992" t="s">
        <v>445</v>
      </c>
      <c r="J12" s="992" t="s">
        <v>446</v>
      </c>
      <c r="K12" s="992" t="s">
        <v>447</v>
      </c>
      <c r="L12" s="992" t="s">
        <v>59</v>
      </c>
      <c r="M12" s="992" t="s">
        <v>60</v>
      </c>
      <c r="N12" s="992" t="s">
        <v>61</v>
      </c>
      <c r="O12" s="992" t="s">
        <v>62</v>
      </c>
      <c r="P12" s="992" t="s">
        <v>63</v>
      </c>
      <c r="Q12" s="996" t="s">
        <v>64</v>
      </c>
      <c r="R12" s="997" t="s">
        <v>65</v>
      </c>
      <c r="S12" s="995" t="s">
        <v>66</v>
      </c>
      <c r="T12" s="620" t="s">
        <v>67</v>
      </c>
      <c r="U12" s="618" t="s">
        <v>68</v>
      </c>
      <c r="V12" s="616" t="s">
        <v>69</v>
      </c>
      <c r="W12" s="622" t="s">
        <v>70</v>
      </c>
      <c r="X12" s="624" t="s">
        <v>71</v>
      </c>
      <c r="Y12" s="622" t="s">
        <v>72</v>
      </c>
      <c r="Z12" s="616" t="s">
        <v>72</v>
      </c>
      <c r="AA12" s="618" t="s">
        <v>74</v>
      </c>
      <c r="AB12" s="620" t="s">
        <v>75</v>
      </c>
      <c r="AC12" s="618" t="s">
        <v>76</v>
      </c>
      <c r="AD12" s="616" t="s">
        <v>77</v>
      </c>
      <c r="AE12" s="622" t="s">
        <v>78</v>
      </c>
      <c r="AF12" s="613" t="s">
        <v>79</v>
      </c>
      <c r="AG12" s="998" t="s">
        <v>80</v>
      </c>
      <c r="AH12" s="998" t="s">
        <v>81</v>
      </c>
      <c r="AI12" s="998" t="s">
        <v>82</v>
      </c>
      <c r="AJ12" s="998" t="s">
        <v>83</v>
      </c>
    </row>
    <row r="13" spans="1:36" ht="60" customHeight="1" thickBot="1" x14ac:dyDescent="0.4">
      <c r="A13" s="993"/>
      <c r="B13" s="993"/>
      <c r="C13" s="993"/>
      <c r="D13" s="993"/>
      <c r="E13" s="993"/>
      <c r="F13" s="993"/>
      <c r="G13" s="993"/>
      <c r="H13" s="993"/>
      <c r="I13" s="993"/>
      <c r="J13" s="993"/>
      <c r="K13" s="993"/>
      <c r="L13" s="993"/>
      <c r="M13" s="993"/>
      <c r="N13" s="993"/>
      <c r="O13" s="993"/>
      <c r="P13" s="993"/>
      <c r="Q13" s="996"/>
      <c r="R13" s="997"/>
      <c r="S13" s="995"/>
      <c r="T13" s="621"/>
      <c r="U13" s="619"/>
      <c r="V13" s="617"/>
      <c r="W13" s="623"/>
      <c r="X13" s="625"/>
      <c r="Y13" s="623"/>
      <c r="Z13" s="617"/>
      <c r="AA13" s="619"/>
      <c r="AB13" s="621"/>
      <c r="AC13" s="619"/>
      <c r="AD13" s="617"/>
      <c r="AE13" s="623"/>
      <c r="AF13" s="614"/>
      <c r="AG13" s="998"/>
      <c r="AH13" s="998"/>
      <c r="AI13" s="998"/>
      <c r="AJ13" s="998"/>
    </row>
    <row r="14" spans="1:36" ht="40.4" customHeight="1" thickBot="1" x14ac:dyDescent="0.4">
      <c r="A14" s="639">
        <v>1</v>
      </c>
      <c r="B14" s="639" t="s">
        <v>531</v>
      </c>
      <c r="C14" s="639" t="s">
        <v>532</v>
      </c>
      <c r="D14" s="639" t="s">
        <v>84</v>
      </c>
      <c r="E14" s="639" t="s">
        <v>112</v>
      </c>
      <c r="F14" s="1000"/>
      <c r="G14" s="639" t="s">
        <v>683</v>
      </c>
      <c r="H14" s="639" t="s">
        <v>56</v>
      </c>
      <c r="I14" s="639" t="s">
        <v>2041</v>
      </c>
      <c r="J14" s="639" t="s">
        <v>2045</v>
      </c>
      <c r="K14" s="639" t="s">
        <v>684</v>
      </c>
      <c r="L14" s="639" t="s">
        <v>448</v>
      </c>
      <c r="M14" s="639" t="s">
        <v>449</v>
      </c>
      <c r="N14" s="654" t="s">
        <v>520</v>
      </c>
      <c r="O14" s="1006">
        <v>45689</v>
      </c>
      <c r="P14" s="1006">
        <v>46053</v>
      </c>
      <c r="Q14" s="305"/>
      <c r="R14" s="306"/>
      <c r="S14" s="307"/>
      <c r="T14" s="308"/>
      <c r="U14" s="308"/>
      <c r="V14" s="308"/>
      <c r="W14" s="308"/>
      <c r="X14" s="308"/>
      <c r="Y14" s="308"/>
      <c r="Z14" s="308"/>
      <c r="AA14" s="308"/>
      <c r="AB14" s="309"/>
      <c r="AC14" s="309"/>
      <c r="AD14" s="309"/>
      <c r="AE14" s="309"/>
      <c r="AF14" s="309"/>
      <c r="AG14" s="1008"/>
      <c r="AH14" s="1010"/>
      <c r="AI14" s="1004"/>
      <c r="AJ14" s="1004"/>
    </row>
    <row r="15" spans="1:36" ht="59.9" customHeight="1" thickBot="1" x14ac:dyDescent="0.4">
      <c r="A15" s="640"/>
      <c r="B15" s="640"/>
      <c r="C15" s="640"/>
      <c r="D15" s="640"/>
      <c r="E15" s="640"/>
      <c r="F15" s="1003"/>
      <c r="G15" s="640"/>
      <c r="H15" s="640"/>
      <c r="I15" s="640"/>
      <c r="J15" s="640"/>
      <c r="K15" s="640"/>
      <c r="L15" s="640"/>
      <c r="M15" s="640"/>
      <c r="N15" s="655"/>
      <c r="O15" s="1007"/>
      <c r="P15" s="1007"/>
      <c r="Q15" s="305"/>
      <c r="R15" s="310"/>
      <c r="S15" s="307"/>
      <c r="T15" s="311"/>
      <c r="U15" s="311"/>
      <c r="V15" s="311"/>
      <c r="W15" s="311"/>
      <c r="X15" s="311"/>
      <c r="Y15" s="311"/>
      <c r="Z15" s="311"/>
      <c r="AA15" s="311"/>
      <c r="AB15" s="311"/>
      <c r="AC15" s="311"/>
      <c r="AD15" s="311"/>
      <c r="AE15" s="311"/>
      <c r="AF15" s="311"/>
      <c r="AG15" s="1009"/>
      <c r="AH15" s="1011"/>
      <c r="AI15" s="1005"/>
      <c r="AJ15" s="1005"/>
    </row>
    <row r="16" spans="1:36" ht="37.4" customHeight="1" thickBot="1" x14ac:dyDescent="0.4">
      <c r="A16" s="639">
        <v>2</v>
      </c>
      <c r="B16" s="639" t="s">
        <v>531</v>
      </c>
      <c r="C16" s="639" t="s">
        <v>532</v>
      </c>
      <c r="D16" s="639" t="s">
        <v>84</v>
      </c>
      <c r="E16" s="639" t="s">
        <v>112</v>
      </c>
      <c r="F16" s="1000"/>
      <c r="G16" s="639" t="s">
        <v>685</v>
      </c>
      <c r="H16" s="1002" t="s">
        <v>56</v>
      </c>
      <c r="I16" s="1002" t="s">
        <v>2042</v>
      </c>
      <c r="J16" s="1002" t="s">
        <v>2046</v>
      </c>
      <c r="K16" s="1002" t="s">
        <v>2047</v>
      </c>
      <c r="L16" s="1002" t="s">
        <v>448</v>
      </c>
      <c r="M16" s="1002" t="s">
        <v>449</v>
      </c>
      <c r="N16" s="654" t="s">
        <v>520</v>
      </c>
      <c r="O16" s="1006">
        <v>45689</v>
      </c>
      <c r="P16" s="1012">
        <v>46053</v>
      </c>
      <c r="Q16" s="305"/>
      <c r="R16" s="306"/>
      <c r="S16" s="307"/>
      <c r="T16" s="308"/>
      <c r="U16" s="308"/>
      <c r="V16" s="308"/>
      <c r="W16" s="308"/>
      <c r="X16" s="308"/>
      <c r="Y16" s="308"/>
      <c r="Z16" s="308"/>
      <c r="AA16" s="308"/>
      <c r="AB16" s="309"/>
      <c r="AC16" s="309"/>
      <c r="AD16" s="309"/>
      <c r="AE16" s="309"/>
      <c r="AF16" s="309"/>
      <c r="AG16" s="1008"/>
      <c r="AH16" s="1010"/>
      <c r="AI16" s="1004"/>
      <c r="AJ16" s="1004"/>
    </row>
    <row r="17" spans="1:36" ht="100.5" customHeight="1" thickBot="1" x14ac:dyDescent="0.4">
      <c r="A17" s="999"/>
      <c r="B17" s="640"/>
      <c r="C17" s="640"/>
      <c r="D17" s="640"/>
      <c r="E17" s="640"/>
      <c r="F17" s="1001"/>
      <c r="G17" s="640"/>
      <c r="H17" s="1002"/>
      <c r="I17" s="1002"/>
      <c r="J17" s="1002"/>
      <c r="K17" s="1002"/>
      <c r="L17" s="1002"/>
      <c r="M17" s="1002"/>
      <c r="N17" s="655"/>
      <c r="O17" s="1007"/>
      <c r="P17" s="1012"/>
      <c r="Q17" s="305"/>
      <c r="R17" s="310"/>
      <c r="S17" s="307"/>
      <c r="T17" s="311"/>
      <c r="U17" s="311"/>
      <c r="V17" s="311"/>
      <c r="W17" s="311"/>
      <c r="X17" s="311"/>
      <c r="Y17" s="311"/>
      <c r="Z17" s="311"/>
      <c r="AA17" s="311"/>
      <c r="AB17" s="311"/>
      <c r="AC17" s="311"/>
      <c r="AD17" s="311"/>
      <c r="AE17" s="311"/>
      <c r="AF17" s="311"/>
      <c r="AG17" s="1009"/>
      <c r="AH17" s="1011"/>
      <c r="AI17" s="1005"/>
      <c r="AJ17" s="1005"/>
    </row>
    <row r="18" spans="1:36" ht="37.4" customHeight="1" thickBot="1" x14ac:dyDescent="0.4">
      <c r="A18" s="1002">
        <v>3</v>
      </c>
      <c r="B18" s="639" t="s">
        <v>531</v>
      </c>
      <c r="C18" s="639" t="s">
        <v>532</v>
      </c>
      <c r="D18" s="639" t="s">
        <v>539</v>
      </c>
      <c r="E18" s="639" t="s">
        <v>565</v>
      </c>
      <c r="F18" s="312"/>
      <c r="G18" s="639" t="s">
        <v>2043</v>
      </c>
      <c r="H18" s="639" t="s">
        <v>56</v>
      </c>
      <c r="I18" s="639" t="s">
        <v>2044</v>
      </c>
      <c r="J18" s="639" t="s">
        <v>2048</v>
      </c>
      <c r="K18" s="639" t="s">
        <v>2049</v>
      </c>
      <c r="L18" s="639" t="s">
        <v>448</v>
      </c>
      <c r="M18" s="639" t="s">
        <v>449</v>
      </c>
      <c r="N18" s="654" t="s">
        <v>520</v>
      </c>
      <c r="O18" s="1006">
        <v>45689</v>
      </c>
      <c r="P18" s="1006">
        <v>46053</v>
      </c>
      <c r="Q18" s="305"/>
      <c r="R18" s="306"/>
      <c r="S18" s="307"/>
      <c r="T18" s="308"/>
      <c r="U18" s="308"/>
      <c r="V18" s="308"/>
      <c r="W18" s="308"/>
      <c r="X18" s="308"/>
      <c r="Y18" s="308"/>
      <c r="Z18" s="308"/>
      <c r="AA18" s="308"/>
      <c r="AB18" s="309"/>
      <c r="AC18" s="309"/>
      <c r="AD18" s="309"/>
      <c r="AE18" s="309"/>
      <c r="AF18" s="309"/>
      <c r="AG18" s="1016"/>
      <c r="AH18" s="1018"/>
      <c r="AI18" s="1018"/>
      <c r="AJ18" s="1013"/>
    </row>
    <row r="19" spans="1:36" ht="76.5" customHeight="1" thickBot="1" x14ac:dyDescent="0.4">
      <c r="A19" s="1002"/>
      <c r="B19" s="640"/>
      <c r="C19" s="640"/>
      <c r="D19" s="640"/>
      <c r="E19" s="640"/>
      <c r="F19" s="304"/>
      <c r="G19" s="999"/>
      <c r="H19" s="999"/>
      <c r="I19" s="999"/>
      <c r="J19" s="999"/>
      <c r="K19" s="999"/>
      <c r="L19" s="999"/>
      <c r="M19" s="999"/>
      <c r="N19" s="655"/>
      <c r="O19" s="1007"/>
      <c r="P19" s="1015"/>
      <c r="Q19" s="305"/>
      <c r="R19" s="310"/>
      <c r="S19" s="307"/>
      <c r="T19" s="311"/>
      <c r="U19" s="311"/>
      <c r="V19" s="311"/>
      <c r="W19" s="311"/>
      <c r="X19" s="311"/>
      <c r="Y19" s="311"/>
      <c r="Z19" s="311"/>
      <c r="AA19" s="311"/>
      <c r="AB19" s="311"/>
      <c r="AC19" s="311"/>
      <c r="AD19" s="311"/>
      <c r="AE19" s="311"/>
      <c r="AF19" s="311"/>
      <c r="AG19" s="1017"/>
      <c r="AH19" s="1018"/>
      <c r="AI19" s="1018"/>
      <c r="AJ19" s="1013"/>
    </row>
    <row r="20" spans="1:36" ht="37.4" customHeight="1" thickBot="1" x14ac:dyDescent="0.4">
      <c r="A20" s="1002">
        <v>4</v>
      </c>
      <c r="B20" s="639" t="s">
        <v>531</v>
      </c>
      <c r="C20" s="639" t="s">
        <v>527</v>
      </c>
      <c r="D20" s="639" t="s">
        <v>84</v>
      </c>
      <c r="E20" s="639" t="s">
        <v>112</v>
      </c>
      <c r="F20" s="1014"/>
      <c r="G20" s="1002" t="s">
        <v>2050</v>
      </c>
      <c r="H20" s="1002" t="s">
        <v>56</v>
      </c>
      <c r="I20" s="1002" t="s">
        <v>2051</v>
      </c>
      <c r="J20" s="1023" t="s">
        <v>2052</v>
      </c>
      <c r="K20" s="1024" t="s">
        <v>2053</v>
      </c>
      <c r="L20" s="1002" t="s">
        <v>448</v>
      </c>
      <c r="M20" s="1002" t="s">
        <v>449</v>
      </c>
      <c r="N20" s="654" t="s">
        <v>520</v>
      </c>
      <c r="O20" s="1006">
        <v>45689</v>
      </c>
      <c r="P20" s="1012">
        <v>46053</v>
      </c>
      <c r="Q20" s="305"/>
      <c r="R20" s="306"/>
      <c r="S20" s="307"/>
      <c r="T20" s="313"/>
      <c r="U20" s="313"/>
      <c r="V20" s="313"/>
      <c r="W20" s="308"/>
      <c r="X20" s="308"/>
      <c r="Y20" s="308"/>
      <c r="Z20" s="308"/>
      <c r="AA20" s="308"/>
      <c r="AB20" s="309"/>
      <c r="AC20" s="309"/>
      <c r="AD20" s="309"/>
      <c r="AE20" s="309"/>
      <c r="AF20" s="309"/>
      <c r="AG20" s="1019"/>
      <c r="AH20" s="1021"/>
      <c r="AI20" s="1021"/>
      <c r="AJ20" s="1004"/>
    </row>
    <row r="21" spans="1:36" ht="150.65" customHeight="1" thickBot="1" x14ac:dyDescent="0.4">
      <c r="A21" s="1002"/>
      <c r="B21" s="640"/>
      <c r="C21" s="640"/>
      <c r="D21" s="640"/>
      <c r="E21" s="640"/>
      <c r="F21" s="1014"/>
      <c r="G21" s="1002"/>
      <c r="H21" s="1002"/>
      <c r="I21" s="1002"/>
      <c r="J21" s="1023"/>
      <c r="K21" s="1024"/>
      <c r="L21" s="1002"/>
      <c r="M21" s="1002"/>
      <c r="N21" s="655"/>
      <c r="O21" s="1007"/>
      <c r="P21" s="1012"/>
      <c r="Q21" s="305"/>
      <c r="R21" s="310"/>
      <c r="S21" s="307"/>
      <c r="T21" s="311"/>
      <c r="U21" s="311"/>
      <c r="V21" s="311"/>
      <c r="W21" s="311"/>
      <c r="X21" s="311"/>
      <c r="Y21" s="311"/>
      <c r="Z21" s="311"/>
      <c r="AA21" s="311"/>
      <c r="AB21" s="311"/>
      <c r="AC21" s="311"/>
      <c r="AD21" s="311"/>
      <c r="AE21" s="311"/>
      <c r="AF21" s="311"/>
      <c r="AG21" s="1020"/>
      <c r="AH21" s="1022"/>
      <c r="AI21" s="1022"/>
      <c r="AJ21" s="1005"/>
    </row>
    <row r="22" spans="1:36" ht="37.4" customHeight="1" thickBot="1" x14ac:dyDescent="0.4">
      <c r="A22" s="639">
        <v>5</v>
      </c>
      <c r="B22" s="639" t="s">
        <v>531</v>
      </c>
      <c r="C22" s="639" t="s">
        <v>527</v>
      </c>
      <c r="D22" s="639" t="s">
        <v>84</v>
      </c>
      <c r="E22" s="639" t="s">
        <v>112</v>
      </c>
      <c r="F22" s="1014"/>
      <c r="G22" s="1030" t="s">
        <v>686</v>
      </c>
      <c r="H22" s="1030" t="s">
        <v>56</v>
      </c>
      <c r="I22" s="1030" t="s">
        <v>687</v>
      </c>
      <c r="J22" s="1030" t="s">
        <v>2054</v>
      </c>
      <c r="K22" s="1030" t="s">
        <v>2055</v>
      </c>
      <c r="L22" s="1025" t="s">
        <v>448</v>
      </c>
      <c r="M22" s="1025" t="s">
        <v>449</v>
      </c>
      <c r="N22" s="654" t="s">
        <v>520</v>
      </c>
      <c r="O22" s="1027">
        <v>45689</v>
      </c>
      <c r="P22" s="1027">
        <v>46053</v>
      </c>
      <c r="Q22" s="305"/>
      <c r="R22" s="306"/>
      <c r="S22" s="307"/>
      <c r="T22" s="314"/>
      <c r="U22" s="314"/>
      <c r="V22" s="314"/>
      <c r="W22" s="308"/>
      <c r="X22" s="314"/>
      <c r="Y22" s="314"/>
      <c r="Z22" s="308"/>
      <c r="AA22" s="314"/>
      <c r="AB22" s="314"/>
      <c r="AC22" s="314"/>
      <c r="AD22" s="314"/>
      <c r="AE22" s="314"/>
      <c r="AF22" s="314"/>
      <c r="AG22" s="1029"/>
      <c r="AH22" s="1010"/>
      <c r="AI22" s="1004"/>
      <c r="AJ22" s="1004"/>
    </row>
    <row r="23" spans="1:36" ht="84.65" customHeight="1" thickBot="1" x14ac:dyDescent="0.4">
      <c r="A23" s="640"/>
      <c r="B23" s="640"/>
      <c r="C23" s="640"/>
      <c r="D23" s="640"/>
      <c r="E23" s="640"/>
      <c r="F23" s="1014"/>
      <c r="G23" s="1031"/>
      <c r="H23" s="1031"/>
      <c r="I23" s="1031"/>
      <c r="J23" s="1031"/>
      <c r="K23" s="1031"/>
      <c r="L23" s="1026"/>
      <c r="M23" s="1026"/>
      <c r="N23" s="655"/>
      <c r="O23" s="1028"/>
      <c r="P23" s="1028"/>
      <c r="Q23" s="305"/>
      <c r="R23" s="310"/>
      <c r="S23" s="307"/>
      <c r="T23" s="311"/>
      <c r="U23" s="311"/>
      <c r="V23" s="311"/>
      <c r="W23" s="311"/>
      <c r="X23" s="311"/>
      <c r="Y23" s="311"/>
      <c r="Z23" s="311"/>
      <c r="AA23" s="311"/>
      <c r="AB23" s="311"/>
      <c r="AC23" s="311"/>
      <c r="AD23" s="311"/>
      <c r="AE23" s="311"/>
      <c r="AF23" s="311"/>
      <c r="AG23" s="1009"/>
      <c r="AH23" s="1011"/>
      <c r="AI23" s="1005"/>
      <c r="AJ23" s="1005"/>
    </row>
    <row r="24" spans="1:36" ht="37.4" customHeight="1" thickBot="1" x14ac:dyDescent="0.4">
      <c r="A24" s="1002">
        <v>6</v>
      </c>
      <c r="B24" s="639" t="s">
        <v>531</v>
      </c>
      <c r="C24" s="639" t="s">
        <v>532</v>
      </c>
      <c r="D24" s="639" t="s">
        <v>84</v>
      </c>
      <c r="E24" s="639" t="s">
        <v>112</v>
      </c>
      <c r="F24" s="1014"/>
      <c r="G24" s="1030" t="s">
        <v>2056</v>
      </c>
      <c r="H24" s="1030" t="s">
        <v>56</v>
      </c>
      <c r="I24" s="1030" t="s">
        <v>2057</v>
      </c>
      <c r="J24" s="1030" t="s">
        <v>2058</v>
      </c>
      <c r="K24" s="1030" t="s">
        <v>2059</v>
      </c>
      <c r="L24" s="1030" t="s">
        <v>448</v>
      </c>
      <c r="M24" s="1030" t="s">
        <v>449</v>
      </c>
      <c r="N24" s="654" t="s">
        <v>520</v>
      </c>
      <c r="O24" s="1027">
        <v>45689</v>
      </c>
      <c r="P24" s="1027">
        <v>46053</v>
      </c>
      <c r="Q24" s="305"/>
      <c r="R24" s="306"/>
      <c r="S24" s="307"/>
      <c r="T24" s="314"/>
      <c r="U24" s="314"/>
      <c r="V24" s="314"/>
      <c r="W24" s="315"/>
      <c r="X24" s="314"/>
      <c r="Y24" s="314"/>
      <c r="Z24" s="315"/>
      <c r="AA24" s="314"/>
      <c r="AB24" s="314"/>
      <c r="AC24" s="314"/>
      <c r="AD24" s="314"/>
      <c r="AE24" s="314"/>
      <c r="AF24" s="314"/>
      <c r="AG24" s="1017"/>
      <c r="AH24" s="1041"/>
      <c r="AI24" s="1004"/>
      <c r="AJ24" s="1004"/>
    </row>
    <row r="25" spans="1:36" ht="210.65" customHeight="1" x14ac:dyDescent="0.35">
      <c r="A25" s="1002"/>
      <c r="B25" s="640"/>
      <c r="C25" s="640"/>
      <c r="D25" s="640"/>
      <c r="E25" s="640"/>
      <c r="F25" s="1014"/>
      <c r="G25" s="1031"/>
      <c r="H25" s="1031"/>
      <c r="I25" s="1031"/>
      <c r="J25" s="1031"/>
      <c r="K25" s="1031"/>
      <c r="L25" s="1031"/>
      <c r="M25" s="1031"/>
      <c r="N25" s="655"/>
      <c r="O25" s="1028"/>
      <c r="P25" s="1028"/>
      <c r="Q25" s="305"/>
      <c r="R25" s="310"/>
      <c r="S25" s="307"/>
      <c r="T25" s="311"/>
      <c r="U25" s="311"/>
      <c r="V25" s="311"/>
      <c r="W25" s="311"/>
      <c r="X25" s="311"/>
      <c r="Y25" s="311"/>
      <c r="Z25" s="311"/>
      <c r="AA25" s="311"/>
      <c r="AB25" s="311"/>
      <c r="AC25" s="311"/>
      <c r="AD25" s="311"/>
      <c r="AE25" s="311"/>
      <c r="AF25" s="311"/>
      <c r="AG25" s="1040"/>
      <c r="AH25" s="1041"/>
      <c r="AI25" s="1004"/>
      <c r="AJ25" s="1004"/>
    </row>
    <row r="26" spans="1:36" ht="14.15" hidden="1" customHeight="1" x14ac:dyDescent="0.35">
      <c r="A26" s="639">
        <v>7</v>
      </c>
      <c r="B26" s="1032" t="s">
        <v>156</v>
      </c>
      <c r="C26" s="1032" t="s">
        <v>106</v>
      </c>
      <c r="D26" s="1032" t="s">
        <v>254</v>
      </c>
      <c r="E26" s="1032" t="s">
        <v>112</v>
      </c>
      <c r="H26" s="316"/>
      <c r="I26" s="317" t="s">
        <v>139</v>
      </c>
      <c r="J26" s="318"/>
      <c r="K26" s="319"/>
      <c r="L26" s="319"/>
      <c r="M26" s="319"/>
      <c r="N26" s="319"/>
      <c r="O26" s="319"/>
      <c r="P26" s="319"/>
      <c r="Q26" s="319"/>
      <c r="R26" s="320"/>
      <c r="S26" s="319"/>
      <c r="T26" s="319"/>
      <c r="U26" s="321"/>
      <c r="V26" s="322"/>
      <c r="W26" s="322"/>
      <c r="X26" s="322"/>
      <c r="Y26" s="322"/>
      <c r="Z26" s="322"/>
      <c r="AA26" s="322"/>
      <c r="AB26" s="322"/>
      <c r="AC26" s="322" t="e">
        <f>+#REF!+#REF!</f>
        <v>#REF!</v>
      </c>
      <c r="AD26" s="323"/>
      <c r="AE26" s="324"/>
      <c r="AF26" s="325"/>
    </row>
    <row r="27" spans="1:36" ht="14.15" hidden="1" customHeight="1" x14ac:dyDescent="0.35">
      <c r="A27" s="640"/>
      <c r="B27" s="1033"/>
      <c r="C27" s="1033"/>
      <c r="D27" s="1033"/>
      <c r="E27" s="1033"/>
      <c r="H27" s="24"/>
      <c r="I27" s="1034" t="s">
        <v>140</v>
      </c>
      <c r="J27" s="1034"/>
      <c r="K27" s="326"/>
      <c r="L27" s="326"/>
      <c r="M27" s="326"/>
      <c r="N27" s="326"/>
      <c r="O27" s="326"/>
      <c r="P27" s="326" t="e">
        <f>+#REF!/#REF!</f>
        <v>#REF!</v>
      </c>
      <c r="Q27" s="327" t="e">
        <f>+(#REF!+#REF!+#REF!+#REF!+#REF!+#REF!+#REF!+#REF!)/(#REF!+#REF!+#REF!+#REF!+#REF!+#REF!+#REF!+#REF!)</f>
        <v>#REF!</v>
      </c>
      <c r="R27" s="328" t="e">
        <f>+(#REF!+#REF!+#REF!+#REF!+#REF!+#REF!+#REF!+#REF!+#REF!)/(#REF!+#REF!+#REF!+#REF!+#REF!+#REF!+#REF!+#REF!+#REF!)</f>
        <v>#REF!</v>
      </c>
      <c r="S27" s="326" t="e">
        <f>+(#REF!+#REF!+#REF!+#REF!+#REF!+#REF!+#REF!+#REF!+#REF!+#REF!)/(#REF!+#REF!+#REF!+#REF!+#REF!+#REF!+#REF!+#REF!+#REF!+#REF!)</f>
        <v>#REF!</v>
      </c>
      <c r="T27" s="326" t="e">
        <f>+(#REF!+#REF!+#REF!+#REF!+#REF!+#REF!+#REF!+#REF!+#REF!+#REF!+#REF!)/(#REF!+#REF!+#REF!+#REF!+#REF!+#REF!+#REF!+#REF!+#REF!+#REF!+#REF!)</f>
        <v>#REF!</v>
      </c>
      <c r="U27" s="327" t="e">
        <f>+(#REF!+#REF!+#REF!+#REF!+#REF!+#REF!+#REF!+#REF!+#REF!+#REF!+#REF!+#REF!)/(#REF!+#REF!+#REF!+#REF!+#REF!+#REF!+#REF!+#REF!+#REF!+#REF!+#REF!+#REF!)</f>
        <v>#REF!</v>
      </c>
      <c r="V27" s="326" t="e">
        <f>+(#REF!+#REF!+#REF!+#REF!+#REF!+#REF!+#REF!+#REF!+#REF!+#REF!+#REF!+#REF!+#REF!)/(#REF!+#REF!+#REF!+#REF!+#REF!+#REF!+#REF!+#REF!+#REF!+#REF!+#REF!+#REF!+#REF!)</f>
        <v>#REF!</v>
      </c>
      <c r="W27" s="326" t="e">
        <f>+(#REF!+#REF!+#REF!+#REF!+#REF!+#REF!+#REF!+#REF!+#REF!+#REF!+#REF!+#REF!+#REF!+#REF!)/(#REF!+#REF!+#REF!+#REF!+#REF!+#REF!+#REF!+#REF!+#REF!+#REF!+#REF!+#REF!+#REF!+#REF!)</f>
        <v>#REF!</v>
      </c>
      <c r="X27" s="326" t="e">
        <f>+(#REF!+#REF!+#REF!+#REF!+#REF!+#REF!+#REF!+#REF!+#REF!+#REF!+#REF!+#REF!+#REF!+#REF!+#REF!)/(#REF!+#REF!+#REF!+#REF!+#REF!+#REF!+#REF!+#REF!+#REF!+#REF!+#REF!+#REF!+#REF!+#REF!+#REF!)</f>
        <v>#REF!</v>
      </c>
      <c r="Y27" s="327" t="e">
        <f>+(#REF!+#REF!+#REF!+#REF!+#REF!+#REF!+#REF!+#REF!+#REF!+#REF!+#REF!+#REF!+#REF!+#REF!+#REF!+#REF!)/(#REF!+#REF!+#REF!+#REF!+#REF!+#REF!+#REF!+#REF!+#REF!+#REF!+#REF!+#REF!+#REF!+#REF!+#REF!+#REF!)</f>
        <v>#REF!</v>
      </c>
      <c r="Z27" s="326" t="e">
        <f>+(#REF!+#REF!+#REF!+#REF!+#REF!+#REF!+#REF!+#REF!+#REF!+#REF!+#REF!+#REF!+#REF!+#REF!+#REF!+#REF!+#REF!)/(#REF!+#REF!+#REF!+#REF!+#REF!+#REF!+#REF!+#REF!+#REF!+#REF!+#REF!+#REF!+#REF!+#REF!+#REF!+#REF!+#REF!)</f>
        <v>#REF!</v>
      </c>
      <c r="AA27" s="326" t="e">
        <f>+(#REF!+#REF!+#REF!+#REF!+#REF!+#REF!+#REF!+#REF!+#REF!+#REF!+#REF!+#REF!+#REF!+#REF!+#REF!+#REF!+#REF!+#REF!)/(#REF!+#REF!+#REF!+#REF!+#REF!+#REF!+#REF!+#REF!+#REF!+#REF!+#REF!+#REF!+#REF!+#REF!+#REF!+#REF!+#REF!+#REF!)</f>
        <v>#REF!</v>
      </c>
      <c r="AB27" s="326" t="e">
        <f>+(#REF!+#REF!+#REF!+#REF!+#REF!+#REF!+#REF!+#REF!+#REF!+#REF!+#REF!+#REF!+#REF!+#REF!+#REF!+#REF!+#REF!+#REF!+#REF!)/(#REF!+#REF!+#REF!+#REF!+#REF!+#REF!+#REF!+#REF!+#REF!+#REF!+#REF!+#REF!+#REF!+#REF!+#REF!+#REF!+#REF!+#REF!+#REF!)</f>
        <v>#REF!</v>
      </c>
      <c r="AC27" s="327" t="e">
        <f>+(#REF!+#REF!+#REF!+#REF!+#REF!+#REF!+#REF!+#REF!+#REF!+#REF!+#REF!+#REF!+#REF!+#REF!+#REF!+#REF!+#REF!+#REF!+#REF!+#REF!)/(#REF!+#REF!+#REF!+#REF!+#REF!+#REF!+#REF!+#REF!+#REF!+#REF!+#REF!+#REF!+#REF!+#REF!+#REF!+#REF!+#REF!+#REF!+#REF!+#REF!)</f>
        <v>#REF!</v>
      </c>
      <c r="AD27" s="328" t="e">
        <f>+(#REF!+#REF!+#REF!+#REF!+#REF!+#REF!+#REF!+#REF!+#REF!+#REF!+#REF!+#REF!+#REF!+#REF!+#REF!+#REF!+#REF!+#REF!+#REF!+#REF!+#REF!)/(#REF!+#REF!+#REF!+#REF!+#REF!+#REF!+#REF!+#REF!+#REF!+#REF!+#REF!+#REF!+#REF!+#REF!+#REF!+#REF!+#REF!+#REF!+#REF!+#REF!+#REF!)</f>
        <v>#REF!</v>
      </c>
      <c r="AE27" s="326" t="e">
        <f>+(#REF!+#REF!+#REF!+#REF!+#REF!+#REF!+#REF!+#REF!+#REF!+#REF!+#REF!+#REF!+#REF!+#REF!+#REF!+#REF!+#REF!+#REF!+#REF!+#REF!+#REF!+#REF!)/(#REF!+#REF!+#REF!+#REF!+#REF!+#REF!+#REF!+#REF!+#REF!+#REF!+#REF!+#REF!+#REF!+#REF!+#REF!+#REF!+#REF!+#REF!+#REF!+#REF!+#REF!+#REF!)</f>
        <v>#REF!</v>
      </c>
      <c r="AF27" s="329"/>
    </row>
    <row r="28" spans="1:36" ht="14.15" hidden="1" customHeight="1" x14ac:dyDescent="0.35">
      <c r="I28" s="1039" t="s">
        <v>141</v>
      </c>
      <c r="J28" s="1039"/>
      <c r="L28" s="327"/>
      <c r="M28" s="327"/>
      <c r="N28" s="327"/>
      <c r="O28" s="327"/>
      <c r="P28" s="327" t="e">
        <f>+#REF!/#REF!</f>
        <v>#REF!</v>
      </c>
      <c r="Q28" s="327" t="e">
        <f>+(#REF!+#REF!+#REF!+#REF!+#REF!+#REF!+#REF!+#REF!)/#REF!</f>
        <v>#REF!</v>
      </c>
      <c r="R28" s="330" t="e">
        <f>+(#REF!+#REF!+#REF!+#REF!+#REF!+#REF!+#REF!+#REF!+#REF!)/#REF!</f>
        <v>#REF!</v>
      </c>
      <c r="S28" s="327" t="e">
        <f>+(#REF!+#REF!+#REF!+#REF!+#REF!+#REF!+#REF!+#REF!+#REF!+#REF!)/#REF!</f>
        <v>#REF!</v>
      </c>
      <c r="T28" s="327" t="e">
        <f>+(#REF!+#REF!+#REF!+#REF!+#REF!+#REF!+#REF!+#REF!+#REF!+#REF!+#REF!)/#REF!</f>
        <v>#REF!</v>
      </c>
      <c r="U28" s="327" t="e">
        <f>+(#REF!+#REF!+#REF!+#REF!+#REF!+#REF!+#REF!+#REF!+#REF!+#REF!+#REF!+#REF!)/#REF!</f>
        <v>#REF!</v>
      </c>
      <c r="V28" s="327" t="e">
        <f>+(#REF!+#REF!+#REF!+#REF!+#REF!+#REF!+#REF!+#REF!+#REF!+#REF!+#REF!+#REF!+#REF!)/#REF!</f>
        <v>#REF!</v>
      </c>
      <c r="W28" s="327" t="e">
        <f>+(#REF!+#REF!+#REF!+#REF!+#REF!+#REF!+#REF!+#REF!+#REF!+#REF!+#REF!+#REF!+#REF!+#REF!)/#REF!</f>
        <v>#REF!</v>
      </c>
      <c r="X28" s="327" t="e">
        <f>+(#REF!+#REF!+#REF!+#REF!+#REF!+#REF!+#REF!+#REF!+#REF!+#REF!+#REF!+#REF!+#REF!+#REF!+#REF!)/#REF!</f>
        <v>#REF!</v>
      </c>
      <c r="Y28" s="327" t="e">
        <f>+(#REF!+#REF!+#REF!+#REF!+#REF!+#REF!+#REF!+#REF!+#REF!+#REF!+#REF!+#REF!+#REF!+#REF!+#REF!+#REF!)/#REF!</f>
        <v>#REF!</v>
      </c>
      <c r="Z28" s="327" t="e">
        <f>+(#REF!+#REF!+#REF!+#REF!+#REF!+#REF!+#REF!+#REF!+#REF!+#REF!+#REF!+#REF!+#REF!+#REF!+#REF!+#REF!+#REF!)/#REF!</f>
        <v>#REF!</v>
      </c>
      <c r="AA28" s="327" t="e">
        <f>+(#REF!+#REF!+#REF!+#REF!+#REF!+#REF!+#REF!+#REF!+#REF!+#REF!+#REF!+#REF!+#REF!+#REF!+#REF!+#REF!+#REF!+#REF!)/#REF!</f>
        <v>#REF!</v>
      </c>
      <c r="AB28" s="327" t="e">
        <f>+(#REF!+#REF!+#REF!+#REF!+#REF!+#REF!+#REF!+#REF!+#REF!+#REF!+#REF!+#REF!+#REF!+#REF!+#REF!+#REF!+#REF!+#REF!+#REF!)/#REF!</f>
        <v>#REF!</v>
      </c>
      <c r="AC28" s="327" t="e">
        <f>+(#REF!+#REF!+#REF!+#REF!+#REF!+#REF!+#REF!+#REF!+#REF!+#REF!+#REF!+#REF!+#REF!+#REF!+#REF!+#REF!+#REF!+#REF!+#REF!+#REF!)/#REF!</f>
        <v>#REF!</v>
      </c>
      <c r="AD28" s="330" t="e">
        <f>+(#REF!+#REF!+#REF!+#REF!+#REF!+#REF!+#REF!+#REF!+#REF!+#REF!+#REF!+#REF!+#REF!+#REF!+#REF!+#REF!+#REF!+#REF!+#REF!+#REF!+#REF!)/#REF!</f>
        <v>#REF!</v>
      </c>
      <c r="AE28" s="327" t="e">
        <f>+(#REF!+#REF!+#REF!+#REF!+#REF!+#REF!+#REF!+#REF!+#REF!+#REF!+#REF!+#REF!+#REF!+#REF!+#REF!+#REF!+#REF!+#REF!+#REF!+#REF!+#REF!+#REF!)/#REF!</f>
        <v>#REF!</v>
      </c>
      <c r="AF28" s="331"/>
    </row>
    <row r="29" spans="1:36" ht="14.15" hidden="1" customHeight="1" x14ac:dyDescent="0.35">
      <c r="I29" s="1034" t="s">
        <v>142</v>
      </c>
      <c r="J29" s="1034"/>
      <c r="K29" s="332"/>
      <c r="L29" s="332"/>
      <c r="M29" s="332"/>
      <c r="N29" s="332"/>
      <c r="O29" s="332"/>
      <c r="P29" s="332"/>
      <c r="Q29" s="327" t="e">
        <f>+#REF!/#REF!</f>
        <v>#REF!</v>
      </c>
      <c r="R29" s="333"/>
      <c r="S29" s="332"/>
      <c r="T29" s="332"/>
      <c r="U29" s="327" t="e">
        <f>+#REF!/#REF!</f>
        <v>#REF!</v>
      </c>
      <c r="V29" s="332"/>
      <c r="W29" s="332"/>
      <c r="X29" s="332"/>
      <c r="Y29" s="327" t="e">
        <f>+#REF!/#REF!</f>
        <v>#REF!</v>
      </c>
      <c r="Z29" s="332"/>
      <c r="AA29" s="332"/>
      <c r="AB29" s="332"/>
      <c r="AC29" s="327" t="e">
        <f>+#REF!/#REF!</f>
        <v>#REF!</v>
      </c>
      <c r="AD29" s="333"/>
      <c r="AE29" s="332"/>
      <c r="AF29" s="334"/>
    </row>
    <row r="30" spans="1:36" ht="5.15" hidden="1" customHeight="1" x14ac:dyDescent="0.35">
      <c r="I30" s="1039" t="s">
        <v>143</v>
      </c>
      <c r="J30" s="1039"/>
      <c r="K30" s="332"/>
      <c r="L30" s="332"/>
      <c r="M30" s="332"/>
      <c r="N30" s="332"/>
      <c r="O30" s="332"/>
      <c r="P30" s="332"/>
      <c r="Q30" s="327" t="e">
        <f>+(#REF!+#REF!)/#REF!</f>
        <v>#REF!</v>
      </c>
      <c r="R30" s="333"/>
      <c r="S30" s="332"/>
      <c r="T30" s="332"/>
      <c r="U30" s="327" t="e">
        <f>+(#REF!+#REF!+#REF!)/#REF!</f>
        <v>#REF!</v>
      </c>
      <c r="V30" s="332"/>
      <c r="W30" s="332"/>
      <c r="X30" s="332"/>
      <c r="Y30" s="327" t="e">
        <f>+(#REF!+#REF!+#REF!+#REF!)/#REF!</f>
        <v>#REF!</v>
      </c>
      <c r="Z30" s="332"/>
      <c r="AA30" s="332"/>
      <c r="AB30" s="332"/>
      <c r="AC30" s="327" t="e">
        <f>+(#REF!+#REF!+#REF!+#REF!+#REF!)/#REF!</f>
        <v>#REF!</v>
      </c>
      <c r="AD30" s="333"/>
      <c r="AE30" s="332"/>
      <c r="AF30" s="334"/>
    </row>
    <row r="31" spans="1:36" ht="14.15" hidden="1" customHeight="1" x14ac:dyDescent="0.35">
      <c r="I31" s="1034" t="s">
        <v>144</v>
      </c>
      <c r="J31" s="1034"/>
      <c r="K31" s="332"/>
      <c r="L31" s="332"/>
      <c r="M31" s="332"/>
      <c r="N31" s="332"/>
      <c r="O31" s="332"/>
      <c r="P31" s="332"/>
      <c r="Q31" s="327" t="e">
        <f>+(#REF!+#REF!)/(#REF!+#REF!)</f>
        <v>#REF!</v>
      </c>
      <c r="R31" s="333"/>
      <c r="S31" s="332"/>
      <c r="T31" s="332"/>
      <c r="U31" s="332"/>
      <c r="V31" s="332"/>
      <c r="W31" s="332"/>
      <c r="X31" s="332"/>
      <c r="Y31" s="332"/>
      <c r="Z31" s="332"/>
      <c r="AA31" s="332"/>
      <c r="AB31" s="332"/>
      <c r="AC31" s="327" t="e">
        <f>+(#REF!+#REF!+#REF!+#REF!+#REF!)/(#REF!+#REF!+#REF!+#REF!+#REF!)</f>
        <v>#REF!</v>
      </c>
      <c r="AD31" s="333"/>
      <c r="AE31" s="332"/>
      <c r="AF31" s="334"/>
    </row>
    <row r="32" spans="1:36" ht="14.15" hidden="1" customHeight="1" x14ac:dyDescent="0.35">
      <c r="I32" s="1034" t="s">
        <v>145</v>
      </c>
      <c r="J32" s="1034"/>
      <c r="K32" s="332"/>
      <c r="L32" s="332"/>
      <c r="M32" s="332"/>
      <c r="N32" s="332"/>
      <c r="O32" s="332"/>
      <c r="P32" s="332"/>
      <c r="Q32" s="327" t="e">
        <f>+(#REF!+#REF!)/#REF!</f>
        <v>#REF!</v>
      </c>
      <c r="R32" s="333"/>
      <c r="S32" s="332"/>
      <c r="T32" s="332"/>
      <c r="U32" s="332"/>
      <c r="V32" s="332"/>
      <c r="W32" s="332"/>
      <c r="X32" s="332"/>
      <c r="Y32" s="332"/>
      <c r="Z32" s="332"/>
      <c r="AA32" s="332"/>
      <c r="AB32" s="332"/>
      <c r="AC32" s="327" t="e">
        <f>+(+#REF!+#REF!+#REF!+#REF!+#REF!)/#REF!</f>
        <v>#REF!</v>
      </c>
      <c r="AD32" s="333"/>
      <c r="AE32" s="332"/>
      <c r="AF32" s="334"/>
    </row>
    <row r="33" spans="2:16" ht="14.15" hidden="1" customHeight="1" x14ac:dyDescent="0.35"/>
    <row r="34" spans="2:16" ht="14.15" hidden="1" customHeight="1" x14ac:dyDescent="0.35">
      <c r="H34" s="1037" t="s">
        <v>146</v>
      </c>
      <c r="I34" s="1037"/>
      <c r="J34" s="335" t="e">
        <f>+#REF!</f>
        <v>#REF!</v>
      </c>
      <c r="K34" s="336"/>
      <c r="L34" s="336"/>
      <c r="M34" s="336"/>
      <c r="N34" s="336"/>
      <c r="O34" s="336"/>
      <c r="P34" s="336"/>
    </row>
    <row r="35" spans="2:16" ht="14.15" hidden="1" customHeight="1" x14ac:dyDescent="0.35">
      <c r="H35" s="1037" t="s">
        <v>147</v>
      </c>
      <c r="I35" s="1037"/>
      <c r="J35" s="337" t="e">
        <f>+#REF!</f>
        <v>#REF!</v>
      </c>
      <c r="K35" s="336"/>
      <c r="L35" s="336"/>
      <c r="M35" s="336"/>
      <c r="N35" s="336"/>
      <c r="O35" s="336"/>
      <c r="P35" s="336"/>
    </row>
    <row r="36" spans="2:16" ht="35.15" hidden="1" customHeight="1" x14ac:dyDescent="0.35">
      <c r="H36" s="1037" t="s">
        <v>148</v>
      </c>
      <c r="I36" s="1037"/>
      <c r="J36" s="338" t="e">
        <f>+J34/J35</f>
        <v>#REF!</v>
      </c>
      <c r="K36" s="336"/>
      <c r="L36" s="336"/>
      <c r="M36" s="336"/>
      <c r="N36" s="336"/>
      <c r="O36" s="336"/>
      <c r="P36" s="336"/>
    </row>
    <row r="37" spans="2:16" ht="15" customHeight="1" x14ac:dyDescent="0.35">
      <c r="K37" s="336"/>
      <c r="L37" s="336"/>
      <c r="M37" s="336"/>
      <c r="N37" s="336"/>
      <c r="O37" s="336"/>
      <c r="P37" s="336"/>
    </row>
    <row r="38" spans="2:16" ht="15" customHeight="1" x14ac:dyDescent="0.35">
      <c r="K38" s="336"/>
      <c r="L38" s="336"/>
      <c r="M38" s="336"/>
      <c r="N38" s="336"/>
      <c r="O38" s="336"/>
      <c r="P38" s="336"/>
    </row>
    <row r="39" spans="2:16" ht="15" customHeight="1" x14ac:dyDescent="0.35">
      <c r="K39" s="336"/>
      <c r="L39" s="336"/>
      <c r="M39" s="336"/>
      <c r="N39" s="336"/>
      <c r="O39" s="336"/>
      <c r="P39" s="336"/>
    </row>
    <row r="40" spans="2:16" ht="15" customHeight="1" x14ac:dyDescent="0.35">
      <c r="B40" s="1038" t="s">
        <v>51</v>
      </c>
      <c r="C40" s="1038" t="s">
        <v>52</v>
      </c>
      <c r="D40" s="1038" t="s">
        <v>53</v>
      </c>
      <c r="E40" s="1038" t="s">
        <v>54</v>
      </c>
      <c r="F40" s="1038" t="s">
        <v>30</v>
      </c>
      <c r="G40" s="1035" t="s">
        <v>55</v>
      </c>
      <c r="H40" s="339"/>
      <c r="I40" s="339"/>
      <c r="L40" s="1035" t="s">
        <v>509</v>
      </c>
    </row>
    <row r="41" spans="2:16" ht="15" customHeight="1" x14ac:dyDescent="0.35">
      <c r="B41" s="1036"/>
      <c r="C41" s="1036"/>
      <c r="D41" s="1036"/>
      <c r="E41" s="1036"/>
      <c r="F41" s="1036"/>
      <c r="G41" s="1036"/>
      <c r="H41" s="339"/>
      <c r="I41" s="339"/>
      <c r="L41" s="1036"/>
    </row>
    <row r="42" spans="2:16" ht="15" customHeight="1" x14ac:dyDescent="0.35">
      <c r="B42" s="302" t="s">
        <v>510</v>
      </c>
      <c r="C42" s="302" t="s">
        <v>511</v>
      </c>
      <c r="D42" s="302" t="s">
        <v>118</v>
      </c>
      <c r="E42" s="302" t="s">
        <v>119</v>
      </c>
      <c r="F42" s="302" t="s">
        <v>512</v>
      </c>
      <c r="G42" s="302" t="s">
        <v>513</v>
      </c>
      <c r="L42" s="302" t="s">
        <v>514</v>
      </c>
    </row>
    <row r="43" spans="2:16" ht="15" customHeight="1" x14ac:dyDescent="0.35">
      <c r="B43" s="302" t="s">
        <v>515</v>
      </c>
      <c r="C43" s="302" t="s">
        <v>516</v>
      </c>
      <c r="D43" s="302" t="s">
        <v>254</v>
      </c>
      <c r="E43" s="302" t="s">
        <v>517</v>
      </c>
      <c r="F43" s="302" t="s">
        <v>518</v>
      </c>
      <c r="G43" s="302" t="s">
        <v>519</v>
      </c>
      <c r="L43" s="302" t="s">
        <v>520</v>
      </c>
    </row>
    <row r="44" spans="2:16" ht="15" customHeight="1" x14ac:dyDescent="0.35">
      <c r="B44" s="302" t="s">
        <v>521</v>
      </c>
      <c r="C44" s="302" t="s">
        <v>522</v>
      </c>
      <c r="D44" s="302" t="s">
        <v>84</v>
      </c>
      <c r="E44" s="302" t="s">
        <v>255</v>
      </c>
      <c r="F44" s="302" t="s">
        <v>523</v>
      </c>
      <c r="G44" s="302" t="s">
        <v>524</v>
      </c>
      <c r="L44" s="302" t="s">
        <v>525</v>
      </c>
    </row>
    <row r="45" spans="2:16" ht="15" customHeight="1" x14ac:dyDescent="0.35">
      <c r="B45" s="302" t="s">
        <v>526</v>
      </c>
      <c r="C45" s="302" t="s">
        <v>527</v>
      </c>
      <c r="D45" s="302" t="s">
        <v>157</v>
      </c>
      <c r="E45" s="302" t="s">
        <v>528</v>
      </c>
      <c r="F45" s="302" t="s">
        <v>529</v>
      </c>
      <c r="G45" s="302" t="s">
        <v>530</v>
      </c>
    </row>
    <row r="46" spans="2:16" ht="15" customHeight="1" x14ac:dyDescent="0.35">
      <c r="B46" s="302" t="s">
        <v>531</v>
      </c>
      <c r="C46" s="302" t="s">
        <v>532</v>
      </c>
      <c r="D46" s="302" t="s">
        <v>533</v>
      </c>
      <c r="E46" s="302" t="s">
        <v>534</v>
      </c>
      <c r="F46" s="302" t="s">
        <v>535</v>
      </c>
      <c r="G46" s="302" t="s">
        <v>536</v>
      </c>
    </row>
    <row r="47" spans="2:16" ht="15" customHeight="1" x14ac:dyDescent="0.35">
      <c r="B47" s="302" t="s">
        <v>537</v>
      </c>
      <c r="C47" s="302" t="s">
        <v>538</v>
      </c>
      <c r="D47" s="302" t="s">
        <v>539</v>
      </c>
      <c r="E47" s="302" t="s">
        <v>150</v>
      </c>
      <c r="F47" s="302" t="s">
        <v>244</v>
      </c>
      <c r="G47" s="302" t="s">
        <v>384</v>
      </c>
    </row>
    <row r="48" spans="2:16" ht="15" customHeight="1" x14ac:dyDescent="0.35">
      <c r="B48" s="302" t="s">
        <v>540</v>
      </c>
      <c r="C48" s="302" t="s">
        <v>541</v>
      </c>
      <c r="D48" s="302" t="s">
        <v>542</v>
      </c>
      <c r="E48" s="302" t="s">
        <v>112</v>
      </c>
      <c r="F48" s="302" t="s">
        <v>543</v>
      </c>
      <c r="G48" s="302" t="s">
        <v>544</v>
      </c>
    </row>
    <row r="49" spans="2:7" ht="15" customHeight="1" x14ac:dyDescent="0.35">
      <c r="B49" s="302" t="s">
        <v>545</v>
      </c>
      <c r="C49" s="302" t="s">
        <v>546</v>
      </c>
      <c r="E49" s="302" t="s">
        <v>451</v>
      </c>
      <c r="F49" s="302" t="s">
        <v>547</v>
      </c>
      <c r="G49" s="302" t="s">
        <v>426</v>
      </c>
    </row>
    <row r="50" spans="2:7" ht="15" customHeight="1" x14ac:dyDescent="0.35">
      <c r="C50" s="302" t="s">
        <v>548</v>
      </c>
      <c r="E50" s="302" t="s">
        <v>123</v>
      </c>
      <c r="F50" s="302" t="s">
        <v>549</v>
      </c>
      <c r="G50" s="302" t="s">
        <v>97</v>
      </c>
    </row>
    <row r="51" spans="2:7" ht="15" customHeight="1" x14ac:dyDescent="0.35">
      <c r="C51" s="302" t="s">
        <v>550</v>
      </c>
      <c r="E51" s="302" t="s">
        <v>551</v>
      </c>
      <c r="F51" s="302" t="s">
        <v>552</v>
      </c>
      <c r="G51" s="302" t="s">
        <v>120</v>
      </c>
    </row>
    <row r="52" spans="2:7" ht="15" customHeight="1" x14ac:dyDescent="0.35">
      <c r="E52" s="302" t="s">
        <v>85</v>
      </c>
      <c r="F52" s="302" t="s">
        <v>553</v>
      </c>
      <c r="G52" s="302" t="s">
        <v>108</v>
      </c>
    </row>
    <row r="53" spans="2:7" ht="15" customHeight="1" x14ac:dyDescent="0.35">
      <c r="E53" s="302" t="s">
        <v>554</v>
      </c>
      <c r="F53" s="302" t="s">
        <v>555</v>
      </c>
      <c r="G53" s="302" t="s">
        <v>556</v>
      </c>
    </row>
    <row r="54" spans="2:7" ht="15" customHeight="1" x14ac:dyDescent="0.35">
      <c r="E54" s="302" t="s">
        <v>154</v>
      </c>
      <c r="G54" s="302" t="s">
        <v>557</v>
      </c>
    </row>
    <row r="55" spans="2:7" ht="15" customHeight="1" x14ac:dyDescent="0.35">
      <c r="E55" s="302" t="s">
        <v>558</v>
      </c>
      <c r="G55" s="302" t="s">
        <v>559</v>
      </c>
    </row>
    <row r="56" spans="2:7" ht="15" customHeight="1" x14ac:dyDescent="0.35">
      <c r="E56" s="302" t="s">
        <v>560</v>
      </c>
      <c r="G56" s="302" t="s">
        <v>561</v>
      </c>
    </row>
    <row r="57" spans="2:7" ht="15" customHeight="1" x14ac:dyDescent="0.35">
      <c r="E57" s="302" t="s">
        <v>107</v>
      </c>
      <c r="G57" s="302" t="s">
        <v>562</v>
      </c>
    </row>
    <row r="58" spans="2:7" ht="15" customHeight="1" x14ac:dyDescent="0.35">
      <c r="E58" s="302" t="s">
        <v>563</v>
      </c>
      <c r="G58" s="302" t="s">
        <v>564</v>
      </c>
    </row>
    <row r="59" spans="2:7" ht="15" customHeight="1" x14ac:dyDescent="0.35">
      <c r="E59" s="302" t="s">
        <v>565</v>
      </c>
      <c r="G59" s="302" t="s">
        <v>566</v>
      </c>
    </row>
    <row r="60" spans="2:7" ht="15" customHeight="1" x14ac:dyDescent="0.35">
      <c r="E60" s="302" t="s">
        <v>567</v>
      </c>
      <c r="G60" s="302" t="s">
        <v>568</v>
      </c>
    </row>
    <row r="61" spans="2:7" ht="15" customHeight="1" x14ac:dyDescent="0.35">
      <c r="G61" s="302" t="s">
        <v>569</v>
      </c>
    </row>
    <row r="62" spans="2:7" ht="15" customHeight="1" x14ac:dyDescent="0.35">
      <c r="G62" s="302" t="s">
        <v>570</v>
      </c>
    </row>
    <row r="63" spans="2:7" ht="15" customHeight="1" x14ac:dyDescent="0.35">
      <c r="G63" s="302" t="s">
        <v>571</v>
      </c>
    </row>
    <row r="64" spans="2:7" ht="15" customHeight="1" x14ac:dyDescent="0.35">
      <c r="G64" s="302" t="s">
        <v>572</v>
      </c>
    </row>
    <row r="65" spans="7:7" ht="15" customHeight="1" x14ac:dyDescent="0.35">
      <c r="G65" s="302" t="s">
        <v>573</v>
      </c>
    </row>
    <row r="66" spans="7:7" ht="15" customHeight="1" x14ac:dyDescent="0.35">
      <c r="G66" s="302" t="s">
        <v>574</v>
      </c>
    </row>
    <row r="67" spans="7:7" ht="15" customHeight="1" x14ac:dyDescent="0.35">
      <c r="G67" s="302" t="s">
        <v>575</v>
      </c>
    </row>
    <row r="68" spans="7:7" ht="15" customHeight="1" x14ac:dyDescent="0.35">
      <c r="G68" s="302" t="s">
        <v>576</v>
      </c>
    </row>
    <row r="69" spans="7:7" ht="15" customHeight="1" x14ac:dyDescent="0.35">
      <c r="G69" s="302" t="s">
        <v>577</v>
      </c>
    </row>
    <row r="70" spans="7:7" ht="15" customHeight="1" x14ac:dyDescent="0.35">
      <c r="G70" s="302" t="s">
        <v>578</v>
      </c>
    </row>
    <row r="71" spans="7:7" ht="15" customHeight="1" x14ac:dyDescent="0.35">
      <c r="G71" s="302" t="s">
        <v>579</v>
      </c>
    </row>
    <row r="72" spans="7:7" ht="15" customHeight="1" x14ac:dyDescent="0.35">
      <c r="G72" s="302" t="s">
        <v>580</v>
      </c>
    </row>
    <row r="73" spans="7:7" ht="15" customHeight="1" x14ac:dyDescent="0.35">
      <c r="G73" s="302" t="s">
        <v>581</v>
      </c>
    </row>
    <row r="74" spans="7:7" ht="15" customHeight="1" x14ac:dyDescent="0.35">
      <c r="G74" s="302" t="s">
        <v>582</v>
      </c>
    </row>
    <row r="75" spans="7:7" ht="15" customHeight="1" x14ac:dyDescent="0.35">
      <c r="G75" s="302" t="s">
        <v>124</v>
      </c>
    </row>
    <row r="76" spans="7:7" ht="15" customHeight="1" x14ac:dyDescent="0.35">
      <c r="G76" s="302" t="s">
        <v>583</v>
      </c>
    </row>
    <row r="77" spans="7:7" ht="15" customHeight="1" x14ac:dyDescent="0.35">
      <c r="G77" s="302" t="s">
        <v>584</v>
      </c>
    </row>
    <row r="78" spans="7:7" ht="15" customHeight="1" x14ac:dyDescent="0.35">
      <c r="G78" s="302" t="s">
        <v>585</v>
      </c>
    </row>
    <row r="79" spans="7:7" ht="15" customHeight="1" x14ac:dyDescent="0.35">
      <c r="G79" s="302" t="s">
        <v>586</v>
      </c>
    </row>
    <row r="80" spans="7:7" ht="15" customHeight="1" x14ac:dyDescent="0.35">
      <c r="G80" s="302" t="s">
        <v>87</v>
      </c>
    </row>
    <row r="81" spans="7:7" ht="15" customHeight="1" x14ac:dyDescent="0.35">
      <c r="G81" s="302" t="s">
        <v>587</v>
      </c>
    </row>
    <row r="82" spans="7:7" ht="15" customHeight="1" x14ac:dyDescent="0.35">
      <c r="G82" s="302" t="s">
        <v>588</v>
      </c>
    </row>
    <row r="83" spans="7:7" ht="15" customHeight="1" x14ac:dyDescent="0.35">
      <c r="G83" s="302" t="s">
        <v>261</v>
      </c>
    </row>
    <row r="84" spans="7:7" ht="15" customHeight="1" x14ac:dyDescent="0.35">
      <c r="G84" s="302" t="s">
        <v>589</v>
      </c>
    </row>
    <row r="85" spans="7:7" ht="15" customHeight="1" x14ac:dyDescent="0.35">
      <c r="G85" s="302" t="s">
        <v>590</v>
      </c>
    </row>
    <row r="86" spans="7:7" ht="15" customHeight="1" x14ac:dyDescent="0.35">
      <c r="G86" s="302" t="s">
        <v>591</v>
      </c>
    </row>
    <row r="87" spans="7:7" ht="15" customHeight="1" x14ac:dyDescent="0.35">
      <c r="G87" s="302" t="s">
        <v>592</v>
      </c>
    </row>
    <row r="88" spans="7:7" ht="15" customHeight="1" x14ac:dyDescent="0.35">
      <c r="G88" s="302" t="s">
        <v>593</v>
      </c>
    </row>
    <row r="89" spans="7:7" ht="15" customHeight="1" x14ac:dyDescent="0.35">
      <c r="G89" s="302" t="s">
        <v>594</v>
      </c>
    </row>
    <row r="90" spans="7:7" ht="15" customHeight="1" x14ac:dyDescent="0.35">
      <c r="G90" s="302" t="s">
        <v>595</v>
      </c>
    </row>
    <row r="91" spans="7:7" ht="15" customHeight="1" x14ac:dyDescent="0.35">
      <c r="G91" s="302" t="s">
        <v>596</v>
      </c>
    </row>
    <row r="92" spans="7:7" ht="15" customHeight="1" x14ac:dyDescent="0.35">
      <c r="G92" s="302" t="s">
        <v>597</v>
      </c>
    </row>
    <row r="93" spans="7:7" ht="15" customHeight="1" x14ac:dyDescent="0.35">
      <c r="G93" s="302" t="s">
        <v>259</v>
      </c>
    </row>
    <row r="94" spans="7:7" ht="15" customHeight="1" x14ac:dyDescent="0.35">
      <c r="G94" s="302" t="s">
        <v>39</v>
      </c>
    </row>
    <row r="95" spans="7:7" ht="15" customHeight="1" x14ac:dyDescent="0.35">
      <c r="G95" s="302" t="s">
        <v>153</v>
      </c>
    </row>
    <row r="96" spans="7:7" ht="15" customHeight="1" x14ac:dyDescent="0.35">
      <c r="G96" s="302" t="s">
        <v>598</v>
      </c>
    </row>
    <row r="97" spans="7:7" ht="15" customHeight="1" x14ac:dyDescent="0.35">
      <c r="G97" s="302" t="s">
        <v>599</v>
      </c>
    </row>
    <row r="98" spans="7:7" ht="15" customHeight="1" x14ac:dyDescent="0.35">
      <c r="G98" s="302" t="s">
        <v>600</v>
      </c>
    </row>
    <row r="99" spans="7:7" ht="15" customHeight="1" x14ac:dyDescent="0.35">
      <c r="G99" s="302" t="s">
        <v>601</v>
      </c>
    </row>
    <row r="100" spans="7:7" ht="15" customHeight="1" x14ac:dyDescent="0.35">
      <c r="G100" s="302" t="s">
        <v>602</v>
      </c>
    </row>
    <row r="101" spans="7:7" ht="15" customHeight="1" x14ac:dyDescent="0.35">
      <c r="G101" s="302" t="s">
        <v>603</v>
      </c>
    </row>
  </sheetData>
  <mergeCells count="201">
    <mergeCell ref="L40:L41"/>
    <mergeCell ref="D1:AC3"/>
    <mergeCell ref="AD1:AJ3"/>
    <mergeCell ref="H35:I35"/>
    <mergeCell ref="H36:I36"/>
    <mergeCell ref="B40:B41"/>
    <mergeCell ref="C40:C41"/>
    <mergeCell ref="D40:D41"/>
    <mergeCell ref="E40:E41"/>
    <mergeCell ref="F40:F41"/>
    <mergeCell ref="G40:G41"/>
    <mergeCell ref="I28:J28"/>
    <mergeCell ref="I29:J29"/>
    <mergeCell ref="I30:J30"/>
    <mergeCell ref="I31:J31"/>
    <mergeCell ref="I32:J32"/>
    <mergeCell ref="H34:I34"/>
    <mergeCell ref="AJ24:AJ25"/>
    <mergeCell ref="AG24:AG25"/>
    <mergeCell ref="AH24:AH25"/>
    <mergeCell ref="AI24:AI25"/>
    <mergeCell ref="AH22:AH23"/>
    <mergeCell ref="AI22:AI23"/>
    <mergeCell ref="AJ22:AJ23"/>
    <mergeCell ref="N24:N25"/>
    <mergeCell ref="O24:O25"/>
    <mergeCell ref="P24:P25"/>
    <mergeCell ref="H24:H25"/>
    <mergeCell ref="I24:I25"/>
    <mergeCell ref="J24:J25"/>
    <mergeCell ref="K24:K25"/>
    <mergeCell ref="L24:L25"/>
    <mergeCell ref="M24:M25"/>
    <mergeCell ref="H22:H23"/>
    <mergeCell ref="I22:I23"/>
    <mergeCell ref="J22:J23"/>
    <mergeCell ref="K22:K23"/>
    <mergeCell ref="A26:A27"/>
    <mergeCell ref="B26:B27"/>
    <mergeCell ref="C26:C27"/>
    <mergeCell ref="D26:D27"/>
    <mergeCell ref="E26:E27"/>
    <mergeCell ref="I27:J27"/>
    <mergeCell ref="A24:A25"/>
    <mergeCell ref="B24:B25"/>
    <mergeCell ref="C24:C25"/>
    <mergeCell ref="D24:D25"/>
    <mergeCell ref="E24:E25"/>
    <mergeCell ref="F24:F25"/>
    <mergeCell ref="G24:G25"/>
    <mergeCell ref="P20:P21"/>
    <mergeCell ref="AG20:AG21"/>
    <mergeCell ref="AH20:AH21"/>
    <mergeCell ref="AI20:AI21"/>
    <mergeCell ref="AJ20:AJ21"/>
    <mergeCell ref="A22:A23"/>
    <mergeCell ref="B22:B23"/>
    <mergeCell ref="C22:C23"/>
    <mergeCell ref="D22:D23"/>
    <mergeCell ref="E22:E23"/>
    <mergeCell ref="J20:J21"/>
    <mergeCell ref="K20:K21"/>
    <mergeCell ref="L20:L21"/>
    <mergeCell ref="M20:M21"/>
    <mergeCell ref="N20:N21"/>
    <mergeCell ref="O20:O21"/>
    <mergeCell ref="L22:L23"/>
    <mergeCell ref="M22:M23"/>
    <mergeCell ref="N22:N23"/>
    <mergeCell ref="O22:O23"/>
    <mergeCell ref="P22:P23"/>
    <mergeCell ref="AG22:AG23"/>
    <mergeCell ref="F22:F23"/>
    <mergeCell ref="G22:G23"/>
    <mergeCell ref="AJ18:AJ19"/>
    <mergeCell ref="A20:A21"/>
    <mergeCell ref="B20:B21"/>
    <mergeCell ref="C20:C21"/>
    <mergeCell ref="D20:D21"/>
    <mergeCell ref="E20:E21"/>
    <mergeCell ref="F20:F21"/>
    <mergeCell ref="G20:G21"/>
    <mergeCell ref="H20:H21"/>
    <mergeCell ref="I20:I21"/>
    <mergeCell ref="N18:N19"/>
    <mergeCell ref="O18:O19"/>
    <mergeCell ref="P18:P19"/>
    <mergeCell ref="AG18:AG19"/>
    <mergeCell ref="AH18:AH19"/>
    <mergeCell ref="AI18:AI19"/>
    <mergeCell ref="H18:H19"/>
    <mergeCell ref="I18:I19"/>
    <mergeCell ref="J18:J19"/>
    <mergeCell ref="K18:K19"/>
    <mergeCell ref="L18:L19"/>
    <mergeCell ref="M18:M19"/>
    <mergeCell ref="A18:A19"/>
    <mergeCell ref="B18:B19"/>
    <mergeCell ref="C18:C19"/>
    <mergeCell ref="D18:D19"/>
    <mergeCell ref="E18:E19"/>
    <mergeCell ref="G18:G19"/>
    <mergeCell ref="O16:O17"/>
    <mergeCell ref="P16:P17"/>
    <mergeCell ref="AG16:AG17"/>
    <mergeCell ref="AH16:AH17"/>
    <mergeCell ref="AI16:AI17"/>
    <mergeCell ref="AJ16:AJ17"/>
    <mergeCell ref="I16:I17"/>
    <mergeCell ref="J16:J17"/>
    <mergeCell ref="K16:K17"/>
    <mergeCell ref="L16:L17"/>
    <mergeCell ref="M16:M17"/>
    <mergeCell ref="N16:N17"/>
    <mergeCell ref="AI14:AI15"/>
    <mergeCell ref="AJ14:AJ15"/>
    <mergeCell ref="N14:N15"/>
    <mergeCell ref="O14:O15"/>
    <mergeCell ref="P14:P15"/>
    <mergeCell ref="AG14:AG15"/>
    <mergeCell ref="AH14:AH15"/>
    <mergeCell ref="A16:A17"/>
    <mergeCell ref="B16:B17"/>
    <mergeCell ref="C16:C17"/>
    <mergeCell ref="D16:D17"/>
    <mergeCell ref="E16:E17"/>
    <mergeCell ref="F16:F17"/>
    <mergeCell ref="G16:G17"/>
    <mergeCell ref="H16:H17"/>
    <mergeCell ref="M14:M15"/>
    <mergeCell ref="G14:G15"/>
    <mergeCell ref="H14:H15"/>
    <mergeCell ref="I14:I15"/>
    <mergeCell ref="J14:J15"/>
    <mergeCell ref="K14:K15"/>
    <mergeCell ref="L14:L15"/>
    <mergeCell ref="A14:A15"/>
    <mergeCell ref="B14:B15"/>
    <mergeCell ref="C14:C15"/>
    <mergeCell ref="D14:D15"/>
    <mergeCell ref="E14:E15"/>
    <mergeCell ref="F14:F15"/>
    <mergeCell ref="AE12:AE13"/>
    <mergeCell ref="AF12:AF13"/>
    <mergeCell ref="AG12:AG13"/>
    <mergeCell ref="AH12:AH13"/>
    <mergeCell ref="AI12:AI13"/>
    <mergeCell ref="AJ12:AJ13"/>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O12:O13"/>
    <mergeCell ref="P12:P13"/>
    <mergeCell ref="Q12:Q13"/>
    <mergeCell ref="R12:R13"/>
    <mergeCell ref="G12:G13"/>
    <mergeCell ref="H12:H13"/>
    <mergeCell ref="I12:I13"/>
    <mergeCell ref="J12:J13"/>
    <mergeCell ref="K12:K13"/>
    <mergeCell ref="L12:L13"/>
    <mergeCell ref="A12:A13"/>
    <mergeCell ref="B12:B13"/>
    <mergeCell ref="C12:C13"/>
    <mergeCell ref="D12:D13"/>
    <mergeCell ref="E12:E13"/>
    <mergeCell ref="F12:F13"/>
    <mergeCell ref="AB6:AE10"/>
    <mergeCell ref="AF6:AG10"/>
    <mergeCell ref="AH6:AH10"/>
    <mergeCell ref="AI6:AI10"/>
    <mergeCell ref="A11:F11"/>
    <mergeCell ref="G11:P11"/>
    <mergeCell ref="Q11:AF11"/>
    <mergeCell ref="AG11:AJ11"/>
    <mergeCell ref="K6:L10"/>
    <mergeCell ref="M6:M10"/>
    <mergeCell ref="N6:P10"/>
    <mergeCell ref="Q6:S10"/>
    <mergeCell ref="T6:W10"/>
    <mergeCell ref="X6:AA10"/>
    <mergeCell ref="A1:C3"/>
    <mergeCell ref="A4:A5"/>
    <mergeCell ref="G4:G5"/>
    <mergeCell ref="A6:B10"/>
    <mergeCell ref="C6:D10"/>
    <mergeCell ref="E6:F10"/>
    <mergeCell ref="G6:G10"/>
    <mergeCell ref="H6:I10"/>
    <mergeCell ref="J6:J10"/>
  </mergeCells>
  <conditionalFormatting sqref="I4">
    <cfRule type="cellIs" dxfId="50" priority="13" operator="lessThanOrEqual">
      <formula>$C$4</formula>
    </cfRule>
  </conditionalFormatting>
  <conditionalFormatting sqref="J6 S14:S25">
    <cfRule type="cellIs" dxfId="49" priority="14" operator="greaterThanOrEqual">
      <formula>$C$5</formula>
    </cfRule>
    <cfRule type="cellIs" dxfId="48" priority="15" operator="lessThanOrEqual">
      <formula>$C$4</formula>
    </cfRule>
    <cfRule type="cellIs" dxfId="47" priority="16" operator="between">
      <formula>$C$5</formula>
      <formula>$C$4</formula>
    </cfRule>
  </conditionalFormatting>
  <conditionalFormatting sqref="Q6">
    <cfRule type="cellIs" dxfId="46" priority="10" operator="greaterThanOrEqual">
      <formula>$I$5</formula>
    </cfRule>
    <cfRule type="cellIs" dxfId="45" priority="11" operator="lessThanOrEqual">
      <formula>$I$4</formula>
    </cfRule>
    <cfRule type="cellIs" dxfId="44" priority="12" operator="between">
      <formula>$I$5</formula>
      <formula>$I$4</formula>
    </cfRule>
  </conditionalFormatting>
  <conditionalFormatting sqref="U27:U30 Y27:Y30 Q27:Q32 AC27:AC32 K28:P28 R28:T28 V28:X28 Z28:AB28 AD28:AF28 J36">
    <cfRule type="cellIs" dxfId="43" priority="17" operator="greaterThanOrEqual">
      <formula>$D$9</formula>
    </cfRule>
    <cfRule type="cellIs" dxfId="42" priority="18" operator="lessThanOrEqual">
      <formula>$C$6</formula>
    </cfRule>
    <cfRule type="cellIs" dxfId="41" priority="19" operator="between">
      <formula>$C$6</formula>
      <formula>$D$9</formula>
    </cfRule>
  </conditionalFormatting>
  <conditionalFormatting sqref="X6">
    <cfRule type="cellIs" dxfId="40" priority="7" operator="greaterThanOrEqual">
      <formula>$I$5</formula>
    </cfRule>
    <cfRule type="cellIs" dxfId="39" priority="8" operator="lessThanOrEqual">
      <formula>$I$4</formula>
    </cfRule>
    <cfRule type="cellIs" dxfId="38" priority="9" operator="between">
      <formula>$I$5</formula>
      <formula>$I$4</formula>
    </cfRule>
  </conditionalFormatting>
  <conditionalFormatting sqref="AF6">
    <cfRule type="cellIs" dxfId="37" priority="4" operator="greaterThanOrEqual">
      <formula>$I$5</formula>
    </cfRule>
    <cfRule type="cellIs" dxfId="36" priority="5" operator="lessThanOrEqual">
      <formula>$I$4</formula>
    </cfRule>
    <cfRule type="cellIs" dxfId="35" priority="6" operator="between">
      <formula>$I$5</formula>
      <formula>$I$4</formula>
    </cfRule>
  </conditionalFormatting>
  <conditionalFormatting sqref="AI6">
    <cfRule type="cellIs" dxfId="34" priority="1" operator="greaterThanOrEqual">
      <formula>$I$5</formula>
    </cfRule>
    <cfRule type="cellIs" dxfId="33" priority="2" operator="lessThanOrEqual">
      <formula>$I$4</formula>
    </cfRule>
    <cfRule type="cellIs" dxfId="32" priority="3" operator="between">
      <formula>$I$5</formula>
      <formula>$I$4</formula>
    </cfRule>
  </conditionalFormatting>
  <dataValidations count="9">
    <dataValidation type="list" allowBlank="1" showInputMessage="1" showErrorMessage="1" sqref="N14:N25" xr:uid="{95CCF5F1-7A19-48FC-BDAB-4BC934B966A0}">
      <formula1>$L$42:$L$44</formula1>
    </dataValidation>
    <dataValidation type="list" allowBlank="1" showInputMessage="1" showErrorMessage="1" sqref="E14:E25" xr:uid="{D7B8C7F1-45F2-4DB4-8D3A-16BFCCEC17FF}">
      <formula1>$E$42:$E$60</formula1>
    </dataValidation>
    <dataValidation type="list" allowBlank="1" showInputMessage="1" showErrorMessage="1" sqref="D14:D25" xr:uid="{793ACD38-1783-430A-A6F6-30D7F501CE9A}">
      <formula1>$D$42:$D$48</formula1>
    </dataValidation>
    <dataValidation type="list" allowBlank="1" showInputMessage="1" showErrorMessage="1" sqref="C14:C25" xr:uid="{3115235E-D8CC-40A4-90C6-86C92750F463}">
      <formula1>$C$42:$C$51</formula1>
    </dataValidation>
    <dataValidation type="list" allowBlank="1" showInputMessage="1" showErrorMessage="1" sqref="B14:B25" xr:uid="{C9F60741-D33E-40F5-9E8F-A52C1C9C35A1}">
      <formula1>$B$42:$B$49</formula1>
    </dataValidation>
    <dataValidation type="decimal" allowBlank="1" showInputMessage="1" showErrorMessage="1" prompt="% de avance en la actividad - indique el % programado de avance durante esta semana_x000a_" sqref="T14:AF19 T21:V25 W20:AF25" xr:uid="{A9000514-AA45-47E5-82D7-863A9A552A32}">
      <formula1>0</formula1>
      <formula2>1</formula2>
    </dataValidation>
    <dataValidation type="decimal" allowBlank="1" showInputMessage="1" showErrorMessage="1" prompt="campo calculado  - indica el % de avance  que aporta la activadad a todo el proyecto" sqref="R19 R15 R21 R17 R23 R25" xr:uid="{10FD6C5A-A1E8-4311-AF08-4E084ED7A316}">
      <formula1>0</formula1>
      <formula2>1</formula2>
    </dataValidation>
    <dataValidation type="decimal" allowBlank="1" showInputMessage="1" showErrorMessage="1" prompt="valor porcentual de la activida - Indique el peso porcentual de la actividad dentro del proyecto" sqref="R14 R24 R18 R20 R16 R22" xr:uid="{AF9CAF99-75DC-4ADE-98EB-F477A4823311}">
      <formula1>0</formula1>
      <formula2>1</formula2>
    </dataValidation>
    <dataValidation allowBlank="1" showErrorMessage="1" sqref="S14:S25" xr:uid="{2A88D4F1-7D99-4CC6-8C5E-9BAA19C581FF}"/>
  </dataValidations>
  <pageMargins left="0.7" right="0.7" top="0.75" bottom="0.75" header="0.3" footer="0.3"/>
  <pageSetup scale="12" orientation="portrait" r:id="rId1"/>
  <headerFooter>
    <oddFooter>&amp;C_x000D_&amp;1#&amp;"Calibri"&amp;10&amp;K000000 DOCUMENTO DE USO INTERNO</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6701-085D-444A-91F9-1254BD03F842}">
  <dimension ref="A1:AH102"/>
  <sheetViews>
    <sheetView showGridLines="0" view="pageBreakPreview" zoomScale="50" zoomScaleNormal="10" zoomScaleSheetLayoutView="50" zoomScalePageLayoutView="48" workbookViewId="0">
      <selection activeCell="L14" sqref="L14:L19"/>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7" width="28.54296875" style="1" customWidth="1"/>
    <col min="8" max="8" width="54.81640625" style="1" customWidth="1"/>
    <col min="9" max="10" width="28.54296875" style="1" customWidth="1"/>
    <col min="11" max="12" width="19.54296875" style="1" customWidth="1"/>
    <col min="13" max="13" width="28.54296875" style="1" customWidth="1"/>
    <col min="14"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x14ac:dyDescent="0.35">
      <c r="A1" s="407"/>
      <c r="B1" s="408"/>
      <c r="C1" s="409"/>
      <c r="D1" s="463" t="s">
        <v>817</v>
      </c>
      <c r="E1" s="463"/>
      <c r="F1" s="463"/>
      <c r="G1" s="463"/>
      <c r="H1" s="463"/>
      <c r="I1" s="463"/>
      <c r="J1" s="463"/>
      <c r="K1" s="463"/>
      <c r="L1" s="463"/>
      <c r="M1" s="463"/>
      <c r="N1" s="463"/>
      <c r="O1" s="463"/>
      <c r="P1" s="463"/>
      <c r="Q1" s="463"/>
      <c r="R1" s="463"/>
      <c r="S1" s="463"/>
      <c r="T1" s="463"/>
      <c r="U1" s="463"/>
      <c r="V1" s="463"/>
      <c r="W1" s="463"/>
      <c r="X1" s="463"/>
      <c r="Y1" s="463"/>
      <c r="Z1" s="463"/>
      <c r="AA1" s="463"/>
      <c r="AB1" s="463"/>
      <c r="AC1" s="463"/>
      <c r="AD1" s="463"/>
      <c r="AE1" s="463"/>
      <c r="AF1" s="463"/>
      <c r="AG1" s="463"/>
      <c r="AH1" s="463"/>
    </row>
    <row r="2" spans="1:34" s="56" customFormat="1" ht="20.149999999999999" customHeight="1" x14ac:dyDescent="0.35">
      <c r="A2" s="410"/>
      <c r="B2" s="411"/>
      <c r="C2" s="412"/>
      <c r="D2" s="463"/>
      <c r="E2" s="463"/>
      <c r="F2" s="463"/>
      <c r="G2" s="463"/>
      <c r="H2" s="463"/>
      <c r="I2" s="463"/>
      <c r="J2" s="463"/>
      <c r="K2" s="463"/>
      <c r="L2" s="463"/>
      <c r="M2" s="463"/>
      <c r="N2" s="463"/>
      <c r="O2" s="463"/>
      <c r="P2" s="463"/>
      <c r="Q2" s="463"/>
      <c r="R2" s="463"/>
      <c r="S2" s="463"/>
      <c r="T2" s="463"/>
      <c r="U2" s="463"/>
      <c r="V2" s="463"/>
      <c r="W2" s="463"/>
      <c r="X2" s="463"/>
      <c r="Y2" s="463"/>
      <c r="Z2" s="463"/>
      <c r="AA2" s="463"/>
      <c r="AB2" s="463"/>
      <c r="AC2" s="463"/>
      <c r="AD2" s="463"/>
      <c r="AE2" s="463"/>
      <c r="AF2" s="463"/>
      <c r="AG2" s="463"/>
      <c r="AH2" s="463"/>
    </row>
    <row r="3" spans="1:34" s="56" customFormat="1" ht="60" customHeight="1" thickBot="1" x14ac:dyDescent="0.4">
      <c r="A3" s="413"/>
      <c r="B3" s="414"/>
      <c r="C3" s="415"/>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row>
    <row r="4" spans="1:34" s="56" customFormat="1" ht="60" hidden="1" customHeight="1" thickBot="1" x14ac:dyDescent="0.4">
      <c r="A4" s="405" t="s">
        <v>34</v>
      </c>
      <c r="B4" s="8" t="s">
        <v>35</v>
      </c>
      <c r="C4" s="10">
        <v>0.7</v>
      </c>
      <c r="D4" s="10"/>
      <c r="E4" s="10"/>
      <c r="F4" s="9"/>
      <c r="G4" s="405"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405"/>
      <c r="B5" s="8" t="s">
        <v>37</v>
      </c>
      <c r="C5" s="11">
        <v>0.9</v>
      </c>
      <c r="D5" s="11"/>
      <c r="E5" s="11"/>
      <c r="F5" s="11">
        <v>1</v>
      </c>
      <c r="G5" s="405"/>
      <c r="H5" s="8" t="s">
        <v>37</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548" t="s">
        <v>38</v>
      </c>
      <c r="B6" s="548"/>
      <c r="C6" s="513" t="s">
        <v>384</v>
      </c>
      <c r="D6" s="513"/>
      <c r="E6" s="549" t="s">
        <v>40</v>
      </c>
      <c r="F6" s="549"/>
      <c r="G6" s="515">
        <f>+P15+P17+P19</f>
        <v>1</v>
      </c>
      <c r="H6" s="549" t="s">
        <v>41</v>
      </c>
      <c r="I6" s="549"/>
      <c r="J6" s="601">
        <f>+P14+P16+P18</f>
        <v>1</v>
      </c>
      <c r="K6" s="554" t="s">
        <v>42</v>
      </c>
      <c r="L6" s="555"/>
      <c r="M6" s="443">
        <v>0.95</v>
      </c>
      <c r="N6" s="586" t="s">
        <v>450</v>
      </c>
      <c r="O6" s="599"/>
      <c r="P6" s="428">
        <f>(SUM(AD14,AD16,W18:AD19)/SUM(AD15,W16:AD17,AD19))/M6</f>
        <v>1.0526315789473684</v>
      </c>
      <c r="Q6" s="430"/>
      <c r="R6" s="609"/>
      <c r="S6" s="610"/>
      <c r="T6" s="610"/>
      <c r="U6" s="610"/>
      <c r="V6" s="610"/>
      <c r="W6" s="610"/>
      <c r="X6" s="610"/>
      <c r="Y6" s="610"/>
      <c r="Z6" s="610"/>
      <c r="AA6" s="610"/>
      <c r="AB6" s="610"/>
      <c r="AC6" s="610"/>
      <c r="AD6" s="610"/>
      <c r="AE6" s="610"/>
      <c r="AF6" s="610"/>
      <c r="AG6" s="610"/>
      <c r="AH6" s="610"/>
    </row>
    <row r="7" spans="1:34" ht="15" hidden="1" customHeight="1" x14ac:dyDescent="0.35">
      <c r="A7" s="548"/>
      <c r="B7" s="548"/>
      <c r="C7" s="513"/>
      <c r="D7" s="513"/>
      <c r="E7" s="549"/>
      <c r="F7" s="549"/>
      <c r="G7" s="516"/>
      <c r="H7" s="549"/>
      <c r="I7" s="549"/>
      <c r="J7" s="602"/>
      <c r="K7" s="556"/>
      <c r="L7" s="557"/>
      <c r="M7" s="444"/>
      <c r="N7" s="586"/>
      <c r="O7" s="599"/>
      <c r="P7" s="431"/>
      <c r="Q7" s="433"/>
      <c r="R7" s="609"/>
      <c r="S7" s="610"/>
      <c r="T7" s="610"/>
      <c r="U7" s="610"/>
      <c r="V7" s="610"/>
      <c r="W7" s="610"/>
      <c r="X7" s="610"/>
      <c r="Y7" s="610"/>
      <c r="Z7" s="610"/>
      <c r="AA7" s="610"/>
      <c r="AB7" s="610"/>
      <c r="AC7" s="610"/>
      <c r="AD7" s="610"/>
      <c r="AE7" s="610"/>
      <c r="AF7" s="610"/>
      <c r="AG7" s="610"/>
      <c r="AH7" s="610"/>
    </row>
    <row r="8" spans="1:34" ht="25.4" hidden="1" customHeight="1" x14ac:dyDescent="0.35">
      <c r="A8" s="548"/>
      <c r="B8" s="548"/>
      <c r="C8" s="513"/>
      <c r="D8" s="513"/>
      <c r="E8" s="549"/>
      <c r="F8" s="549"/>
      <c r="G8" s="516"/>
      <c r="H8" s="549"/>
      <c r="I8" s="549"/>
      <c r="J8" s="602"/>
      <c r="K8" s="556"/>
      <c r="L8" s="557"/>
      <c r="M8" s="444"/>
      <c r="N8" s="586"/>
      <c r="O8" s="599"/>
      <c r="P8" s="431"/>
      <c r="Q8" s="433"/>
      <c r="R8" s="609"/>
      <c r="S8" s="610"/>
      <c r="T8" s="610"/>
      <c r="U8" s="610"/>
      <c r="V8" s="610"/>
      <c r="W8" s="610"/>
      <c r="X8" s="610"/>
      <c r="Y8" s="610"/>
      <c r="Z8" s="610"/>
      <c r="AA8" s="610"/>
      <c r="AB8" s="610"/>
      <c r="AC8" s="610"/>
      <c r="AD8" s="610"/>
      <c r="AE8" s="610"/>
      <c r="AF8" s="610"/>
      <c r="AG8" s="610"/>
      <c r="AH8" s="610"/>
    </row>
    <row r="9" spans="1:34" ht="25.4" hidden="1" customHeight="1" thickBot="1" x14ac:dyDescent="0.4">
      <c r="A9" s="548"/>
      <c r="B9" s="548"/>
      <c r="C9" s="513"/>
      <c r="D9" s="513"/>
      <c r="E9" s="549"/>
      <c r="F9" s="549"/>
      <c r="G9" s="516"/>
      <c r="H9" s="549"/>
      <c r="I9" s="549"/>
      <c r="J9" s="602"/>
      <c r="K9" s="556"/>
      <c r="L9" s="557"/>
      <c r="M9" s="444"/>
      <c r="N9" s="586"/>
      <c r="O9" s="599"/>
      <c r="P9" s="431"/>
      <c r="Q9" s="433"/>
      <c r="R9" s="609"/>
      <c r="S9" s="610"/>
      <c r="T9" s="610"/>
      <c r="U9" s="610"/>
      <c r="V9" s="610"/>
      <c r="W9" s="610"/>
      <c r="X9" s="610"/>
      <c r="Y9" s="610"/>
      <c r="Z9" s="610"/>
      <c r="AA9" s="610"/>
      <c r="AB9" s="610"/>
      <c r="AC9" s="610"/>
      <c r="AD9" s="610"/>
      <c r="AE9" s="610"/>
      <c r="AF9" s="610"/>
      <c r="AG9" s="610"/>
      <c r="AH9" s="610"/>
    </row>
    <row r="10" spans="1:34" ht="15" hidden="1" customHeight="1" thickBot="1" x14ac:dyDescent="0.4">
      <c r="A10" s="548"/>
      <c r="B10" s="548"/>
      <c r="C10" s="513"/>
      <c r="D10" s="513"/>
      <c r="E10" s="549"/>
      <c r="F10" s="549"/>
      <c r="G10" s="550"/>
      <c r="H10" s="549"/>
      <c r="I10" s="549"/>
      <c r="J10" s="603"/>
      <c r="K10" s="558"/>
      <c r="L10" s="559"/>
      <c r="M10" s="445"/>
      <c r="N10" s="586"/>
      <c r="O10" s="599"/>
      <c r="P10" s="434"/>
      <c r="Q10" s="436"/>
      <c r="R10" s="609"/>
      <c r="S10" s="610"/>
      <c r="T10" s="610"/>
      <c r="U10" s="610"/>
      <c r="V10" s="610"/>
      <c r="W10" s="610"/>
      <c r="X10" s="610"/>
      <c r="Y10" s="610"/>
      <c r="Z10" s="610"/>
      <c r="AA10" s="610"/>
      <c r="AB10" s="610"/>
      <c r="AC10" s="610"/>
      <c r="AD10" s="610"/>
      <c r="AE10" s="610"/>
      <c r="AF10" s="610"/>
      <c r="AG10" s="610"/>
      <c r="AH10" s="610"/>
    </row>
    <row r="11" spans="1:34" s="12" customFormat="1" ht="40.4" customHeight="1" thickBot="1" x14ac:dyDescent="0.4">
      <c r="A11" s="390" t="s">
        <v>47</v>
      </c>
      <c r="B11" s="390"/>
      <c r="C11" s="390"/>
      <c r="D11" s="390"/>
      <c r="E11" s="390"/>
      <c r="F11" s="391"/>
      <c r="G11" s="392" t="s">
        <v>820</v>
      </c>
      <c r="H11" s="393"/>
      <c r="I11" s="393"/>
      <c r="J11" s="393"/>
      <c r="K11" s="393"/>
      <c r="L11" s="393"/>
      <c r="M11" s="393"/>
      <c r="N11" s="393"/>
      <c r="O11" s="604" t="s">
        <v>48</v>
      </c>
      <c r="P11" s="605"/>
      <c r="Q11" s="605"/>
      <c r="R11" s="605"/>
      <c r="S11" s="605"/>
      <c r="T11" s="605"/>
      <c r="U11" s="605"/>
      <c r="V11" s="605"/>
      <c r="W11" s="605"/>
      <c r="X11" s="605"/>
      <c r="Y11" s="605"/>
      <c r="Z11" s="605"/>
      <c r="AA11" s="605"/>
      <c r="AB11" s="605"/>
      <c r="AC11" s="605"/>
      <c r="AD11" s="606"/>
      <c r="AE11" s="604" t="s">
        <v>49</v>
      </c>
      <c r="AF11" s="605"/>
      <c r="AG11" s="605"/>
      <c r="AH11" s="605"/>
    </row>
    <row r="12" spans="1:34" ht="39" customHeight="1" x14ac:dyDescent="0.35">
      <c r="A12" s="395" t="s">
        <v>50</v>
      </c>
      <c r="B12" s="397" t="s">
        <v>51</v>
      </c>
      <c r="C12" s="397" t="s">
        <v>52</v>
      </c>
      <c r="D12" s="397" t="s">
        <v>53</v>
      </c>
      <c r="E12" s="397" t="s">
        <v>54</v>
      </c>
      <c r="F12" s="397" t="s">
        <v>30</v>
      </c>
      <c r="G12" s="397" t="s">
        <v>55</v>
      </c>
      <c r="H12" s="397" t="s">
        <v>160</v>
      </c>
      <c r="I12" s="397" t="s">
        <v>58</v>
      </c>
      <c r="J12" s="397" t="s">
        <v>59</v>
      </c>
      <c r="K12" s="397" t="s">
        <v>60</v>
      </c>
      <c r="L12" s="397" t="s">
        <v>61</v>
      </c>
      <c r="M12" s="397" t="s">
        <v>62</v>
      </c>
      <c r="N12" s="397" t="s">
        <v>63</v>
      </c>
      <c r="O12" s="633" t="s">
        <v>64</v>
      </c>
      <c r="P12" s="634" t="s">
        <v>65</v>
      </c>
      <c r="Q12" s="635" t="s">
        <v>66</v>
      </c>
      <c r="R12" s="620" t="s">
        <v>67</v>
      </c>
      <c r="S12" s="618" t="s">
        <v>68</v>
      </c>
      <c r="T12" s="616" t="s">
        <v>69</v>
      </c>
      <c r="U12" s="622" t="s">
        <v>70</v>
      </c>
      <c r="V12" s="624" t="s">
        <v>71</v>
      </c>
      <c r="W12" s="622" t="s">
        <v>72</v>
      </c>
      <c r="X12" s="616" t="s">
        <v>72</v>
      </c>
      <c r="Y12" s="618" t="s">
        <v>74</v>
      </c>
      <c r="Z12" s="620" t="s">
        <v>75</v>
      </c>
      <c r="AA12" s="618" t="s">
        <v>76</v>
      </c>
      <c r="AB12" s="616" t="s">
        <v>77</v>
      </c>
      <c r="AC12" s="622" t="s">
        <v>78</v>
      </c>
      <c r="AD12" s="613" t="s">
        <v>79</v>
      </c>
      <c r="AE12" s="615" t="s">
        <v>80</v>
      </c>
      <c r="AF12" s="615" t="s">
        <v>81</v>
      </c>
      <c r="AG12" s="615" t="s">
        <v>82</v>
      </c>
      <c r="AH12" s="615" t="s">
        <v>83</v>
      </c>
    </row>
    <row r="13" spans="1:34" ht="60" customHeight="1" thickBot="1" x14ac:dyDescent="0.4">
      <c r="A13" s="396"/>
      <c r="B13" s="396"/>
      <c r="C13" s="396"/>
      <c r="D13" s="396"/>
      <c r="E13" s="396"/>
      <c r="F13" s="396"/>
      <c r="G13" s="396"/>
      <c r="H13" s="396"/>
      <c r="I13" s="396"/>
      <c r="J13" s="396"/>
      <c r="K13" s="396"/>
      <c r="L13" s="396"/>
      <c r="M13" s="396"/>
      <c r="N13" s="396"/>
      <c r="O13" s="633"/>
      <c r="P13" s="634"/>
      <c r="Q13" s="635"/>
      <c r="R13" s="621"/>
      <c r="S13" s="619"/>
      <c r="T13" s="617"/>
      <c r="U13" s="623"/>
      <c r="V13" s="625"/>
      <c r="W13" s="623"/>
      <c r="X13" s="617"/>
      <c r="Y13" s="619"/>
      <c r="Z13" s="621"/>
      <c r="AA13" s="619"/>
      <c r="AB13" s="617"/>
      <c r="AC13" s="623"/>
      <c r="AD13" s="614"/>
      <c r="AE13" s="615"/>
      <c r="AF13" s="615"/>
      <c r="AG13" s="615"/>
      <c r="AH13" s="615"/>
    </row>
    <row r="14" spans="1:34" ht="57.5" customHeight="1" thickBot="1" x14ac:dyDescent="0.4">
      <c r="A14" s="400">
        <v>1</v>
      </c>
      <c r="B14" s="403" t="s">
        <v>515</v>
      </c>
      <c r="C14" s="680" t="s">
        <v>532</v>
      </c>
      <c r="D14" s="384" t="s">
        <v>84</v>
      </c>
      <c r="E14" s="384" t="s">
        <v>451</v>
      </c>
      <c r="F14" s="382" t="s">
        <v>86</v>
      </c>
      <c r="G14" s="384" t="s">
        <v>452</v>
      </c>
      <c r="H14" s="384" t="s">
        <v>690</v>
      </c>
      <c r="I14" s="384" t="s">
        <v>453</v>
      </c>
      <c r="J14" s="374" t="s">
        <v>89</v>
      </c>
      <c r="K14" s="374" t="s">
        <v>89</v>
      </c>
      <c r="L14" s="374" t="s">
        <v>525</v>
      </c>
      <c r="M14" s="377">
        <v>45689</v>
      </c>
      <c r="N14" s="377">
        <v>45960</v>
      </c>
      <c r="O14" s="60" t="s">
        <v>91</v>
      </c>
      <c r="P14" s="53">
        <f>+(P15*Q14)</f>
        <v>0.33333333333333331</v>
      </c>
      <c r="Q14" s="66">
        <f>SUM(R14:AD14)</f>
        <v>1</v>
      </c>
      <c r="R14" s="43"/>
      <c r="S14" s="43"/>
      <c r="T14" s="43"/>
      <c r="U14" s="43"/>
      <c r="V14" s="43"/>
      <c r="W14" s="43"/>
      <c r="X14" s="43"/>
      <c r="Y14" s="43"/>
      <c r="Z14" s="44"/>
      <c r="AA14" s="44"/>
      <c r="AB14" s="44"/>
      <c r="AC14" s="44"/>
      <c r="AD14" s="43">
        <v>1</v>
      </c>
      <c r="AE14" s="478" t="s">
        <v>454</v>
      </c>
      <c r="AF14" s="478" t="s">
        <v>454</v>
      </c>
      <c r="AG14" s="628" t="s">
        <v>455</v>
      </c>
      <c r="AH14" s="628" t="s">
        <v>456</v>
      </c>
    </row>
    <row r="15" spans="1:34" ht="57.5" customHeight="1" thickBot="1" x14ac:dyDescent="0.4">
      <c r="A15" s="401"/>
      <c r="B15" s="403"/>
      <c r="C15" s="680"/>
      <c r="D15" s="385" t="s">
        <v>84</v>
      </c>
      <c r="E15" s="385"/>
      <c r="F15" s="399"/>
      <c r="G15" s="385"/>
      <c r="H15" s="385"/>
      <c r="I15" s="385"/>
      <c r="J15" s="375"/>
      <c r="K15" s="375"/>
      <c r="L15" s="375"/>
      <c r="M15" s="632"/>
      <c r="N15" s="632"/>
      <c r="O15" s="60" t="s">
        <v>96</v>
      </c>
      <c r="P15" s="52">
        <f>100%/3</f>
        <v>0.33333333333333331</v>
      </c>
      <c r="Q15" s="66">
        <f t="shared" ref="Q15:Q19" si="0">SUM(R15:AD15)</f>
        <v>1</v>
      </c>
      <c r="R15" s="42"/>
      <c r="S15" s="42"/>
      <c r="T15" s="42"/>
      <c r="U15" s="42"/>
      <c r="V15" s="42"/>
      <c r="W15" s="42"/>
      <c r="X15" s="42"/>
      <c r="Y15" s="42"/>
      <c r="Z15" s="42"/>
      <c r="AA15" s="42"/>
      <c r="AB15" s="42"/>
      <c r="AC15" s="42"/>
      <c r="AD15" s="42">
        <v>1</v>
      </c>
      <c r="AE15" s="479"/>
      <c r="AF15" s="479"/>
      <c r="AG15" s="629"/>
      <c r="AH15" s="629"/>
    </row>
    <row r="16" spans="1:34" ht="57.5" customHeight="1" thickBot="1" x14ac:dyDescent="0.4">
      <c r="A16" s="384">
        <v>2</v>
      </c>
      <c r="B16" s="403" t="s">
        <v>515</v>
      </c>
      <c r="C16" s="680" t="s">
        <v>532</v>
      </c>
      <c r="D16" s="384" t="s">
        <v>84</v>
      </c>
      <c r="E16" s="384" t="s">
        <v>451</v>
      </c>
      <c r="F16" s="382" t="s">
        <v>86</v>
      </c>
      <c r="G16" s="384" t="s">
        <v>452</v>
      </c>
      <c r="H16" s="384" t="s">
        <v>457</v>
      </c>
      <c r="I16" s="384" t="s">
        <v>458</v>
      </c>
      <c r="J16" s="374" t="s">
        <v>89</v>
      </c>
      <c r="K16" s="374" t="s">
        <v>89</v>
      </c>
      <c r="L16" s="374" t="s">
        <v>525</v>
      </c>
      <c r="M16" s="377">
        <v>45689</v>
      </c>
      <c r="N16" s="377">
        <v>45960</v>
      </c>
      <c r="O16" s="60" t="s">
        <v>91</v>
      </c>
      <c r="P16" s="53">
        <f>+(P17*Q16)</f>
        <v>0.33333333333333331</v>
      </c>
      <c r="Q16" s="66">
        <f t="shared" si="0"/>
        <v>1</v>
      </c>
      <c r="R16" s="43"/>
      <c r="S16" s="43"/>
      <c r="T16" s="43"/>
      <c r="U16" s="43"/>
      <c r="V16" s="43"/>
      <c r="W16" s="43"/>
      <c r="X16" s="43"/>
      <c r="Y16" s="43"/>
      <c r="Z16" s="44"/>
      <c r="AA16" s="44"/>
      <c r="AB16" s="44"/>
      <c r="AC16" s="44"/>
      <c r="AD16" s="44">
        <v>1</v>
      </c>
      <c r="AE16" s="480"/>
      <c r="AF16" s="539" t="s">
        <v>459</v>
      </c>
      <c r="AG16" s="628" t="s">
        <v>460</v>
      </c>
      <c r="AH16" s="628" t="s">
        <v>461</v>
      </c>
    </row>
    <row r="17" spans="1:34" ht="57.5" customHeight="1" thickBot="1" x14ac:dyDescent="0.4">
      <c r="A17" s="385"/>
      <c r="B17" s="403"/>
      <c r="C17" s="680"/>
      <c r="D17" s="385" t="s">
        <v>84</v>
      </c>
      <c r="E17" s="385"/>
      <c r="F17" s="383"/>
      <c r="G17" s="385"/>
      <c r="H17" s="385"/>
      <c r="I17" s="385"/>
      <c r="J17" s="375"/>
      <c r="K17" s="375"/>
      <c r="L17" s="375"/>
      <c r="M17" s="632"/>
      <c r="N17" s="632"/>
      <c r="O17" s="60" t="s">
        <v>96</v>
      </c>
      <c r="P17" s="52">
        <f>100%/3</f>
        <v>0.33333333333333331</v>
      </c>
      <c r="Q17" s="66">
        <f t="shared" si="0"/>
        <v>1</v>
      </c>
      <c r="R17" s="42"/>
      <c r="S17" s="42"/>
      <c r="T17" s="42"/>
      <c r="U17" s="42"/>
      <c r="V17" s="42"/>
      <c r="W17" s="42"/>
      <c r="X17" s="42"/>
      <c r="Y17" s="42"/>
      <c r="Z17" s="42"/>
      <c r="AA17" s="42"/>
      <c r="AB17" s="42"/>
      <c r="AC17" s="42"/>
      <c r="AD17" s="42">
        <v>1</v>
      </c>
      <c r="AE17" s="481"/>
      <c r="AF17" s="540"/>
      <c r="AG17" s="629"/>
      <c r="AH17" s="629"/>
    </row>
    <row r="18" spans="1:34" ht="57.5" customHeight="1" thickBot="1" x14ac:dyDescent="0.4">
      <c r="A18" s="384">
        <v>3</v>
      </c>
      <c r="B18" s="403" t="s">
        <v>515</v>
      </c>
      <c r="C18" s="680" t="s">
        <v>532</v>
      </c>
      <c r="D18" s="384" t="s">
        <v>84</v>
      </c>
      <c r="E18" s="384" t="s">
        <v>451</v>
      </c>
      <c r="F18" s="382" t="s">
        <v>86</v>
      </c>
      <c r="G18" s="384" t="s">
        <v>462</v>
      </c>
      <c r="H18" s="384" t="s">
        <v>463</v>
      </c>
      <c r="I18" s="384" t="s">
        <v>458</v>
      </c>
      <c r="J18" s="374" t="s">
        <v>89</v>
      </c>
      <c r="K18" s="374" t="s">
        <v>89</v>
      </c>
      <c r="L18" s="374" t="s">
        <v>525</v>
      </c>
      <c r="M18" s="377">
        <v>45689</v>
      </c>
      <c r="N18" s="377">
        <v>45960</v>
      </c>
      <c r="O18" s="60" t="s">
        <v>91</v>
      </c>
      <c r="P18" s="53">
        <f>+(P19*Q18)</f>
        <v>0.33333333333333331</v>
      </c>
      <c r="Q18" s="66">
        <f t="shared" si="0"/>
        <v>1</v>
      </c>
      <c r="R18" s="43"/>
      <c r="S18" s="43"/>
      <c r="T18" s="43"/>
      <c r="U18" s="43"/>
      <c r="V18" s="43"/>
      <c r="W18" s="43"/>
      <c r="X18" s="43"/>
      <c r="Y18" s="43"/>
      <c r="Z18" s="44"/>
      <c r="AA18" s="44"/>
      <c r="AB18" s="44"/>
      <c r="AC18" s="44"/>
      <c r="AD18" s="44">
        <v>1</v>
      </c>
      <c r="AE18" s="480"/>
      <c r="AF18" s="539" t="s">
        <v>459</v>
      </c>
      <c r="AG18" s="628" t="s">
        <v>460</v>
      </c>
      <c r="AH18" s="628" t="s">
        <v>461</v>
      </c>
    </row>
    <row r="19" spans="1:34" ht="57.5" customHeight="1" x14ac:dyDescent="0.35">
      <c r="A19" s="385"/>
      <c r="B19" s="403"/>
      <c r="C19" s="680"/>
      <c r="D19" s="385" t="s">
        <v>84</v>
      </c>
      <c r="E19" s="385"/>
      <c r="F19" s="383"/>
      <c r="G19" s="385"/>
      <c r="H19" s="385"/>
      <c r="I19" s="385"/>
      <c r="J19" s="375"/>
      <c r="K19" s="375"/>
      <c r="L19" s="375"/>
      <c r="M19" s="632"/>
      <c r="N19" s="632"/>
      <c r="O19" s="60" t="s">
        <v>96</v>
      </c>
      <c r="P19" s="52">
        <f>100%/3</f>
        <v>0.33333333333333331</v>
      </c>
      <c r="Q19" s="66">
        <f t="shared" si="0"/>
        <v>1</v>
      </c>
      <c r="R19" s="42"/>
      <c r="S19" s="42"/>
      <c r="T19" s="42"/>
      <c r="U19" s="42"/>
      <c r="V19" s="42"/>
      <c r="W19" s="42"/>
      <c r="X19" s="42"/>
      <c r="Y19" s="42"/>
      <c r="Z19" s="42"/>
      <c r="AA19" s="42"/>
      <c r="AB19" s="42"/>
      <c r="AC19" s="42"/>
      <c r="AD19" s="42">
        <v>1</v>
      </c>
      <c r="AE19" s="481"/>
      <c r="AF19" s="540"/>
      <c r="AG19" s="629"/>
      <c r="AH19" s="629"/>
    </row>
    <row r="20" spans="1:34" ht="15" hidden="1" customHeight="1" x14ac:dyDescent="0.35"/>
    <row r="21" spans="1:34" s="13" customFormat="1" ht="30" hidden="1" customHeight="1" x14ac:dyDescent="0.35">
      <c r="D21" s="379" t="s">
        <v>42</v>
      </c>
      <c r="E21" s="379"/>
      <c r="F21" s="21">
        <v>1</v>
      </c>
      <c r="H21" s="631" t="s">
        <v>130</v>
      </c>
      <c r="I21" s="22" t="s">
        <v>131</v>
      </c>
      <c r="J21" s="54" t="e">
        <f>SUM(O21:AC21)</f>
        <v>#REF!</v>
      </c>
      <c r="K21" s="33"/>
      <c r="L21" s="33"/>
      <c r="M21" s="33"/>
      <c r="N21" s="33"/>
      <c r="O21" s="33" t="e">
        <f>+(AC14*$P$15)+(AC16*$P$17)+(AC18*$P$19)+(#REF!*#REF!)+(#REF!*#REF!)+(#REF!*#REF!)+(#REF!*#REF!)+(#REF!*#REF!)+(#REF!*#REF!)+(#REF!*#REF!)+(#REF!*#REF!)+(#REF!*#REF!)+(#REF!*#REF!)</f>
        <v>#REF!</v>
      </c>
      <c r="P21" s="36" t="e">
        <f>+(#REF!*$P$15)+(#REF!*$P$17)+(#REF!*$P$19)+(#REF!*#REF!)+(#REF!*#REF!)+(#REF!*#REF!)+(#REF!*#REF!)+(#REF!*#REF!)+(#REF!*#REF!)+(#REF!*#REF!)+(#REF!*#REF!)+(#REF!*#REF!)+(#REF!*#REF!)</f>
        <v>#REF!</v>
      </c>
      <c r="Q21" s="33" t="e">
        <f>+(#REF!*$P$15)+(#REF!*$P$17)+(#REF!*$P$19)+(#REF!*#REF!)+(#REF!*#REF!)+(#REF!*#REF!)+(#REF!*#REF!)+(#REF!*#REF!)+(#REF!*#REF!)+(#REF!*#REF!)+(#REF!*#REF!)+(#REF!*#REF!)+(#REF!*#REF!)</f>
        <v>#REF!</v>
      </c>
      <c r="R21" s="33" t="e">
        <f>+(#REF!*$P$15)+(#REF!*$P$17)+(#REF!*$P$19)+(#REF!*#REF!)+(#REF!*#REF!)+(#REF!*#REF!)+(#REF!*#REF!)+(#REF!*#REF!)+(#REF!*#REF!)+(#REF!*#REF!)+(#REF!*#REF!)+(#REF!*#REF!)+(#REF!*#REF!)</f>
        <v>#REF!</v>
      </c>
      <c r="S21" s="33" t="e">
        <f>+(#REF!*$P$15)+(#REF!*$P$17)+(#REF!*$P$19)+(#REF!*#REF!)+(#REF!*#REF!)+(#REF!*#REF!)+(#REF!*#REF!)+(#REF!*#REF!)+(#REF!*#REF!)+(#REF!*#REF!)+(#REF!*#REF!)+(#REF!*#REF!)+(#REF!*#REF!)</f>
        <v>#REF!</v>
      </c>
      <c r="T21" s="33" t="e">
        <f>+(#REF!*$P$15)+(#REF!*$P$17)+(#REF!*$P$19)+(#REF!*#REF!)+(#REF!*#REF!)+(#REF!*#REF!)+(#REF!*#REF!)+(#REF!*#REF!)+(#REF!*#REF!)+(#REF!*#REF!)+(#REF!*#REF!)+(#REF!*#REF!)+(#REF!*#REF!)</f>
        <v>#REF!</v>
      </c>
      <c r="U21" s="33" t="e">
        <f>+(#REF!*$P$15)+(#REF!*$P$17)+(#REF!*$P$19)+(#REF!*#REF!)+(#REF!*#REF!)+(#REF!*#REF!)+(#REF!*#REF!)+(#REF!*#REF!)+(#REF!*#REF!)+(#REF!*#REF!)+(#REF!*#REF!)+(#REF!*#REF!)+(#REF!*#REF!)</f>
        <v>#REF!</v>
      </c>
      <c r="V21" s="33" t="e">
        <f>+(#REF!*$P$15)+(#REF!*$P$17)+(#REF!*$P$19)+(#REF!*#REF!)+(#REF!*#REF!)+(#REF!*#REF!)+(#REF!*#REF!)+(#REF!*#REF!)+(#REF!*#REF!)+(#REF!*#REF!)+(#REF!*#REF!)+(#REF!*#REF!)+(#REF!*#REF!)</f>
        <v>#REF!</v>
      </c>
      <c r="W21" s="33" t="e">
        <f>+(#REF!*$P$15)+(#REF!*$P$17)+(#REF!*$P$19)+(#REF!*#REF!)+(#REF!*#REF!)+(#REF!*#REF!)+(#REF!*#REF!)+(#REF!*#REF!)+(#REF!*#REF!)+(#REF!*#REF!)+(#REF!*#REF!)+(#REF!*#REF!)+(#REF!*#REF!)</f>
        <v>#REF!</v>
      </c>
      <c r="X21" s="33" t="e">
        <f>+(#REF!*$P$15)+(#REF!*$P$17)+(#REF!*$P$19)+(#REF!*#REF!)+(#REF!*#REF!)+(#REF!*#REF!)+(#REF!*#REF!)+(#REF!*#REF!)+(#REF!*#REF!)+(#REF!*#REF!)+(#REF!*#REF!)+(#REF!*#REF!)+(#REF!*#REF!)</f>
        <v>#REF!</v>
      </c>
      <c r="Y21" s="33" t="e">
        <f>+(#REF!*$P$15)+(#REF!*$P$17)+(#REF!*$P$19)+(#REF!*#REF!)+(#REF!*#REF!)+(#REF!*#REF!)+(#REF!*#REF!)+(#REF!*#REF!)+(#REF!*#REF!)+(#REF!*#REF!)+(#REF!*#REF!)+(#REF!*#REF!)+(#REF!*#REF!)</f>
        <v>#REF!</v>
      </c>
      <c r="Z21" s="33" t="e">
        <f>+(#REF!*$P$15)+(#REF!*$P$17)+(#REF!*$P$19)+(#REF!*#REF!)+(#REF!*#REF!)+(#REF!*#REF!)+(#REF!*#REF!)+(#REF!*#REF!)+(#REF!*#REF!)+(#REF!*#REF!)+(#REF!*#REF!)+(#REF!*#REF!)+(#REF!*#REF!)</f>
        <v>#REF!</v>
      </c>
      <c r="AA21" s="33" t="e">
        <f>+(#REF!*$P$15)+(#REF!*$P$17)+(#REF!*$P$19)+(#REF!*#REF!)+(#REF!*#REF!)+(#REF!*#REF!)+(#REF!*#REF!)+(#REF!*#REF!)+(#REF!*#REF!)+(#REF!*#REF!)+(#REF!*#REF!)+(#REF!*#REF!)+(#REF!*#REF!)</f>
        <v>#REF!</v>
      </c>
      <c r="AB21" s="36" t="e">
        <f>+(#REF!*$P$15)+(#REF!*$P$17)+(#REF!*$P$19)+(#REF!*#REF!)+(#REF!*#REF!)+(#REF!*#REF!)+(#REF!*#REF!)+(#REF!*#REF!)+(#REF!*#REF!)+(#REF!*#REF!)+(#REF!*#REF!)+(#REF!*#REF!)+(#REF!*#REF!)</f>
        <v>#REF!</v>
      </c>
      <c r="AC21" s="33" t="e">
        <f>+(#REF!*$P$15)+(#REF!*$P$17)+(#REF!*$P$19)+(#REF!*#REF!)+(#REF!*#REF!)+(#REF!*#REF!)+(#REF!*#REF!)+(#REF!*#REF!)+(#REF!*#REF!)+(#REF!*#REF!)+(#REF!*#REF!)+(#REF!*#REF!)+(#REF!*#REF!)</f>
        <v>#REF!</v>
      </c>
      <c r="AD21" s="61"/>
    </row>
    <row r="22" spans="1:34" s="13" customFormat="1" ht="30" hidden="1" customHeight="1" x14ac:dyDescent="0.35">
      <c r="D22" s="379"/>
      <c r="E22" s="379"/>
      <c r="F22" s="21"/>
      <c r="H22" s="546"/>
      <c r="I22" s="15" t="s">
        <v>132</v>
      </c>
      <c r="J22" s="17"/>
      <c r="K22" s="34"/>
      <c r="L22" s="34"/>
      <c r="M22" s="34"/>
      <c r="N22" s="34"/>
      <c r="O22" s="34" t="e">
        <f>SUM(O21:O21)</f>
        <v>#REF!</v>
      </c>
      <c r="P22" s="37"/>
      <c r="Q22" s="34"/>
      <c r="R22" s="34"/>
      <c r="S22" s="27" t="e">
        <f>SUM(P21:S21)</f>
        <v>#REF!</v>
      </c>
      <c r="T22" s="27"/>
      <c r="U22" s="27"/>
      <c r="V22" s="27"/>
      <c r="W22" s="27" t="e">
        <f>SUM(T21:W21)</f>
        <v>#REF!</v>
      </c>
      <c r="X22" s="27"/>
      <c r="Y22" s="27"/>
      <c r="Z22" s="27"/>
      <c r="AA22" s="27" t="e">
        <f>SUM(X21:AA21)</f>
        <v>#REF!</v>
      </c>
      <c r="AB22" s="39"/>
      <c r="AC22" s="27"/>
      <c r="AD22" s="62"/>
    </row>
    <row r="23" spans="1:34" s="13" customFormat="1" ht="30" hidden="1" customHeight="1" x14ac:dyDescent="0.35">
      <c r="H23" s="546"/>
      <c r="I23" s="15" t="s">
        <v>133</v>
      </c>
      <c r="J23" s="14"/>
      <c r="K23" s="34"/>
      <c r="L23" s="34"/>
      <c r="M23" s="34"/>
      <c r="N23" s="34"/>
      <c r="O23" s="34" t="e">
        <f>+#REF!+O22</f>
        <v>#REF!</v>
      </c>
      <c r="P23" s="37"/>
      <c r="Q23" s="34"/>
      <c r="R23" s="34"/>
      <c r="S23" s="26"/>
      <c r="T23" s="27"/>
      <c r="U23" s="27"/>
      <c r="V23" s="27"/>
      <c r="W23" s="27"/>
      <c r="X23" s="27"/>
      <c r="Y23" s="27"/>
      <c r="Z23" s="27"/>
      <c r="AA23" s="27" t="e">
        <f>+S22+W22+AA22</f>
        <v>#REF!</v>
      </c>
      <c r="AB23" s="39"/>
      <c r="AC23" s="27"/>
      <c r="AD23" s="62"/>
    </row>
    <row r="24" spans="1:34" s="13" customFormat="1" ht="30" hidden="1" customHeight="1" thickBot="1" x14ac:dyDescent="0.4">
      <c r="H24" s="547"/>
      <c r="I24" s="18" t="s">
        <v>134</v>
      </c>
      <c r="J24" s="19"/>
      <c r="K24" s="35"/>
      <c r="L24" s="35"/>
      <c r="M24" s="35"/>
      <c r="N24" s="35"/>
      <c r="O24" s="35"/>
      <c r="P24" s="38"/>
      <c r="Q24" s="35"/>
      <c r="R24" s="35"/>
      <c r="S24" s="28"/>
      <c r="T24" s="29"/>
      <c r="U24" s="29"/>
      <c r="V24" s="29"/>
      <c r="W24" s="29"/>
      <c r="X24" s="29"/>
      <c r="Y24" s="29"/>
      <c r="Z24" s="29"/>
      <c r="AA24" s="29" t="e">
        <f>+O23+AA23</f>
        <v>#REF!</v>
      </c>
      <c r="AB24" s="40"/>
      <c r="AC24" s="29"/>
      <c r="AD24" s="62"/>
    </row>
    <row r="25" spans="1:34" s="13" customFormat="1" ht="30" hidden="1" customHeight="1" x14ac:dyDescent="0.35">
      <c r="H25" s="545" t="s">
        <v>135</v>
      </c>
      <c r="I25" s="15" t="s">
        <v>136</v>
      </c>
      <c r="J25" s="23" t="e">
        <f>SUM(O25:AC25)</f>
        <v>#REF!</v>
      </c>
      <c r="K25" s="34"/>
      <c r="L25" s="34"/>
      <c r="M25" s="34"/>
      <c r="N25" s="34"/>
      <c r="O25" s="34" t="e">
        <f>+(AC15*$P$15)+(AC17*$P$17)+(AC19*$P$19)+(#REF!*#REF!)+(#REF!*#REF!)+(#REF!*#REF!)+(#REF!*#REF!)+(#REF!*#REF!)+(#REF!*#REF!)+(#REF!*#REF!)+(#REF!*#REF!)+(#REF!*#REF!)+(#REF!*#REF!)</f>
        <v>#REF!</v>
      </c>
      <c r="P25" s="37" t="e">
        <f>+(#REF!*$P$15)+(#REF!*$P$17)+(#REF!*$P$19)+(#REF!*#REF!)+(#REF!*#REF!)+(#REF!*#REF!)+(#REF!*#REF!)+(#REF!*#REF!)+(#REF!*#REF!)+(#REF!*#REF!)+(#REF!*#REF!)+(#REF!*#REF!)+(#REF!*#REF!)</f>
        <v>#REF!</v>
      </c>
      <c r="Q25" s="34" t="e">
        <f>+(#REF!*$P$15)+(#REF!*$P$17)+(#REF!*$P$19)+(#REF!*#REF!)+(#REF!*#REF!)+(#REF!*#REF!)+(#REF!*#REF!)+(#REF!*#REF!)+(#REF!*#REF!)+(#REF!*#REF!)+(#REF!*#REF!)+(#REF!*#REF!)+(#REF!*#REF!)</f>
        <v>#REF!</v>
      </c>
      <c r="R25" s="34" t="e">
        <f>+(#REF!*$P$15)+(#REF!*$P$17)+(#REF!*$P$19)+(#REF!*#REF!)+(#REF!*#REF!)+(#REF!*#REF!)+(#REF!*#REF!)+(#REF!*#REF!)+(#REF!*#REF!)+(#REF!*#REF!)+(#REF!*#REF!)+(#REF!*#REF!)+(#REF!*#REF!)</f>
        <v>#REF!</v>
      </c>
      <c r="S25" s="34" t="e">
        <f>+(#REF!*$P$15)+(#REF!*$P$17)+(#REF!*$P$19)+(#REF!*#REF!)+(#REF!*#REF!)+(#REF!*#REF!)+(#REF!*#REF!)+(#REF!*#REF!)+(#REF!*#REF!)+(#REF!*#REF!)+(#REF!*#REF!)+(#REF!*#REF!)+(#REF!*#REF!)</f>
        <v>#REF!</v>
      </c>
      <c r="T25" s="34" t="e">
        <f>+(#REF!*$P$15)+(#REF!*$P$17)+(#REF!*$P$19)+(#REF!*#REF!)+(#REF!*#REF!)+(#REF!*#REF!)+(#REF!*#REF!)+(#REF!*#REF!)+(#REF!*#REF!)+(#REF!*#REF!)+(#REF!*#REF!)+(#REF!*#REF!)+(#REF!*#REF!)</f>
        <v>#REF!</v>
      </c>
      <c r="U25" s="34" t="e">
        <f>+(#REF!*$P$15)+(#REF!*$P$17)+(#REF!*$P$19)+(#REF!*#REF!)+(#REF!*#REF!)+(#REF!*#REF!)+(#REF!*#REF!)+(#REF!*#REF!)+(#REF!*#REF!)+(#REF!*#REF!)+(#REF!*#REF!)+(#REF!*#REF!)+(#REF!*#REF!)</f>
        <v>#REF!</v>
      </c>
      <c r="V25" s="34" t="e">
        <f>+(#REF!*$P$15)+(#REF!*$P$17)+(#REF!*$P$19)+(#REF!*#REF!)+(#REF!*#REF!)+(#REF!*#REF!)+(#REF!*#REF!)+(#REF!*#REF!)+(#REF!*#REF!)+(#REF!*#REF!)+(#REF!*#REF!)+(#REF!*#REF!)+(#REF!*#REF!)</f>
        <v>#REF!</v>
      </c>
      <c r="W25" s="34" t="e">
        <f>+(#REF!*$P$15)+(#REF!*$P$17)+(#REF!*$P$19)+(#REF!*#REF!)+(#REF!*#REF!)+(#REF!*#REF!)+(#REF!*#REF!)+(#REF!*#REF!)+(#REF!*#REF!)+(#REF!*#REF!)+(#REF!*#REF!)+(#REF!*#REF!)+(#REF!*#REF!)</f>
        <v>#REF!</v>
      </c>
      <c r="X25" s="34" t="e">
        <f>+(#REF!*$P$15)+(#REF!*$P$17)+(#REF!*$P$19)+(#REF!*#REF!)+(#REF!*#REF!)+(#REF!*#REF!)+(#REF!*#REF!)+(#REF!*#REF!)+(#REF!*#REF!)+(#REF!*#REF!)+(#REF!*#REF!)+(#REF!*#REF!)+(#REF!*#REF!)</f>
        <v>#REF!</v>
      </c>
      <c r="Y25" s="34" t="e">
        <f>+(#REF!*$P$15)+(#REF!*$P$17)+(#REF!*$P$19)+(#REF!*#REF!)+(#REF!*#REF!)+(#REF!*#REF!)+(#REF!*#REF!)+(#REF!*#REF!)+(#REF!*#REF!)+(#REF!*#REF!)+(#REF!*#REF!)+(#REF!*#REF!)+(#REF!*#REF!)</f>
        <v>#REF!</v>
      </c>
      <c r="Z25" s="34" t="e">
        <f>+(#REF!*$P$15)+(#REF!*$P$17)+(#REF!*$P$19)+(#REF!*#REF!)+(#REF!*#REF!)+(#REF!*#REF!)+(#REF!*#REF!)+(#REF!*#REF!)+(#REF!*#REF!)+(#REF!*#REF!)+(#REF!*#REF!)+(#REF!*#REF!)+(#REF!*#REF!)</f>
        <v>#REF!</v>
      </c>
      <c r="AA25" s="34" t="e">
        <f>+(#REF!*$P$15)+(#REF!*$P$17)+(#REF!*$P$19)+(#REF!*#REF!)+(#REF!*#REF!)+(#REF!*#REF!)+(#REF!*#REF!)+(#REF!*#REF!)+(#REF!*#REF!)+(#REF!*#REF!)+(#REF!*#REF!)+(#REF!*#REF!)+(#REF!*#REF!)</f>
        <v>#REF!</v>
      </c>
      <c r="AB25" s="37" t="e">
        <f>+(#REF!*$P$15)+(#REF!*$P$17)+(#REF!*$P$19)+(#REF!*#REF!)+(#REF!*#REF!)+(#REF!*#REF!)+(#REF!*#REF!)+(#REF!*#REF!)+(#REF!*#REF!)+(#REF!*#REF!)+(#REF!*#REF!)+(#REF!*#REF!)+(#REF!*#REF!)</f>
        <v>#REF!</v>
      </c>
      <c r="AC25" s="34" t="e">
        <f>+(#REF!*$P$15)+(#REF!*$P$17)+(#REF!*$P$19)+(#REF!*#REF!)+(#REF!*#REF!)+(#REF!*#REF!)+(#REF!*#REF!)+(#REF!*#REF!)+(#REF!*#REF!)+(#REF!*#REF!)+(#REF!*#REF!)+(#REF!*#REF!)+(#REF!*#REF!)</f>
        <v>#REF!</v>
      </c>
      <c r="AD25" s="61"/>
    </row>
    <row r="26" spans="1:34" s="13" customFormat="1" ht="30" hidden="1" customHeight="1" x14ac:dyDescent="0.35">
      <c r="H26" s="546"/>
      <c r="I26" s="15" t="s">
        <v>137</v>
      </c>
      <c r="J26" s="16"/>
      <c r="K26" s="34"/>
      <c r="L26" s="34"/>
      <c r="M26" s="34"/>
      <c r="N26" s="34"/>
      <c r="O26" s="34" t="e">
        <f>SUM(O25:O25)</f>
        <v>#REF!</v>
      </c>
      <c r="P26" s="37"/>
      <c r="Q26" s="34"/>
      <c r="R26" s="34"/>
      <c r="S26" s="34" t="e">
        <f>SUM(P25:S25)</f>
        <v>#REF!</v>
      </c>
      <c r="T26" s="34"/>
      <c r="U26" s="34"/>
      <c r="V26" s="34"/>
      <c r="W26" s="34" t="e">
        <f>SUM(T25:W25)</f>
        <v>#REF!</v>
      </c>
      <c r="X26" s="34"/>
      <c r="Y26" s="34"/>
      <c r="Z26" s="34"/>
      <c r="AA26" s="34" t="e">
        <f>SUM(X25:AA25)</f>
        <v>#REF!</v>
      </c>
      <c r="AB26" s="37"/>
      <c r="AC26" s="34"/>
      <c r="AD26" s="61"/>
    </row>
    <row r="27" spans="1:34" s="13" customFormat="1" ht="30" hidden="1" customHeight="1" x14ac:dyDescent="0.35">
      <c r="H27" s="546"/>
      <c r="I27" s="15" t="s">
        <v>138</v>
      </c>
      <c r="J27" s="14"/>
      <c r="K27" s="34"/>
      <c r="L27" s="34"/>
      <c r="M27" s="34"/>
      <c r="N27" s="34"/>
      <c r="O27" s="34" t="e">
        <f>+#REF!+O26</f>
        <v>#REF!</v>
      </c>
      <c r="P27" s="37"/>
      <c r="Q27" s="34"/>
      <c r="R27" s="34"/>
      <c r="S27" s="26"/>
      <c r="T27" s="27"/>
      <c r="U27" s="27"/>
      <c r="V27" s="27"/>
      <c r="W27" s="27"/>
      <c r="X27" s="27"/>
      <c r="Y27" s="27"/>
      <c r="Z27" s="27"/>
      <c r="AA27" s="27" t="e">
        <f>+S26+W26+AA26</f>
        <v>#REF!</v>
      </c>
      <c r="AB27" s="39"/>
      <c r="AC27" s="27"/>
      <c r="AD27" s="62"/>
    </row>
    <row r="28" spans="1:34" s="13" customFormat="1" ht="30" hidden="1" customHeight="1" thickBot="1" x14ac:dyDescent="0.4">
      <c r="H28" s="547"/>
      <c r="I28" s="20" t="s">
        <v>139</v>
      </c>
      <c r="J28" s="19"/>
      <c r="K28" s="35"/>
      <c r="L28" s="35"/>
      <c r="M28" s="35"/>
      <c r="N28" s="35"/>
      <c r="O28" s="35"/>
      <c r="P28" s="38"/>
      <c r="Q28" s="35"/>
      <c r="R28" s="35"/>
      <c r="S28" s="28"/>
      <c r="T28" s="29"/>
      <c r="U28" s="29"/>
      <c r="V28" s="29"/>
      <c r="W28" s="29"/>
      <c r="X28" s="29"/>
      <c r="Y28" s="29"/>
      <c r="Z28" s="29"/>
      <c r="AA28" s="29" t="e">
        <f>+O27+AA27</f>
        <v>#REF!</v>
      </c>
      <c r="AB28" s="40"/>
      <c r="AC28" s="41"/>
      <c r="AD28" s="62"/>
    </row>
    <row r="29" spans="1:34" ht="30" hidden="1" customHeight="1" x14ac:dyDescent="0.35">
      <c r="H29" s="24"/>
      <c r="I29" s="380" t="s">
        <v>140</v>
      </c>
      <c r="J29" s="380"/>
      <c r="K29" s="46"/>
      <c r="L29" s="46"/>
      <c r="M29" s="46"/>
      <c r="N29" s="46"/>
      <c r="O29" s="47" t="e">
        <f>+(#REF!+#REF!+#REF!+#REF!+#REF!+#REF!+#REF!+O21)/(#REF!+#REF!+#REF!+#REF!+#REF!+#REF!+#REF!+O25)</f>
        <v>#REF!</v>
      </c>
      <c r="P29" s="48" t="e">
        <f>+(#REF!+#REF!+#REF!+#REF!+#REF!+#REF!+#REF!+O21+P21)/(#REF!+#REF!+#REF!+#REF!+#REF!+#REF!+#REF!+O25+P25)</f>
        <v>#REF!</v>
      </c>
      <c r="Q29" s="46" t="e">
        <f>+(#REF!+#REF!+#REF!+#REF!+#REF!+#REF!+#REF!+O21+P21+Q21)/(#REF!+#REF!+#REF!+#REF!+#REF!+#REF!+#REF!+O25+P25+Q25)</f>
        <v>#REF!</v>
      </c>
      <c r="R29" s="46" t="e">
        <f>+(#REF!+#REF!+#REF!+#REF!+#REF!+#REF!+#REF!+O21+P21+Q21+R21)/(#REF!+#REF!+#REF!+#REF!+#REF!+#REF!+#REF!+O25+P25+Q25+R25)</f>
        <v>#REF!</v>
      </c>
      <c r="S29" s="47" t="e">
        <f>+(#REF!+#REF!+#REF!+#REF!+#REF!+#REF!+#REF!+O21+P21+Q21+R21+S21)/(#REF!+#REF!+#REF!+#REF!+#REF!+#REF!+#REF!+O25+P25+Q25+R25+S25)</f>
        <v>#REF!</v>
      </c>
      <c r="T29" s="46" t="e">
        <f>+(#REF!+#REF!+#REF!+#REF!+#REF!+#REF!+#REF!+O21+P21+Q21+R21+S21+T21)/(#REF!+#REF!+#REF!+#REF!+#REF!+#REF!+#REF!+O25+P25+Q25+R25+S25+T25)</f>
        <v>#REF!</v>
      </c>
      <c r="U29" s="46" t="e">
        <f>+(#REF!+#REF!+#REF!+#REF!+#REF!+#REF!+#REF!+O21+P21+Q21+R21+S21+T21+U21)/(#REF!+#REF!+#REF!+#REF!+#REF!+#REF!+#REF!+O25+P25+Q25+R25+S25+T25+U25)</f>
        <v>#REF!</v>
      </c>
      <c r="V29" s="46" t="e">
        <f>+(#REF!+#REF!+#REF!+#REF!+#REF!+#REF!+#REF!+O21+P21+Q21+R21+S21+T21+U21+V21)/(#REF!+#REF!+#REF!+#REF!+#REF!+#REF!+#REF!+O25+P25+Q25+R25+S25+T25+U25+V25)</f>
        <v>#REF!</v>
      </c>
      <c r="W29" s="47" t="e">
        <f>+(#REF!+#REF!+#REF!+#REF!+#REF!+#REF!+#REF!+O21+P21+Q21+R21+S21+T21+U21+V21+W21)/(#REF!+#REF!+#REF!+#REF!+#REF!+#REF!+#REF!+O25+P25+Q25+R25+S25+T25+U25+V25+W25)</f>
        <v>#REF!</v>
      </c>
      <c r="X29" s="46" t="e">
        <f>+(#REF!+#REF!+#REF!+#REF!+#REF!+#REF!+#REF!+O21+P21+Q21+R21+S21+T21+U21+V21+W21+X21)/(#REF!+#REF!+#REF!+#REF!+#REF!+#REF!+#REF!+O25+P25+Q25+R25+S25+T25+U25+V25+W25+X25)</f>
        <v>#REF!</v>
      </c>
      <c r="Y29" s="46" t="e">
        <f>+(#REF!+#REF!+#REF!+#REF!+#REF!+#REF!+#REF!+O21+P21+Q21+R21+S21+T21+U21+V21+W21+X21+Y21)/(#REF!+#REF!+#REF!+#REF!+#REF!+#REF!+#REF!+O25+P25+Q25+R25+S25+T25+U25+V25+W25+X25+Y25)</f>
        <v>#REF!</v>
      </c>
      <c r="Z29" s="46" t="e">
        <f>+(#REF!+#REF!+#REF!+#REF!+#REF!+#REF!+#REF!+O21+P21+Q21+R21+S21+T21+U21+V21+W21+X21+Y21+Z21)/(#REF!+#REF!+#REF!+#REF!+#REF!+#REF!+#REF!+O25+P25+Q25+R25+S25+T25+U25+V25+W25+X25+Y25+Z25)</f>
        <v>#REF!</v>
      </c>
      <c r="AA29" s="47" t="e">
        <f>+(#REF!+#REF!+#REF!+#REF!+#REF!+#REF!+#REF!+O21+P21+Q21+R21+S21+T21+U21+V21+W21+X21+Y21+Z21+AA21)/(#REF!+#REF!+#REF!+#REF!+#REF!+#REF!+#REF!+O25+P25+Q25+R25+S25+T25+U25+V25+W25+X25+Y25+Z25+AA25)</f>
        <v>#REF!</v>
      </c>
      <c r="AB29" s="48" t="e">
        <f>+(#REF!+#REF!+#REF!+#REF!+#REF!+#REF!+#REF!+O21+P21+Q21+R21+S21+T21+U21+V21+W21+X21+Y21+Z21+AA21+AB21)/(#REF!+#REF!+#REF!+#REF!+#REF!+#REF!+#REF!+O25+P25+Q25+R25+S25+T25+U25+V25+W25+X25+Y25+Z25+AA25+AB25)</f>
        <v>#REF!</v>
      </c>
      <c r="AC29" s="46" t="e">
        <f>+(#REF!+#REF!+#REF!+#REF!+#REF!+#REF!+#REF!+O21+P21+Q21+R21+S21+T21+U21+V21+W21+X21+Y21+Z21+AA21+AB21+AC21)/(#REF!+#REF!+#REF!+#REF!+#REF!+#REF!+#REF!+O25+P25+Q25+R25+S25+T25+U25+V25+W25+X25+Y25+Z25+AA25+AB25+AC25)</f>
        <v>#REF!</v>
      </c>
      <c r="AD29" s="63"/>
    </row>
    <row r="30" spans="1:34" ht="30" hidden="1" customHeight="1" x14ac:dyDescent="0.35">
      <c r="H30" s="24"/>
      <c r="I30" s="381" t="s">
        <v>141</v>
      </c>
      <c r="J30" s="381"/>
      <c r="K30" s="47"/>
      <c r="L30" s="47"/>
      <c r="M30" s="47"/>
      <c r="N30" s="47"/>
      <c r="O30" s="47" t="e">
        <f>+(#REF!+#REF!+#REF!+#REF!+#REF!+#REF!+#REF!+O21)/$F$21</f>
        <v>#REF!</v>
      </c>
      <c r="P30" s="49" t="e">
        <f>+(#REF!+#REF!+#REF!+#REF!+#REF!+#REF!+#REF!+O21+P21)/$F$21</f>
        <v>#REF!</v>
      </c>
      <c r="Q30" s="47" t="e">
        <f>+(#REF!+#REF!+#REF!+#REF!+#REF!+#REF!+#REF!+O21+P21+Q21)/$F$21</f>
        <v>#REF!</v>
      </c>
      <c r="R30" s="47" t="e">
        <f>+(#REF!+#REF!+#REF!+#REF!+#REF!+#REF!+#REF!+O21+P21+Q21+R21)/$F$21</f>
        <v>#REF!</v>
      </c>
      <c r="S30" s="47" t="e">
        <f>+(#REF!+#REF!+#REF!+#REF!+#REF!+#REF!+#REF!+O21+P21+Q21+R21+S21)/$F$21</f>
        <v>#REF!</v>
      </c>
      <c r="T30" s="47" t="e">
        <f>+(#REF!+#REF!+#REF!+#REF!+#REF!+#REF!+#REF!+O21+P21+Q21+R21+S21+T21)/$F$21</f>
        <v>#REF!</v>
      </c>
      <c r="U30" s="47" t="e">
        <f>+(#REF!+#REF!+#REF!+#REF!+#REF!+#REF!+#REF!+O21+P21+Q21+R21+S21+T21+U21)/$F$21</f>
        <v>#REF!</v>
      </c>
      <c r="V30" s="47" t="e">
        <f>+(#REF!+#REF!+#REF!+#REF!+#REF!+#REF!+#REF!+O21+P21+Q21+R21+S21+T21+U21+V21)/$F$21</f>
        <v>#REF!</v>
      </c>
      <c r="W30" s="47" t="e">
        <f>+(#REF!+#REF!+#REF!+#REF!+#REF!+#REF!+#REF!+O21+P21+Q21+R21+S21+T21+U21+V21+W21)/$F$21</f>
        <v>#REF!</v>
      </c>
      <c r="X30" s="47" t="e">
        <f>+(#REF!+#REF!+#REF!+#REF!+#REF!+#REF!+#REF!+O21+P21+Q21+R21+S21+T21+U21+V21+W21+X21)/$F$21</f>
        <v>#REF!</v>
      </c>
      <c r="Y30" s="47" t="e">
        <f>+(#REF!+#REF!+#REF!+#REF!+#REF!+#REF!+#REF!+O21+P21+Q21+R21+S21+T21+U21+V21+W21+X21+Y21)/$F$21</f>
        <v>#REF!</v>
      </c>
      <c r="Z30" s="47" t="e">
        <f>+(#REF!+#REF!+#REF!+#REF!+#REF!+#REF!+#REF!+O21+P21+Q21+R21+S21+T21+U21+V21+W21+X21+Y21+Z21)/$F$21</f>
        <v>#REF!</v>
      </c>
      <c r="AA30" s="47" t="e">
        <f>+(#REF!+#REF!+#REF!+#REF!+#REF!+#REF!+#REF!+O21+P21+Q21+R21+S21+T21+U21+V21+W21+X21+Y21+Z21+AA21)/$F$21</f>
        <v>#REF!</v>
      </c>
      <c r="AB30" s="49" t="e">
        <f>+(#REF!+#REF!+#REF!+#REF!+#REF!+#REF!+#REF!+O21+P21+Q21+R21+S21+T21+U21+V21+W21+X21+Y21+Z21+AA21+AB21)/$F$21</f>
        <v>#REF!</v>
      </c>
      <c r="AC30" s="47" t="e">
        <f>+(#REF!+#REF!+#REF!+#REF!+#REF!+#REF!+#REF!+O21+P21+Q21+R21+S21+T21+U21+V21+W21+X21+Y21+Z21+AA21+AB21+AC21)/$F$21</f>
        <v>#REF!</v>
      </c>
      <c r="AD30" s="64"/>
    </row>
    <row r="31" spans="1:34" ht="30" hidden="1" customHeight="1" x14ac:dyDescent="0.35">
      <c r="I31" s="380" t="s">
        <v>142</v>
      </c>
      <c r="J31" s="380"/>
      <c r="K31" s="50"/>
      <c r="L31" s="50"/>
      <c r="M31" s="50"/>
      <c r="N31" s="50"/>
      <c r="O31" s="47" t="e">
        <f>+O22/O26</f>
        <v>#REF!</v>
      </c>
      <c r="P31" s="51"/>
      <c r="Q31" s="50"/>
      <c r="R31" s="50"/>
      <c r="S31" s="47" t="e">
        <f>+S22/S26</f>
        <v>#REF!</v>
      </c>
      <c r="T31" s="50"/>
      <c r="U31" s="50"/>
      <c r="V31" s="50"/>
      <c r="W31" s="47" t="e">
        <f>+W22/W26</f>
        <v>#REF!</v>
      </c>
      <c r="X31" s="50"/>
      <c r="Y31" s="50"/>
      <c r="Z31" s="50"/>
      <c r="AA31" s="47" t="e">
        <f>+AA22/AA26</f>
        <v>#REF!</v>
      </c>
      <c r="AB31" s="51"/>
      <c r="AC31" s="50"/>
      <c r="AD31" s="65"/>
    </row>
    <row r="32" spans="1:34" ht="30" hidden="1" customHeight="1" x14ac:dyDescent="0.35">
      <c r="I32" s="381" t="s">
        <v>143</v>
      </c>
      <c r="J32" s="381"/>
      <c r="K32" s="50"/>
      <c r="L32" s="50"/>
      <c r="M32" s="50"/>
      <c r="N32" s="50"/>
      <c r="O32" s="47" t="e">
        <f>+(#REF!+O22)/$F$21</f>
        <v>#REF!</v>
      </c>
      <c r="P32" s="51"/>
      <c r="Q32" s="50"/>
      <c r="R32" s="50"/>
      <c r="S32" s="47" t="e">
        <f>+(#REF!+O22+S22)/$F$21</f>
        <v>#REF!</v>
      </c>
      <c r="T32" s="50"/>
      <c r="U32" s="50"/>
      <c r="V32" s="50"/>
      <c r="W32" s="47" t="e">
        <f>+(#REF!+O22+S22+W22)/$F$21</f>
        <v>#REF!</v>
      </c>
      <c r="X32" s="50"/>
      <c r="Y32" s="50"/>
      <c r="Z32" s="50"/>
      <c r="AA32" s="47" t="e">
        <f>+(#REF!+O22+S22+W22+AA22)/$F$21</f>
        <v>#REF!</v>
      </c>
      <c r="AB32" s="51"/>
      <c r="AC32" s="50"/>
      <c r="AD32" s="65"/>
    </row>
    <row r="33" spans="2:30" ht="30" hidden="1" customHeight="1" x14ac:dyDescent="0.35">
      <c r="I33" s="380" t="s">
        <v>144</v>
      </c>
      <c r="J33" s="380"/>
      <c r="K33" s="50"/>
      <c r="L33" s="50"/>
      <c r="M33" s="50"/>
      <c r="N33" s="50"/>
      <c r="O33" s="47" t="e">
        <f>+(#REF!+O22)/(#REF!+O26)</f>
        <v>#REF!</v>
      </c>
      <c r="P33" s="51"/>
      <c r="Q33" s="50"/>
      <c r="R33" s="50"/>
      <c r="S33" s="50"/>
      <c r="T33" s="50"/>
      <c r="U33" s="50"/>
      <c r="V33" s="50"/>
      <c r="W33" s="50"/>
      <c r="X33" s="50"/>
      <c r="Y33" s="50"/>
      <c r="Z33" s="50"/>
      <c r="AA33" s="47" t="e">
        <f>+(#REF!+O22+S22+W22+AA22)/(#REF!+O26+S26+W26+AA26)</f>
        <v>#REF!</v>
      </c>
      <c r="AB33" s="51"/>
      <c r="AC33" s="50"/>
      <c r="AD33" s="65"/>
    </row>
    <row r="34" spans="2:30" ht="30" hidden="1" customHeight="1" x14ac:dyDescent="0.35">
      <c r="I34" s="380" t="s">
        <v>145</v>
      </c>
      <c r="J34" s="380"/>
      <c r="K34" s="50"/>
      <c r="L34" s="50"/>
      <c r="M34" s="50"/>
      <c r="N34" s="50"/>
      <c r="O34" s="47" t="e">
        <f>+(#REF!+O22)/$F$21</f>
        <v>#REF!</v>
      </c>
      <c r="P34" s="51"/>
      <c r="Q34" s="50"/>
      <c r="R34" s="50"/>
      <c r="S34" s="50"/>
      <c r="T34" s="50"/>
      <c r="U34" s="50"/>
      <c r="V34" s="50"/>
      <c r="W34" s="50"/>
      <c r="X34" s="50"/>
      <c r="Y34" s="50"/>
      <c r="Z34" s="50"/>
      <c r="AA34" s="47" t="e">
        <f>+(+#REF!+O22+S22+W22+AA22)/$F$21</f>
        <v>#REF!</v>
      </c>
      <c r="AB34" s="51"/>
      <c r="AC34" s="50"/>
      <c r="AD34" s="65"/>
    </row>
    <row r="35" spans="2:30" ht="15" hidden="1" customHeight="1" x14ac:dyDescent="0.35"/>
    <row r="36" spans="2:30" ht="35.15" hidden="1" customHeight="1" x14ac:dyDescent="0.35">
      <c r="H36" s="573" t="s">
        <v>146</v>
      </c>
      <c r="I36" s="573"/>
      <c r="J36" s="30" t="e">
        <f>+#REF!</f>
        <v>#REF!</v>
      </c>
      <c r="K36" s="32"/>
      <c r="L36" s="32"/>
      <c r="M36" s="32"/>
      <c r="N36" s="32"/>
    </row>
    <row r="37" spans="2:30" ht="35.15" hidden="1" customHeight="1" thickBot="1" x14ac:dyDescent="0.4">
      <c r="H37" s="573" t="s">
        <v>147</v>
      </c>
      <c r="I37" s="573"/>
      <c r="J37" s="25">
        <f>+F21</f>
        <v>1</v>
      </c>
      <c r="K37" s="32"/>
      <c r="L37" s="32"/>
      <c r="M37" s="32"/>
      <c r="N37" s="32"/>
    </row>
    <row r="38" spans="2:30" ht="35.15" hidden="1" customHeight="1" thickBot="1" x14ac:dyDescent="0.4">
      <c r="H38" s="573" t="s">
        <v>148</v>
      </c>
      <c r="I38" s="573"/>
      <c r="J38" s="31" t="e">
        <f>+J36/J37</f>
        <v>#REF!</v>
      </c>
      <c r="K38" s="32"/>
      <c r="L38" s="32"/>
      <c r="M38" s="32"/>
      <c r="N38" s="32"/>
    </row>
    <row r="39" spans="2:30" ht="15" hidden="1" customHeight="1" x14ac:dyDescent="0.35">
      <c r="K39" s="32"/>
      <c r="L39" s="32"/>
      <c r="M39" s="32"/>
      <c r="N39" s="32"/>
    </row>
    <row r="40" spans="2:30" ht="15" hidden="1" customHeight="1" x14ac:dyDescent="0.35">
      <c r="K40" s="32"/>
      <c r="L40" s="32"/>
      <c r="M40" s="32"/>
      <c r="N40" s="32"/>
    </row>
    <row r="41" spans="2:30" ht="15" hidden="1" customHeight="1" x14ac:dyDescent="0.35">
      <c r="B41" s="371" t="s">
        <v>51</v>
      </c>
      <c r="C41" s="371" t="s">
        <v>52</v>
      </c>
      <c r="D41" s="371" t="s">
        <v>53</v>
      </c>
      <c r="E41" s="371" t="s">
        <v>54</v>
      </c>
      <c r="F41" s="371" t="s">
        <v>30</v>
      </c>
      <c r="G41" s="373" t="s">
        <v>55</v>
      </c>
      <c r="K41" s="32"/>
      <c r="L41" s="32"/>
      <c r="M41" s="32"/>
      <c r="N41" s="32"/>
    </row>
    <row r="42" spans="2:30" ht="15" hidden="1" customHeight="1" x14ac:dyDescent="0.35">
      <c r="B42" s="372"/>
      <c r="C42" s="372"/>
      <c r="D42" s="372"/>
      <c r="E42" s="372"/>
      <c r="F42" s="372"/>
      <c r="G42" s="372"/>
    </row>
    <row r="43" spans="2:30" ht="15" hidden="1" customHeight="1" x14ac:dyDescent="0.35">
      <c r="B43" s="1" t="s">
        <v>510</v>
      </c>
      <c r="C43" s="13" t="s">
        <v>829</v>
      </c>
      <c r="D43" s="1" t="s">
        <v>118</v>
      </c>
      <c r="E43" s="1" t="s">
        <v>119</v>
      </c>
      <c r="F43" s="1" t="s">
        <v>512</v>
      </c>
      <c r="G43" s="1" t="s">
        <v>513</v>
      </c>
    </row>
    <row r="44" spans="2:30" ht="15" hidden="1" customHeight="1" x14ac:dyDescent="0.35">
      <c r="B44" s="1" t="s">
        <v>515</v>
      </c>
      <c r="C44" s="13" t="s">
        <v>830</v>
      </c>
      <c r="D44" s="1" t="s">
        <v>254</v>
      </c>
      <c r="E44" s="1" t="s">
        <v>517</v>
      </c>
      <c r="F44" s="1" t="s">
        <v>518</v>
      </c>
      <c r="G44" s="1" t="s">
        <v>519</v>
      </c>
    </row>
    <row r="45" spans="2:30" ht="15" hidden="1" customHeight="1" x14ac:dyDescent="0.35">
      <c r="B45" s="1" t="s">
        <v>521</v>
      </c>
      <c r="C45" s="13" t="s">
        <v>826</v>
      </c>
      <c r="D45" s="1" t="s">
        <v>84</v>
      </c>
      <c r="E45" s="1" t="s">
        <v>255</v>
      </c>
      <c r="F45" s="1" t="s">
        <v>523</v>
      </c>
      <c r="G45" s="1" t="s">
        <v>524</v>
      </c>
    </row>
    <row r="46" spans="2:30" ht="15" hidden="1" customHeight="1" x14ac:dyDescent="0.35">
      <c r="B46" s="1" t="s">
        <v>526</v>
      </c>
      <c r="C46" s="13" t="s">
        <v>827</v>
      </c>
      <c r="D46" s="1" t="s">
        <v>157</v>
      </c>
      <c r="E46" s="1" t="s">
        <v>528</v>
      </c>
      <c r="F46" s="1" t="s">
        <v>529</v>
      </c>
      <c r="G46" s="1" t="s">
        <v>530</v>
      </c>
    </row>
    <row r="47" spans="2:30" ht="15" hidden="1" customHeight="1" x14ac:dyDescent="0.35">
      <c r="B47" s="1" t="s">
        <v>531</v>
      </c>
      <c r="C47" s="13" t="s">
        <v>828</v>
      </c>
      <c r="D47" s="1" t="s">
        <v>533</v>
      </c>
      <c r="E47" s="1" t="s">
        <v>534</v>
      </c>
      <c r="F47" s="1" t="s">
        <v>535</v>
      </c>
      <c r="G47" s="1" t="s">
        <v>536</v>
      </c>
    </row>
    <row r="48" spans="2:30" ht="15" hidden="1" customHeight="1" x14ac:dyDescent="0.35">
      <c r="B48" s="1" t="s">
        <v>537</v>
      </c>
      <c r="C48" s="13" t="s">
        <v>825</v>
      </c>
      <c r="D48" s="1" t="s">
        <v>539</v>
      </c>
      <c r="E48" s="1" t="s">
        <v>150</v>
      </c>
      <c r="F48" s="1" t="s">
        <v>244</v>
      </c>
      <c r="G48" s="1" t="s">
        <v>384</v>
      </c>
    </row>
    <row r="49" spans="2:7" ht="15" hidden="1" customHeight="1" x14ac:dyDescent="0.35">
      <c r="B49" s="1" t="s">
        <v>540</v>
      </c>
      <c r="C49" s="13" t="s">
        <v>823</v>
      </c>
      <c r="D49" s="1" t="s">
        <v>542</v>
      </c>
      <c r="E49" s="1" t="s">
        <v>112</v>
      </c>
      <c r="F49" s="1" t="s">
        <v>543</v>
      </c>
      <c r="G49" s="1" t="s">
        <v>544</v>
      </c>
    </row>
    <row r="50" spans="2:7" ht="15" hidden="1" customHeight="1" x14ac:dyDescent="0.35">
      <c r="B50" s="1" t="s">
        <v>545</v>
      </c>
      <c r="C50" s="13" t="s">
        <v>821</v>
      </c>
      <c r="E50" s="1" t="s">
        <v>451</v>
      </c>
      <c r="F50" s="1" t="s">
        <v>547</v>
      </c>
      <c r="G50" s="1" t="s">
        <v>426</v>
      </c>
    </row>
    <row r="51" spans="2:7" ht="15" hidden="1" customHeight="1" x14ac:dyDescent="0.35">
      <c r="C51" s="13" t="s">
        <v>822</v>
      </c>
      <c r="E51" s="1" t="s">
        <v>123</v>
      </c>
      <c r="F51" s="1" t="s">
        <v>549</v>
      </c>
      <c r="G51" s="1" t="s">
        <v>97</v>
      </c>
    </row>
    <row r="52" spans="2:7" ht="15" hidden="1" customHeight="1" x14ac:dyDescent="0.35">
      <c r="C52" s="13" t="s">
        <v>824</v>
      </c>
      <c r="E52" s="1" t="s">
        <v>551</v>
      </c>
      <c r="F52" s="1" t="s">
        <v>552</v>
      </c>
      <c r="G52" s="1" t="s">
        <v>120</v>
      </c>
    </row>
    <row r="53" spans="2:7" ht="15" hidden="1" customHeight="1" x14ac:dyDescent="0.35">
      <c r="E53" s="1" t="s">
        <v>85</v>
      </c>
      <c r="F53" s="1" t="s">
        <v>553</v>
      </c>
      <c r="G53" s="1" t="s">
        <v>108</v>
      </c>
    </row>
    <row r="54" spans="2:7" ht="15" hidden="1" customHeight="1" x14ac:dyDescent="0.35">
      <c r="E54" s="1" t="s">
        <v>554</v>
      </c>
      <c r="F54" s="1" t="s">
        <v>555</v>
      </c>
      <c r="G54" s="1" t="s">
        <v>556</v>
      </c>
    </row>
    <row r="55" spans="2:7" ht="15" hidden="1" customHeight="1" x14ac:dyDescent="0.35">
      <c r="E55" s="1" t="s">
        <v>154</v>
      </c>
      <c r="G55" s="1" t="s">
        <v>557</v>
      </c>
    </row>
    <row r="56" spans="2:7" ht="15" hidden="1" customHeight="1" x14ac:dyDescent="0.35">
      <c r="E56" s="1" t="s">
        <v>558</v>
      </c>
      <c r="G56" s="1" t="s">
        <v>559</v>
      </c>
    </row>
    <row r="57" spans="2:7" ht="15" hidden="1" customHeight="1" x14ac:dyDescent="0.35">
      <c r="E57" s="1" t="s">
        <v>560</v>
      </c>
      <c r="G57" s="1" t="s">
        <v>561</v>
      </c>
    </row>
    <row r="58" spans="2:7" ht="15" hidden="1" customHeight="1" x14ac:dyDescent="0.35">
      <c r="E58" s="1" t="s">
        <v>107</v>
      </c>
      <c r="G58" s="1" t="s">
        <v>562</v>
      </c>
    </row>
    <row r="59" spans="2:7" ht="15" hidden="1" customHeight="1" x14ac:dyDescent="0.35">
      <c r="E59" s="1" t="s">
        <v>563</v>
      </c>
      <c r="G59" s="1" t="s">
        <v>564</v>
      </c>
    </row>
    <row r="60" spans="2:7" ht="15" hidden="1" customHeight="1" x14ac:dyDescent="0.35">
      <c r="E60" s="1" t="s">
        <v>565</v>
      </c>
      <c r="G60" s="1" t="s">
        <v>566</v>
      </c>
    </row>
    <row r="61" spans="2:7" ht="15" hidden="1" customHeight="1" x14ac:dyDescent="0.35">
      <c r="E61" s="1" t="s">
        <v>567</v>
      </c>
      <c r="G61" s="1" t="s">
        <v>568</v>
      </c>
    </row>
    <row r="62" spans="2:7" ht="15" hidden="1" customHeight="1" x14ac:dyDescent="0.35">
      <c r="G62" s="1" t="s">
        <v>569</v>
      </c>
    </row>
    <row r="63" spans="2:7" ht="15" hidden="1" customHeight="1" x14ac:dyDescent="0.35">
      <c r="G63" s="1" t="s">
        <v>570</v>
      </c>
    </row>
    <row r="64" spans="2:7" ht="15" hidden="1" customHeight="1" x14ac:dyDescent="0.35">
      <c r="G64" s="1" t="s">
        <v>571</v>
      </c>
    </row>
    <row r="65" spans="7:7" ht="15" hidden="1" customHeight="1" x14ac:dyDescent="0.35">
      <c r="G65" s="1" t="s">
        <v>572</v>
      </c>
    </row>
    <row r="66" spans="7:7" ht="15" hidden="1" customHeight="1" x14ac:dyDescent="0.35">
      <c r="G66" s="1" t="s">
        <v>573</v>
      </c>
    </row>
    <row r="67" spans="7:7" ht="15" hidden="1" customHeight="1" x14ac:dyDescent="0.35">
      <c r="G67" s="1" t="s">
        <v>574</v>
      </c>
    </row>
    <row r="68" spans="7:7" ht="15" hidden="1" customHeight="1" x14ac:dyDescent="0.35">
      <c r="G68" s="1" t="s">
        <v>575</v>
      </c>
    </row>
    <row r="69" spans="7:7" ht="15" hidden="1" customHeight="1" x14ac:dyDescent="0.35">
      <c r="G69" s="1" t="s">
        <v>576</v>
      </c>
    </row>
    <row r="70" spans="7:7" ht="15" hidden="1" customHeight="1" x14ac:dyDescent="0.35">
      <c r="G70" s="1" t="s">
        <v>577</v>
      </c>
    </row>
    <row r="71" spans="7:7" ht="15" hidden="1" customHeight="1" x14ac:dyDescent="0.35">
      <c r="G71" s="1" t="s">
        <v>578</v>
      </c>
    </row>
    <row r="72" spans="7:7" ht="15" hidden="1" customHeight="1" x14ac:dyDescent="0.35">
      <c r="G72" s="1" t="s">
        <v>579</v>
      </c>
    </row>
    <row r="73" spans="7:7" ht="15" hidden="1" customHeight="1" x14ac:dyDescent="0.35">
      <c r="G73" s="1" t="s">
        <v>580</v>
      </c>
    </row>
    <row r="74" spans="7:7" ht="15" hidden="1" customHeight="1" x14ac:dyDescent="0.35">
      <c r="G74" s="1" t="s">
        <v>581</v>
      </c>
    </row>
    <row r="75" spans="7:7" ht="15" hidden="1" customHeight="1" x14ac:dyDescent="0.35">
      <c r="G75" s="1" t="s">
        <v>582</v>
      </c>
    </row>
    <row r="76" spans="7:7" ht="15" hidden="1" customHeight="1" x14ac:dyDescent="0.35">
      <c r="G76" s="1" t="s">
        <v>124</v>
      </c>
    </row>
    <row r="77" spans="7:7" ht="15" hidden="1" customHeight="1" x14ac:dyDescent="0.35">
      <c r="G77" s="1" t="s">
        <v>583</v>
      </c>
    </row>
    <row r="78" spans="7:7" ht="15" hidden="1" customHeight="1" x14ac:dyDescent="0.35">
      <c r="G78" s="1" t="s">
        <v>584</v>
      </c>
    </row>
    <row r="79" spans="7:7" ht="15" hidden="1" customHeight="1" x14ac:dyDescent="0.35">
      <c r="G79" s="1" t="s">
        <v>585</v>
      </c>
    </row>
    <row r="80" spans="7:7" ht="15" hidden="1" customHeight="1" x14ac:dyDescent="0.35">
      <c r="G80" s="1" t="s">
        <v>586</v>
      </c>
    </row>
    <row r="81" spans="7:7" ht="15" hidden="1" customHeight="1" x14ac:dyDescent="0.35">
      <c r="G81" s="1" t="s">
        <v>87</v>
      </c>
    </row>
    <row r="82" spans="7:7" ht="15" hidden="1" customHeight="1" x14ac:dyDescent="0.35">
      <c r="G82" s="1" t="s">
        <v>587</v>
      </c>
    </row>
    <row r="83" spans="7:7" ht="15" hidden="1" customHeight="1" x14ac:dyDescent="0.35">
      <c r="G83" s="1" t="s">
        <v>588</v>
      </c>
    </row>
    <row r="84" spans="7:7" ht="15" hidden="1" customHeight="1" x14ac:dyDescent="0.35">
      <c r="G84" s="1" t="s">
        <v>261</v>
      </c>
    </row>
    <row r="85" spans="7:7" ht="15" hidden="1" customHeight="1" x14ac:dyDescent="0.35">
      <c r="G85" s="1" t="s">
        <v>589</v>
      </c>
    </row>
    <row r="86" spans="7:7" ht="15" hidden="1" customHeight="1" x14ac:dyDescent="0.35">
      <c r="G86" s="1" t="s">
        <v>590</v>
      </c>
    </row>
    <row r="87" spans="7:7" ht="15" hidden="1" customHeight="1" x14ac:dyDescent="0.35">
      <c r="G87" s="1" t="s">
        <v>591</v>
      </c>
    </row>
    <row r="88" spans="7:7" ht="15" hidden="1" customHeight="1" x14ac:dyDescent="0.35">
      <c r="G88" s="1" t="s">
        <v>592</v>
      </c>
    </row>
    <row r="89" spans="7:7" ht="15" hidden="1" customHeight="1" x14ac:dyDescent="0.35">
      <c r="G89" s="1" t="s">
        <v>593</v>
      </c>
    </row>
    <row r="90" spans="7:7" ht="15" hidden="1" customHeight="1" x14ac:dyDescent="0.35">
      <c r="G90" s="1" t="s">
        <v>594</v>
      </c>
    </row>
    <row r="91" spans="7:7" ht="15" hidden="1" customHeight="1" x14ac:dyDescent="0.35">
      <c r="G91" s="1" t="s">
        <v>595</v>
      </c>
    </row>
    <row r="92" spans="7:7" ht="15" hidden="1" customHeight="1" x14ac:dyDescent="0.35">
      <c r="G92" s="1" t="s">
        <v>596</v>
      </c>
    </row>
    <row r="93" spans="7:7" ht="15" hidden="1" customHeight="1" x14ac:dyDescent="0.35">
      <c r="G93" s="1" t="s">
        <v>597</v>
      </c>
    </row>
    <row r="94" spans="7:7" ht="15" hidden="1" customHeight="1" x14ac:dyDescent="0.35">
      <c r="G94" s="1" t="s">
        <v>259</v>
      </c>
    </row>
    <row r="95" spans="7:7" ht="15" hidden="1" customHeight="1" x14ac:dyDescent="0.35">
      <c r="G95" s="1" t="s">
        <v>39</v>
      </c>
    </row>
    <row r="96" spans="7:7" ht="15" hidden="1" customHeight="1" x14ac:dyDescent="0.35">
      <c r="G96" s="1" t="s">
        <v>153</v>
      </c>
    </row>
    <row r="97" spans="7:7" ht="15" hidden="1" customHeight="1" x14ac:dyDescent="0.35">
      <c r="G97" s="1" t="s">
        <v>598</v>
      </c>
    </row>
    <row r="98" spans="7:7" ht="15" hidden="1" customHeight="1" x14ac:dyDescent="0.35">
      <c r="G98" s="1" t="s">
        <v>599</v>
      </c>
    </row>
    <row r="99" spans="7:7" ht="15" hidden="1" customHeight="1" x14ac:dyDescent="0.35">
      <c r="G99" s="1" t="s">
        <v>600</v>
      </c>
    </row>
    <row r="100" spans="7:7" ht="15" hidden="1" customHeight="1" x14ac:dyDescent="0.35">
      <c r="G100" s="1" t="s">
        <v>601</v>
      </c>
    </row>
    <row r="101" spans="7:7" ht="15" hidden="1" customHeight="1" x14ac:dyDescent="0.35">
      <c r="G101" s="1" t="s">
        <v>602</v>
      </c>
    </row>
    <row r="102" spans="7:7" ht="15" hidden="1" customHeight="1" x14ac:dyDescent="0.35">
      <c r="G102" s="1" t="s">
        <v>603</v>
      </c>
    </row>
  </sheetData>
  <sheetProtection formatCells="0" formatColumns="0" formatRows="0" insertColumns="0" insertRows="0" insertHyperlinks="0" deleteColumns="0" deleteRows="0" sort="0" autoFilter="0" pivotTables="0"/>
  <mergeCells count="126">
    <mergeCell ref="B41:B42"/>
    <mergeCell ref="C41:C42"/>
    <mergeCell ref="D41:D42"/>
    <mergeCell ref="E41:E42"/>
    <mergeCell ref="F41:F42"/>
    <mergeCell ref="G41:G42"/>
    <mergeCell ref="H36:I36"/>
    <mergeCell ref="H37:I37"/>
    <mergeCell ref="H38:I38"/>
    <mergeCell ref="AH16:AH17"/>
    <mergeCell ref="M16:M17"/>
    <mergeCell ref="N16:N17"/>
    <mergeCell ref="AG14:AG15"/>
    <mergeCell ref="AH14:AH15"/>
    <mergeCell ref="L14:L15"/>
    <mergeCell ref="M14:M15"/>
    <mergeCell ref="N14:N15"/>
    <mergeCell ref="AE14:AE15"/>
    <mergeCell ref="AF14:AF15"/>
    <mergeCell ref="I29:J29"/>
    <mergeCell ref="I30:J30"/>
    <mergeCell ref="I31:J31"/>
    <mergeCell ref="I32:J32"/>
    <mergeCell ref="I33:J33"/>
    <mergeCell ref="I34:J34"/>
    <mergeCell ref="AE16:AE17"/>
    <mergeCell ref="AF16:AF17"/>
    <mergeCell ref="AG16:AG17"/>
    <mergeCell ref="D21:E21"/>
    <mergeCell ref="H21:H24"/>
    <mergeCell ref="D22:E22"/>
    <mergeCell ref="H25:H28"/>
    <mergeCell ref="AG18:AG19"/>
    <mergeCell ref="AH18:AH19"/>
    <mergeCell ref="L18:L19"/>
    <mergeCell ref="M18:M19"/>
    <mergeCell ref="N18:N19"/>
    <mergeCell ref="AE18:AE19"/>
    <mergeCell ref="AF18:AF19"/>
    <mergeCell ref="F18:F19"/>
    <mergeCell ref="G18:G19"/>
    <mergeCell ref="H18:H19"/>
    <mergeCell ref="I18:I19"/>
    <mergeCell ref="J18:J19"/>
    <mergeCell ref="K18:K19"/>
    <mergeCell ref="A18:A19"/>
    <mergeCell ref="B18:B19"/>
    <mergeCell ref="C18:C19"/>
    <mergeCell ref="D18:D19"/>
    <mergeCell ref="E18:E19"/>
    <mergeCell ref="I16:I17"/>
    <mergeCell ref="J16:J17"/>
    <mergeCell ref="K16:K17"/>
    <mergeCell ref="L16:L17"/>
    <mergeCell ref="A16:A17"/>
    <mergeCell ref="B16:B17"/>
    <mergeCell ref="C16:C17"/>
    <mergeCell ref="D16:D17"/>
    <mergeCell ref="E16:E17"/>
    <mergeCell ref="F16:F17"/>
    <mergeCell ref="G16:G17"/>
    <mergeCell ref="H16:H17"/>
    <mergeCell ref="F14:F15"/>
    <mergeCell ref="G14:G15"/>
    <mergeCell ref="H14:H15"/>
    <mergeCell ref="I14:I15"/>
    <mergeCell ref="J14:J15"/>
    <mergeCell ref="K14:K15"/>
    <mergeCell ref="AD12:AD13"/>
    <mergeCell ref="AE12:AE13"/>
    <mergeCell ref="AF12:AF13"/>
    <mergeCell ref="G12:G13"/>
    <mergeCell ref="H12:H13"/>
    <mergeCell ref="I12:I13"/>
    <mergeCell ref="J12:J13"/>
    <mergeCell ref="K12:K13"/>
    <mergeCell ref="L12:L13"/>
    <mergeCell ref="AB12:AB13"/>
    <mergeCell ref="AC12:AC13"/>
    <mergeCell ref="A14:A15"/>
    <mergeCell ref="B14:B15"/>
    <mergeCell ref="C14:C15"/>
    <mergeCell ref="D14:D15"/>
    <mergeCell ref="E14:E15"/>
    <mergeCell ref="X12:X13"/>
    <mergeCell ref="Y12:Y13"/>
    <mergeCell ref="Z12:Z13"/>
    <mergeCell ref="AA12:AA13"/>
    <mergeCell ref="R12:R13"/>
    <mergeCell ref="S12:S13"/>
    <mergeCell ref="T12:T13"/>
    <mergeCell ref="U12:U13"/>
    <mergeCell ref="V12:V13"/>
    <mergeCell ref="W12:W13"/>
    <mergeCell ref="M12:M13"/>
    <mergeCell ref="N12:N13"/>
    <mergeCell ref="O12:O13"/>
    <mergeCell ref="P12:P13"/>
    <mergeCell ref="Q12:Q13"/>
    <mergeCell ref="A12:A13"/>
    <mergeCell ref="B12:B13"/>
    <mergeCell ref="C12:C13"/>
    <mergeCell ref="D12:D13"/>
    <mergeCell ref="E12:E13"/>
    <mergeCell ref="F12:F13"/>
    <mergeCell ref="A11:F11"/>
    <mergeCell ref="G11:N11"/>
    <mergeCell ref="O11:AD11"/>
    <mergeCell ref="AE11:AH11"/>
    <mergeCell ref="K6:L10"/>
    <mergeCell ref="M6:M10"/>
    <mergeCell ref="A1:C3"/>
    <mergeCell ref="D1:AH3"/>
    <mergeCell ref="A4:A5"/>
    <mergeCell ref="G4:G5"/>
    <mergeCell ref="A6:B10"/>
    <mergeCell ref="C6:D10"/>
    <mergeCell ref="E6:F10"/>
    <mergeCell ref="G6:G10"/>
    <mergeCell ref="H6:I10"/>
    <mergeCell ref="J6:J10"/>
    <mergeCell ref="N6:O10"/>
    <mergeCell ref="P6:Q10"/>
    <mergeCell ref="R6:AH10"/>
    <mergeCell ref="AG12:AG13"/>
    <mergeCell ref="AH12:AH13"/>
  </mergeCells>
  <conditionalFormatting sqref="I4">
    <cfRule type="cellIs" dxfId="31" priority="16" operator="lessThanOrEqual">
      <formula>$C$4</formula>
    </cfRule>
  </conditionalFormatting>
  <conditionalFormatting sqref="J6">
    <cfRule type="cellIs" dxfId="30" priority="17" operator="greaterThanOrEqual">
      <formula>$C$5</formula>
    </cfRule>
    <cfRule type="cellIs" dxfId="29" priority="18" operator="lessThanOrEqual">
      <formula>$C$4</formula>
    </cfRule>
    <cfRule type="cellIs" dxfId="28" priority="19" operator="between">
      <formula>$C$5</formula>
      <formula>$C$4</formula>
    </cfRule>
  </conditionalFormatting>
  <conditionalFormatting sqref="P6">
    <cfRule type="cellIs" dxfId="27" priority="13" operator="greaterThanOrEqual">
      <formula>$I$5</formula>
    </cfRule>
    <cfRule type="cellIs" dxfId="26" priority="14" operator="lessThanOrEqual">
      <formula>$I$4</formula>
    </cfRule>
    <cfRule type="cellIs" dxfId="25" priority="15" operator="between">
      <formula>$I$5</formula>
      <formula>$I$4</formula>
    </cfRule>
  </conditionalFormatting>
  <conditionalFormatting sqref="Q14:Q19">
    <cfRule type="cellIs" dxfId="24" priority="10" operator="greaterThanOrEqual">
      <formula>$C$5</formula>
    </cfRule>
    <cfRule type="cellIs" dxfId="23" priority="11" operator="lessThanOrEqual">
      <formula>$C$4</formula>
    </cfRule>
    <cfRule type="cellIs" dxfId="22" priority="12" operator="between">
      <formula>$C$5</formula>
      <formula>$C$4</formula>
    </cfRule>
  </conditionalFormatting>
  <conditionalFormatting sqref="S29:S32 W29:W32 O29:O34 AA29:AA34 K30:N30 P30:R30 T30:V30 X30:Z30 AB30:AD30 J38">
    <cfRule type="cellIs" dxfId="21" priority="20" operator="greaterThanOrEqual">
      <formula>$D$9</formula>
    </cfRule>
    <cfRule type="cellIs" dxfId="20" priority="21" operator="lessThanOrEqual">
      <formula>$C$6</formula>
    </cfRule>
    <cfRule type="cellIs" dxfId="19" priority="22" operator="between">
      <formula>$C$6</formula>
      <formula>$D$9</formula>
    </cfRule>
  </conditionalFormatting>
  <dataValidations count="5">
    <dataValidation allowBlank="1" showErrorMessage="1" sqref="Q14:Q19" xr:uid="{7DBB4879-4A50-4400-ACD4-E8C31B46AD77}"/>
    <dataValidation type="decimal" allowBlank="1" showInputMessage="1" showErrorMessage="1" prompt="campo calculado  - indica el % de avance  que aporta la activadad a todo el proyecto" sqref="P15 P17 P19" xr:uid="{0E37F844-6869-4CB4-A633-BBAA56289DCA}">
      <formula1>0</formula1>
      <formula2>1</formula2>
    </dataValidation>
    <dataValidation type="decimal" allowBlank="1" showInputMessage="1" showErrorMessage="1" prompt="valor porcentual de la activida - Indique el peso porcentual de la actividad dentro del proyecto" sqref="P14 P16 P18" xr:uid="{DF278D53-5715-47CE-86C8-7D225D755835}">
      <formula1>0</formula1>
      <formula2>1</formula2>
    </dataValidation>
    <dataValidation type="decimal" allowBlank="1" showInputMessage="1" showErrorMessage="1" prompt="% de avance en la actividad - indique el % programado de avance durante esta semana_x000a_" sqref="R14:AD19" xr:uid="{E4C01763-5DAD-4C29-8998-DAF85B933DC9}">
      <formula1>0</formula1>
      <formula2>1</formula2>
    </dataValidation>
    <dataValidation type="list" allowBlank="1" showInputMessage="1" showErrorMessage="1" sqref="D14:D19" xr:uid="{E2FAE76B-1774-476F-A95F-0E044D86F82A}">
      <formula1>$D$40:$D$46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I500"/>
  <sheetViews>
    <sheetView workbookViewId="0"/>
  </sheetViews>
  <sheetFormatPr baseColWidth="10" defaultColWidth="12.54296875" defaultRowHeight="15" customHeight="1" x14ac:dyDescent="0.35"/>
  <cols>
    <col min="1" max="5" width="9.453125" customWidth="1"/>
    <col min="6" max="6" width="58.26953125" customWidth="1"/>
    <col min="7" max="13" width="9.453125" customWidth="1"/>
  </cols>
  <sheetData>
    <row r="1" spans="3:9" ht="45" customHeight="1" x14ac:dyDescent="0.35"/>
    <row r="2" spans="3:9" ht="45" customHeight="1" x14ac:dyDescent="0.35"/>
    <row r="3" spans="3:9" ht="45" customHeight="1" x14ac:dyDescent="0.35">
      <c r="C3" t="s">
        <v>464</v>
      </c>
    </row>
    <row r="4" spans="3:9" ht="45" customHeight="1" x14ac:dyDescent="0.35">
      <c r="C4" t="s">
        <v>465</v>
      </c>
      <c r="D4" t="s">
        <v>465</v>
      </c>
      <c r="F4" s="2" t="s">
        <v>466</v>
      </c>
      <c r="I4" s="3" t="s">
        <v>467</v>
      </c>
    </row>
    <row r="5" spans="3:9" ht="45" customHeight="1" x14ac:dyDescent="0.35">
      <c r="C5" t="s">
        <v>468</v>
      </c>
      <c r="D5" t="s">
        <v>468</v>
      </c>
      <c r="F5" s="2" t="s">
        <v>469</v>
      </c>
      <c r="I5" s="4" t="s">
        <v>470</v>
      </c>
    </row>
    <row r="6" spans="3:9" ht="45" customHeight="1" x14ac:dyDescent="0.35">
      <c r="C6" t="s">
        <v>471</v>
      </c>
      <c r="D6" t="s">
        <v>465</v>
      </c>
      <c r="F6" s="2" t="s">
        <v>472</v>
      </c>
      <c r="I6" s="5" t="s">
        <v>473</v>
      </c>
    </row>
    <row r="7" spans="3:9" ht="45" customHeight="1" x14ac:dyDescent="0.35">
      <c r="F7" s="2" t="s">
        <v>474</v>
      </c>
      <c r="I7" s="5" t="s">
        <v>475</v>
      </c>
    </row>
    <row r="8" spans="3:9" ht="45" customHeight="1" x14ac:dyDescent="0.35">
      <c r="F8" s="2" t="s">
        <v>476</v>
      </c>
      <c r="I8" s="4" t="s">
        <v>477</v>
      </c>
    </row>
    <row r="9" spans="3:9" ht="45" customHeight="1" x14ac:dyDescent="0.35">
      <c r="F9" s="2" t="s">
        <v>478</v>
      </c>
      <c r="I9" s="6" t="s">
        <v>479</v>
      </c>
    </row>
    <row r="10" spans="3:9" ht="45" customHeight="1" x14ac:dyDescent="0.35">
      <c r="F10" s="2" t="s">
        <v>480</v>
      </c>
      <c r="I10" s="7" t="s">
        <v>481</v>
      </c>
    </row>
    <row r="11" spans="3:9" ht="45" customHeight="1" x14ac:dyDescent="0.35">
      <c r="F11" s="2" t="s">
        <v>482</v>
      </c>
      <c r="I11" s="5" t="s">
        <v>483</v>
      </c>
    </row>
    <row r="12" spans="3:9" ht="45" customHeight="1" x14ac:dyDescent="0.35">
      <c r="I12" s="4" t="s">
        <v>484</v>
      </c>
    </row>
    <row r="13" spans="3:9" ht="45" customHeight="1" x14ac:dyDescent="0.35">
      <c r="I13" s="5" t="s">
        <v>485</v>
      </c>
    </row>
    <row r="14" spans="3:9" ht="45" customHeight="1" x14ac:dyDescent="0.35"/>
    <row r="15" spans="3:9" ht="45" customHeight="1" x14ac:dyDescent="0.35"/>
    <row r="16" spans="3:9" ht="45" customHeight="1" x14ac:dyDescent="0.35"/>
    <row r="17" ht="45" customHeight="1" x14ac:dyDescent="0.35"/>
    <row r="18" ht="45" customHeight="1" x14ac:dyDescent="0.35"/>
    <row r="19" ht="45" customHeight="1" x14ac:dyDescent="0.35"/>
    <row r="20" ht="45" customHeight="1" x14ac:dyDescent="0.35"/>
    <row r="21" ht="45" customHeight="1" x14ac:dyDescent="0.35"/>
    <row r="22" ht="45" customHeight="1" x14ac:dyDescent="0.35"/>
    <row r="23" ht="45" customHeight="1" x14ac:dyDescent="0.35"/>
    <row r="24" ht="45" customHeight="1" x14ac:dyDescent="0.35"/>
    <row r="25" ht="45" customHeight="1" x14ac:dyDescent="0.35"/>
    <row r="26" ht="45" customHeight="1" x14ac:dyDescent="0.35"/>
    <row r="27" ht="45" customHeight="1" x14ac:dyDescent="0.35"/>
    <row r="28" ht="45" customHeight="1" x14ac:dyDescent="0.35"/>
    <row r="29" ht="45" customHeight="1" x14ac:dyDescent="0.35"/>
    <row r="30" ht="45" customHeight="1" x14ac:dyDescent="0.35"/>
    <row r="31" ht="45" customHeight="1" x14ac:dyDescent="0.35"/>
    <row r="32" ht="45" customHeight="1" x14ac:dyDescent="0.35"/>
    <row r="33" ht="45" customHeight="1" x14ac:dyDescent="0.35"/>
    <row r="34" ht="45" customHeight="1" x14ac:dyDescent="0.35"/>
    <row r="35" ht="45" customHeight="1" x14ac:dyDescent="0.35"/>
    <row r="36" ht="45" customHeight="1" x14ac:dyDescent="0.35"/>
    <row r="37" ht="45" customHeight="1" x14ac:dyDescent="0.35"/>
    <row r="38" ht="45" customHeight="1" x14ac:dyDescent="0.35"/>
    <row r="39" ht="45" customHeight="1" x14ac:dyDescent="0.35"/>
    <row r="40" ht="45" customHeight="1" x14ac:dyDescent="0.35"/>
    <row r="41" ht="45" customHeight="1" x14ac:dyDescent="0.35"/>
    <row r="42" ht="45" customHeight="1" x14ac:dyDescent="0.35"/>
    <row r="43" ht="45" customHeight="1" x14ac:dyDescent="0.35"/>
    <row r="44" ht="45" customHeight="1" x14ac:dyDescent="0.35"/>
    <row r="45" ht="45" customHeight="1" x14ac:dyDescent="0.35"/>
    <row r="46" ht="45" customHeight="1" x14ac:dyDescent="0.35"/>
    <row r="47" ht="45" customHeight="1" x14ac:dyDescent="0.35"/>
    <row r="48" ht="45" customHeight="1" x14ac:dyDescent="0.35"/>
    <row r="49" ht="45" customHeight="1" x14ac:dyDescent="0.35"/>
    <row r="50" ht="45" customHeight="1" x14ac:dyDescent="0.35"/>
    <row r="51" ht="45" customHeight="1" x14ac:dyDescent="0.35"/>
    <row r="52" ht="45" customHeight="1" x14ac:dyDescent="0.35"/>
    <row r="53" ht="45" customHeight="1" x14ac:dyDescent="0.35"/>
    <row r="54" ht="45" customHeight="1" x14ac:dyDescent="0.35"/>
    <row r="55" ht="45" customHeight="1" x14ac:dyDescent="0.35"/>
    <row r="56" ht="45" customHeight="1" x14ac:dyDescent="0.35"/>
    <row r="57" ht="45" customHeight="1" x14ac:dyDescent="0.35"/>
    <row r="58" ht="45" customHeight="1" x14ac:dyDescent="0.35"/>
    <row r="59" ht="45" customHeight="1" x14ac:dyDescent="0.35"/>
    <row r="60" ht="45" customHeight="1" x14ac:dyDescent="0.35"/>
    <row r="61" ht="45" customHeight="1" x14ac:dyDescent="0.35"/>
    <row r="62" ht="45" customHeight="1" x14ac:dyDescent="0.35"/>
    <row r="63" ht="45" customHeight="1" x14ac:dyDescent="0.35"/>
    <row r="64" ht="45" customHeight="1" x14ac:dyDescent="0.35"/>
    <row r="65" ht="45" customHeight="1" x14ac:dyDescent="0.35"/>
    <row r="66" ht="45" customHeight="1" x14ac:dyDescent="0.35"/>
    <row r="67" ht="45" customHeight="1" x14ac:dyDescent="0.35"/>
    <row r="68" ht="45" customHeight="1" x14ac:dyDescent="0.35"/>
    <row r="69" ht="45" customHeight="1" x14ac:dyDescent="0.35"/>
    <row r="70" ht="45" customHeight="1" x14ac:dyDescent="0.35"/>
    <row r="71" ht="45" customHeight="1" x14ac:dyDescent="0.35"/>
    <row r="72" ht="45" customHeight="1" x14ac:dyDescent="0.35"/>
    <row r="73" ht="45" customHeight="1" x14ac:dyDescent="0.35"/>
    <row r="74" ht="45" customHeight="1" x14ac:dyDescent="0.35"/>
    <row r="75" ht="45" customHeight="1" x14ac:dyDescent="0.35"/>
    <row r="76" ht="45" customHeight="1" x14ac:dyDescent="0.35"/>
    <row r="77" ht="45" customHeight="1" x14ac:dyDescent="0.35"/>
    <row r="78" ht="45" customHeight="1" x14ac:dyDescent="0.35"/>
    <row r="79" ht="45" customHeight="1" x14ac:dyDescent="0.35"/>
    <row r="80" ht="45" customHeight="1" x14ac:dyDescent="0.35"/>
    <row r="81" ht="45" customHeight="1" x14ac:dyDescent="0.35"/>
    <row r="82" ht="45" customHeight="1" x14ac:dyDescent="0.35"/>
    <row r="83" ht="45" customHeight="1" x14ac:dyDescent="0.35"/>
    <row r="84" ht="45" customHeight="1" x14ac:dyDescent="0.35"/>
    <row r="85" ht="45" customHeight="1" x14ac:dyDescent="0.35"/>
    <row r="86" ht="45" customHeight="1" x14ac:dyDescent="0.35"/>
    <row r="87" ht="45" customHeight="1" x14ac:dyDescent="0.35"/>
    <row r="88" ht="45" customHeight="1" x14ac:dyDescent="0.35"/>
    <row r="89" ht="45" customHeight="1" x14ac:dyDescent="0.35"/>
    <row r="90" ht="45" customHeight="1" x14ac:dyDescent="0.35"/>
    <row r="91" ht="45" customHeight="1" x14ac:dyDescent="0.35"/>
    <row r="92" ht="45" customHeight="1" x14ac:dyDescent="0.35"/>
    <row r="93" ht="45" customHeight="1" x14ac:dyDescent="0.35"/>
    <row r="94" ht="45" customHeight="1" x14ac:dyDescent="0.35"/>
    <row r="95" ht="45" customHeight="1" x14ac:dyDescent="0.35"/>
    <row r="96" ht="45" customHeight="1" x14ac:dyDescent="0.35"/>
    <row r="97" ht="45" customHeight="1" x14ac:dyDescent="0.35"/>
    <row r="98" ht="45" customHeight="1" x14ac:dyDescent="0.35"/>
    <row r="99" ht="45" customHeight="1" x14ac:dyDescent="0.35"/>
    <row r="100" ht="45" customHeight="1" x14ac:dyDescent="0.35"/>
    <row r="101" ht="45" customHeight="1" x14ac:dyDescent="0.35"/>
    <row r="102" ht="45" customHeight="1" x14ac:dyDescent="0.35"/>
    <row r="103" ht="45" customHeight="1" x14ac:dyDescent="0.35"/>
    <row r="104" ht="45" customHeight="1" x14ac:dyDescent="0.35"/>
    <row r="105" ht="45" customHeight="1" x14ac:dyDescent="0.35"/>
    <row r="106" ht="45" customHeight="1" x14ac:dyDescent="0.35"/>
    <row r="107" ht="45" customHeight="1" x14ac:dyDescent="0.35"/>
    <row r="108" ht="45" customHeight="1" x14ac:dyDescent="0.35"/>
    <row r="109" ht="45" customHeight="1" x14ac:dyDescent="0.35"/>
    <row r="110" ht="45" customHeight="1" x14ac:dyDescent="0.35"/>
    <row r="111" ht="45" customHeight="1" x14ac:dyDescent="0.35"/>
    <row r="112" ht="45" customHeight="1" x14ac:dyDescent="0.35"/>
    <row r="113" ht="45" customHeight="1" x14ac:dyDescent="0.35"/>
    <row r="114" ht="45" customHeight="1" x14ac:dyDescent="0.35"/>
    <row r="115" ht="45" customHeight="1" x14ac:dyDescent="0.35"/>
    <row r="116" ht="45" customHeight="1" x14ac:dyDescent="0.35"/>
    <row r="117" ht="45" customHeight="1" x14ac:dyDescent="0.35"/>
    <row r="118" ht="45" customHeight="1" x14ac:dyDescent="0.35"/>
    <row r="119" ht="45" customHeight="1" x14ac:dyDescent="0.35"/>
    <row r="120" ht="45" customHeight="1" x14ac:dyDescent="0.35"/>
    <row r="121" ht="45" customHeight="1" x14ac:dyDescent="0.35"/>
    <row r="122" ht="45" customHeight="1" x14ac:dyDescent="0.35"/>
    <row r="123" ht="45" customHeight="1" x14ac:dyDescent="0.35"/>
    <row r="124" ht="45" customHeight="1" x14ac:dyDescent="0.35"/>
    <row r="125" ht="45" customHeight="1" x14ac:dyDescent="0.35"/>
    <row r="126" ht="45" customHeight="1" x14ac:dyDescent="0.35"/>
    <row r="127" ht="45" customHeight="1" x14ac:dyDescent="0.35"/>
    <row r="128" ht="45" customHeight="1" x14ac:dyDescent="0.35"/>
    <row r="129" ht="45" customHeight="1" x14ac:dyDescent="0.35"/>
    <row r="130" ht="45" customHeight="1" x14ac:dyDescent="0.35"/>
    <row r="131" ht="45" customHeight="1" x14ac:dyDescent="0.35"/>
    <row r="132" ht="45" customHeight="1" x14ac:dyDescent="0.35"/>
    <row r="133" ht="45" customHeight="1" x14ac:dyDescent="0.35"/>
    <row r="134" ht="45" customHeight="1" x14ac:dyDescent="0.35"/>
    <row r="135" ht="45" customHeight="1" x14ac:dyDescent="0.35"/>
    <row r="136" ht="45" customHeight="1" x14ac:dyDescent="0.35"/>
    <row r="137" ht="45" customHeight="1" x14ac:dyDescent="0.35"/>
    <row r="138" ht="45" customHeight="1" x14ac:dyDescent="0.35"/>
    <row r="139" ht="45" customHeight="1" x14ac:dyDescent="0.35"/>
    <row r="140" ht="45" customHeight="1" x14ac:dyDescent="0.35"/>
    <row r="141" ht="45" customHeight="1" x14ac:dyDescent="0.35"/>
    <row r="142" ht="45" customHeight="1" x14ac:dyDescent="0.35"/>
    <row r="143" ht="45" customHeight="1" x14ac:dyDescent="0.35"/>
    <row r="144" ht="45" customHeight="1" x14ac:dyDescent="0.35"/>
    <row r="145" ht="45" customHeight="1" x14ac:dyDescent="0.35"/>
    <row r="146" ht="45" customHeight="1" x14ac:dyDescent="0.35"/>
    <row r="147" ht="45" customHeight="1" x14ac:dyDescent="0.35"/>
    <row r="148" ht="45" customHeight="1" x14ac:dyDescent="0.35"/>
    <row r="149" ht="45" customHeight="1" x14ac:dyDescent="0.35"/>
    <row r="150" ht="45" customHeight="1" x14ac:dyDescent="0.35"/>
    <row r="151" ht="45" customHeight="1" x14ac:dyDescent="0.35"/>
    <row r="152" ht="45" customHeight="1" x14ac:dyDescent="0.35"/>
    <row r="153" ht="45" customHeight="1" x14ac:dyDescent="0.35"/>
    <row r="154" ht="45" customHeight="1" x14ac:dyDescent="0.35"/>
    <row r="155" ht="45" customHeight="1" x14ac:dyDescent="0.35"/>
    <row r="156" ht="45" customHeight="1" x14ac:dyDescent="0.35"/>
    <row r="157" ht="45" customHeight="1" x14ac:dyDescent="0.35"/>
    <row r="158" ht="45" customHeight="1" x14ac:dyDescent="0.35"/>
    <row r="159" ht="45" customHeight="1" x14ac:dyDescent="0.35"/>
    <row r="160" ht="45" customHeight="1" x14ac:dyDescent="0.35"/>
    <row r="161" ht="45" customHeight="1" x14ac:dyDescent="0.35"/>
    <row r="162" ht="45" customHeight="1" x14ac:dyDescent="0.35"/>
    <row r="163" ht="45" customHeight="1" x14ac:dyDescent="0.35"/>
    <row r="164" ht="45" customHeight="1" x14ac:dyDescent="0.35"/>
    <row r="165" ht="45" customHeight="1" x14ac:dyDescent="0.35"/>
    <row r="166" ht="45" customHeight="1" x14ac:dyDescent="0.35"/>
    <row r="167" ht="45" customHeight="1" x14ac:dyDescent="0.35"/>
    <row r="168" ht="45" customHeight="1" x14ac:dyDescent="0.35"/>
    <row r="169" ht="45" customHeight="1" x14ac:dyDescent="0.35"/>
    <row r="170" ht="45" customHeight="1" x14ac:dyDescent="0.35"/>
    <row r="171" ht="45" customHeight="1" x14ac:dyDescent="0.35"/>
    <row r="172" ht="45" customHeight="1" x14ac:dyDescent="0.35"/>
    <row r="173" ht="45" customHeight="1" x14ac:dyDescent="0.35"/>
    <row r="174" ht="45" customHeight="1" x14ac:dyDescent="0.35"/>
    <row r="175" ht="45" customHeight="1" x14ac:dyDescent="0.35"/>
    <row r="176" ht="45" customHeight="1" x14ac:dyDescent="0.35"/>
    <row r="177" ht="45" customHeight="1" x14ac:dyDescent="0.35"/>
    <row r="178" ht="45" customHeight="1" x14ac:dyDescent="0.35"/>
    <row r="179" ht="45" customHeight="1" x14ac:dyDescent="0.35"/>
    <row r="180" ht="45" customHeight="1" x14ac:dyDescent="0.35"/>
    <row r="181" ht="45" customHeight="1" x14ac:dyDescent="0.35"/>
    <row r="182" ht="45" customHeight="1" x14ac:dyDescent="0.35"/>
    <row r="183" ht="45" customHeight="1" x14ac:dyDescent="0.35"/>
    <row r="184" ht="45" customHeight="1" x14ac:dyDescent="0.35"/>
    <row r="185" ht="45" customHeight="1" x14ac:dyDescent="0.35"/>
    <row r="186" ht="45" customHeight="1" x14ac:dyDescent="0.35"/>
    <row r="187" ht="45" customHeight="1" x14ac:dyDescent="0.35"/>
    <row r="188" ht="45" customHeight="1" x14ac:dyDescent="0.35"/>
    <row r="189" ht="45" customHeight="1" x14ac:dyDescent="0.35"/>
    <row r="190" ht="45" customHeight="1" x14ac:dyDescent="0.35"/>
    <row r="191" ht="45" customHeight="1" x14ac:dyDescent="0.35"/>
    <row r="192" ht="45" customHeight="1" x14ac:dyDescent="0.35"/>
    <row r="193" ht="45" customHeight="1" x14ac:dyDescent="0.35"/>
    <row r="194" ht="45" customHeight="1" x14ac:dyDescent="0.35"/>
    <row r="195" ht="45" customHeight="1" x14ac:dyDescent="0.35"/>
    <row r="196" ht="45" customHeight="1" x14ac:dyDescent="0.35"/>
    <row r="197" ht="45" customHeight="1" x14ac:dyDescent="0.35"/>
    <row r="198" ht="45" customHeight="1" x14ac:dyDescent="0.35"/>
    <row r="199" ht="45" customHeight="1" x14ac:dyDescent="0.35"/>
    <row r="200" ht="45" customHeight="1" x14ac:dyDescent="0.35"/>
    <row r="201" ht="45" customHeight="1" x14ac:dyDescent="0.35"/>
    <row r="202" ht="45" customHeight="1" x14ac:dyDescent="0.35"/>
    <row r="203" ht="45" customHeight="1" x14ac:dyDescent="0.35"/>
    <row r="204" ht="45" customHeight="1" x14ac:dyDescent="0.35"/>
    <row r="205" ht="45" customHeight="1" x14ac:dyDescent="0.35"/>
    <row r="206" ht="45" customHeight="1" x14ac:dyDescent="0.35"/>
    <row r="207" ht="45" customHeight="1" x14ac:dyDescent="0.35"/>
    <row r="208" ht="45" customHeight="1" x14ac:dyDescent="0.35"/>
    <row r="209" ht="45" customHeight="1" x14ac:dyDescent="0.35"/>
    <row r="210" ht="45" customHeight="1" x14ac:dyDescent="0.35"/>
    <row r="211" ht="45" customHeight="1" x14ac:dyDescent="0.35"/>
    <row r="212" ht="45" customHeight="1" x14ac:dyDescent="0.35"/>
    <row r="213" ht="45" customHeight="1" x14ac:dyDescent="0.35"/>
    <row r="214" ht="45" customHeight="1" x14ac:dyDescent="0.35"/>
    <row r="215" ht="45" customHeight="1" x14ac:dyDescent="0.35"/>
    <row r="216" ht="45" customHeight="1" x14ac:dyDescent="0.35"/>
    <row r="217" ht="45" customHeight="1" x14ac:dyDescent="0.35"/>
    <row r="218" ht="45" customHeight="1" x14ac:dyDescent="0.35"/>
    <row r="219" ht="45" customHeight="1" x14ac:dyDescent="0.35"/>
    <row r="220" ht="45" customHeight="1" x14ac:dyDescent="0.35"/>
    <row r="221" ht="45" customHeight="1" x14ac:dyDescent="0.35"/>
    <row r="222" ht="45" customHeight="1" x14ac:dyDescent="0.35"/>
    <row r="223" ht="45" customHeight="1" x14ac:dyDescent="0.35"/>
    <row r="224" ht="45" customHeight="1" x14ac:dyDescent="0.35"/>
    <row r="225" ht="45" customHeight="1" x14ac:dyDescent="0.35"/>
    <row r="226" ht="45" customHeight="1" x14ac:dyDescent="0.35"/>
    <row r="227" ht="45" customHeight="1" x14ac:dyDescent="0.35"/>
    <row r="228" ht="45" customHeight="1" x14ac:dyDescent="0.35"/>
    <row r="229" ht="45" customHeight="1" x14ac:dyDescent="0.35"/>
    <row r="230" ht="45" customHeight="1" x14ac:dyDescent="0.35"/>
    <row r="231" ht="45" customHeight="1" x14ac:dyDescent="0.35"/>
    <row r="232" ht="45" customHeight="1" x14ac:dyDescent="0.35"/>
    <row r="233" ht="45" customHeight="1" x14ac:dyDescent="0.35"/>
    <row r="234" ht="45" customHeight="1" x14ac:dyDescent="0.35"/>
    <row r="235" ht="45" customHeight="1" x14ac:dyDescent="0.35"/>
    <row r="236" ht="45" customHeight="1" x14ac:dyDescent="0.35"/>
    <row r="237" ht="45" customHeight="1" x14ac:dyDescent="0.35"/>
    <row r="238" ht="45" customHeight="1" x14ac:dyDescent="0.35"/>
    <row r="239" ht="45" customHeight="1" x14ac:dyDescent="0.35"/>
    <row r="240" ht="45" customHeight="1" x14ac:dyDescent="0.35"/>
    <row r="241" ht="45" customHeight="1" x14ac:dyDescent="0.35"/>
    <row r="242" ht="45" customHeight="1" x14ac:dyDescent="0.35"/>
    <row r="243" ht="45" customHeight="1" x14ac:dyDescent="0.35"/>
    <row r="244" ht="45" customHeight="1" x14ac:dyDescent="0.35"/>
    <row r="245" ht="45" customHeight="1" x14ac:dyDescent="0.35"/>
    <row r="246" ht="45" customHeight="1" x14ac:dyDescent="0.35"/>
    <row r="247" ht="45" customHeight="1" x14ac:dyDescent="0.35"/>
    <row r="248" ht="45" customHeight="1" x14ac:dyDescent="0.35"/>
    <row r="249" ht="45" customHeight="1" x14ac:dyDescent="0.35"/>
    <row r="250" ht="45" customHeight="1" x14ac:dyDescent="0.35"/>
    <row r="251" ht="45" customHeight="1" x14ac:dyDescent="0.35"/>
    <row r="252" ht="45" customHeight="1" x14ac:dyDescent="0.35"/>
    <row r="253" ht="45" customHeight="1" x14ac:dyDescent="0.35"/>
    <row r="254" ht="45" customHeight="1" x14ac:dyDescent="0.35"/>
    <row r="255" ht="45" customHeight="1" x14ac:dyDescent="0.35"/>
    <row r="256" ht="45" customHeight="1" x14ac:dyDescent="0.35"/>
    <row r="257" ht="45" customHeight="1" x14ac:dyDescent="0.35"/>
    <row r="258" ht="45" customHeight="1" x14ac:dyDescent="0.35"/>
    <row r="259" ht="45" customHeight="1" x14ac:dyDescent="0.35"/>
    <row r="260" ht="45" customHeight="1" x14ac:dyDescent="0.35"/>
    <row r="261" ht="45" customHeight="1" x14ac:dyDescent="0.35"/>
    <row r="262" ht="45" customHeight="1" x14ac:dyDescent="0.35"/>
    <row r="263" ht="45" customHeight="1" x14ac:dyDescent="0.35"/>
    <row r="264" ht="45" customHeight="1" x14ac:dyDescent="0.35"/>
    <row r="265" ht="45" customHeight="1" x14ac:dyDescent="0.35"/>
    <row r="266" ht="45" customHeight="1" x14ac:dyDescent="0.35"/>
    <row r="267" ht="45" customHeight="1" x14ac:dyDescent="0.35"/>
    <row r="268" ht="45" customHeight="1" x14ac:dyDescent="0.35"/>
    <row r="269" ht="45" customHeight="1" x14ac:dyDescent="0.35"/>
    <row r="270" ht="45" customHeight="1" x14ac:dyDescent="0.35"/>
    <row r="271" ht="45" customHeight="1" x14ac:dyDescent="0.35"/>
    <row r="272" ht="45" customHeight="1" x14ac:dyDescent="0.35"/>
    <row r="273" ht="45" customHeight="1" x14ac:dyDescent="0.35"/>
    <row r="274" ht="45" customHeight="1" x14ac:dyDescent="0.35"/>
    <row r="275" ht="45" customHeight="1" x14ac:dyDescent="0.35"/>
    <row r="276" ht="45" customHeight="1" x14ac:dyDescent="0.35"/>
    <row r="277" ht="45" customHeight="1" x14ac:dyDescent="0.35"/>
    <row r="278" ht="45" customHeight="1" x14ac:dyDescent="0.35"/>
    <row r="279" ht="45" customHeight="1" x14ac:dyDescent="0.35"/>
    <row r="280" ht="45" customHeight="1" x14ac:dyDescent="0.35"/>
    <row r="281" ht="45" customHeight="1" x14ac:dyDescent="0.35"/>
    <row r="282" ht="45" customHeight="1" x14ac:dyDescent="0.35"/>
    <row r="283" ht="45" customHeight="1" x14ac:dyDescent="0.35"/>
    <row r="284" ht="45" customHeight="1" x14ac:dyDescent="0.35"/>
    <row r="285" ht="45" customHeight="1" x14ac:dyDescent="0.35"/>
    <row r="286" ht="45" customHeight="1" x14ac:dyDescent="0.35"/>
    <row r="287" ht="45" customHeight="1" x14ac:dyDescent="0.35"/>
    <row r="288" ht="45" customHeight="1" x14ac:dyDescent="0.35"/>
    <row r="289" ht="45" customHeight="1" x14ac:dyDescent="0.35"/>
    <row r="290" ht="45" customHeight="1" x14ac:dyDescent="0.35"/>
    <row r="291" ht="45" customHeight="1" x14ac:dyDescent="0.35"/>
    <row r="292" ht="45" customHeight="1" x14ac:dyDescent="0.35"/>
    <row r="293" ht="45" customHeight="1" x14ac:dyDescent="0.35"/>
    <row r="294" ht="45" customHeight="1" x14ac:dyDescent="0.35"/>
    <row r="295" ht="45" customHeight="1" x14ac:dyDescent="0.35"/>
    <row r="296" ht="45" customHeight="1" x14ac:dyDescent="0.35"/>
    <row r="297" ht="45" customHeight="1" x14ac:dyDescent="0.35"/>
    <row r="298" ht="45" customHeight="1" x14ac:dyDescent="0.35"/>
    <row r="299" ht="45" customHeight="1" x14ac:dyDescent="0.35"/>
    <row r="300" ht="45" customHeight="1" x14ac:dyDescent="0.35"/>
    <row r="301" ht="45" customHeight="1" x14ac:dyDescent="0.35"/>
    <row r="302" ht="45" customHeight="1" x14ac:dyDescent="0.35"/>
    <row r="303" ht="45" customHeight="1" x14ac:dyDescent="0.35"/>
    <row r="304" ht="45" customHeight="1" x14ac:dyDescent="0.35"/>
    <row r="305" ht="45" customHeight="1" x14ac:dyDescent="0.35"/>
    <row r="306" ht="45" customHeight="1" x14ac:dyDescent="0.35"/>
    <row r="307" ht="45" customHeight="1" x14ac:dyDescent="0.35"/>
    <row r="308" ht="45" customHeight="1" x14ac:dyDescent="0.35"/>
    <row r="309" ht="45" customHeight="1" x14ac:dyDescent="0.35"/>
    <row r="310" ht="45" customHeight="1" x14ac:dyDescent="0.35"/>
    <row r="311" ht="45" customHeight="1" x14ac:dyDescent="0.35"/>
    <row r="312" ht="45" customHeight="1" x14ac:dyDescent="0.35"/>
    <row r="313" ht="45" customHeight="1" x14ac:dyDescent="0.35"/>
    <row r="314" ht="45" customHeight="1" x14ac:dyDescent="0.35"/>
    <row r="315" ht="45" customHeight="1" x14ac:dyDescent="0.35"/>
    <row r="316" ht="45" customHeight="1" x14ac:dyDescent="0.35"/>
    <row r="317" ht="45" customHeight="1" x14ac:dyDescent="0.35"/>
    <row r="318" ht="45" customHeight="1" x14ac:dyDescent="0.35"/>
    <row r="319" ht="45" customHeight="1" x14ac:dyDescent="0.35"/>
    <row r="320" ht="45" customHeight="1" x14ac:dyDescent="0.35"/>
    <row r="321" ht="45" customHeight="1" x14ac:dyDescent="0.35"/>
    <row r="322" ht="45" customHeight="1" x14ac:dyDescent="0.35"/>
    <row r="323" ht="45" customHeight="1" x14ac:dyDescent="0.35"/>
    <row r="324" ht="45" customHeight="1" x14ac:dyDescent="0.35"/>
    <row r="325" ht="45" customHeight="1" x14ac:dyDescent="0.35"/>
    <row r="326" ht="45" customHeight="1" x14ac:dyDescent="0.35"/>
    <row r="327" ht="45" customHeight="1" x14ac:dyDescent="0.35"/>
    <row r="328" ht="45" customHeight="1" x14ac:dyDescent="0.35"/>
    <row r="329" ht="45" customHeight="1" x14ac:dyDescent="0.35"/>
    <row r="330" ht="45" customHeight="1" x14ac:dyDescent="0.35"/>
    <row r="331" ht="45" customHeight="1" x14ac:dyDescent="0.35"/>
    <row r="332" ht="45" customHeight="1" x14ac:dyDescent="0.35"/>
    <row r="333" ht="45" customHeight="1" x14ac:dyDescent="0.35"/>
    <row r="334" ht="45" customHeight="1" x14ac:dyDescent="0.35"/>
    <row r="335" ht="45" customHeight="1" x14ac:dyDescent="0.35"/>
    <row r="336" ht="45" customHeight="1" x14ac:dyDescent="0.35"/>
    <row r="337" ht="45" customHeight="1" x14ac:dyDescent="0.35"/>
    <row r="338" ht="45" customHeight="1" x14ac:dyDescent="0.35"/>
    <row r="339" ht="45" customHeight="1" x14ac:dyDescent="0.35"/>
    <row r="340" ht="45" customHeight="1" x14ac:dyDescent="0.35"/>
    <row r="341" ht="45" customHeight="1" x14ac:dyDescent="0.35"/>
    <row r="342" ht="45" customHeight="1" x14ac:dyDescent="0.35"/>
    <row r="343" ht="45" customHeight="1" x14ac:dyDescent="0.35"/>
    <row r="344" ht="45" customHeight="1" x14ac:dyDescent="0.35"/>
    <row r="345" ht="45" customHeight="1" x14ac:dyDescent="0.35"/>
    <row r="346" ht="45" customHeight="1" x14ac:dyDescent="0.35"/>
    <row r="347" ht="45" customHeight="1" x14ac:dyDescent="0.35"/>
    <row r="348" ht="45" customHeight="1" x14ac:dyDescent="0.35"/>
    <row r="349" ht="45" customHeight="1" x14ac:dyDescent="0.35"/>
    <row r="350" ht="45" customHeight="1" x14ac:dyDescent="0.35"/>
    <row r="351" ht="45" customHeight="1" x14ac:dyDescent="0.35"/>
    <row r="352" ht="45" customHeight="1" x14ac:dyDescent="0.35"/>
    <row r="353" ht="45" customHeight="1" x14ac:dyDescent="0.35"/>
    <row r="354" ht="45" customHeight="1" x14ac:dyDescent="0.35"/>
    <row r="355" ht="45" customHeight="1" x14ac:dyDescent="0.35"/>
    <row r="356" ht="45" customHeight="1" x14ac:dyDescent="0.35"/>
    <row r="357" ht="45" customHeight="1" x14ac:dyDescent="0.35"/>
    <row r="358" ht="45" customHeight="1" x14ac:dyDescent="0.35"/>
    <row r="359" ht="45" customHeight="1" x14ac:dyDescent="0.35"/>
    <row r="360" ht="45" customHeight="1" x14ac:dyDescent="0.35"/>
    <row r="361" ht="45" customHeight="1" x14ac:dyDescent="0.35"/>
    <row r="362" ht="45" customHeight="1" x14ac:dyDescent="0.35"/>
    <row r="363" ht="45" customHeight="1" x14ac:dyDescent="0.35"/>
    <row r="364" ht="45" customHeight="1" x14ac:dyDescent="0.35"/>
    <row r="365" ht="45" customHeight="1" x14ac:dyDescent="0.35"/>
    <row r="366" ht="45" customHeight="1" x14ac:dyDescent="0.35"/>
    <row r="367" ht="45" customHeight="1" x14ac:dyDescent="0.35"/>
    <row r="368" ht="45" customHeight="1" x14ac:dyDescent="0.35"/>
    <row r="369" ht="45" customHeight="1" x14ac:dyDescent="0.35"/>
    <row r="370" ht="45" customHeight="1" x14ac:dyDescent="0.35"/>
    <row r="371" ht="45" customHeight="1" x14ac:dyDescent="0.35"/>
    <row r="372" ht="45" customHeight="1" x14ac:dyDescent="0.35"/>
    <row r="373" ht="45" customHeight="1" x14ac:dyDescent="0.35"/>
    <row r="374" ht="45" customHeight="1" x14ac:dyDescent="0.35"/>
    <row r="375" ht="45" customHeight="1" x14ac:dyDescent="0.35"/>
    <row r="376" ht="45" customHeight="1" x14ac:dyDescent="0.35"/>
    <row r="377" ht="45" customHeight="1" x14ac:dyDescent="0.35"/>
    <row r="378" ht="45" customHeight="1" x14ac:dyDescent="0.35"/>
    <row r="379" ht="45" customHeight="1" x14ac:dyDescent="0.35"/>
    <row r="380" ht="45" customHeight="1" x14ac:dyDescent="0.35"/>
    <row r="381" ht="45" customHeight="1" x14ac:dyDescent="0.35"/>
    <row r="382" ht="45" customHeight="1" x14ac:dyDescent="0.35"/>
    <row r="383" ht="45" customHeight="1" x14ac:dyDescent="0.35"/>
    <row r="384" ht="45" customHeight="1" x14ac:dyDescent="0.35"/>
    <row r="385" ht="45" customHeight="1" x14ac:dyDescent="0.35"/>
    <row r="386" ht="45" customHeight="1" x14ac:dyDescent="0.35"/>
    <row r="387" ht="45" customHeight="1" x14ac:dyDescent="0.35"/>
    <row r="388" ht="45" customHeight="1" x14ac:dyDescent="0.35"/>
    <row r="389" ht="45" customHeight="1" x14ac:dyDescent="0.35"/>
    <row r="390" ht="45" customHeight="1" x14ac:dyDescent="0.35"/>
    <row r="391" ht="45" customHeight="1" x14ac:dyDescent="0.35"/>
    <row r="392" ht="45" customHeight="1" x14ac:dyDescent="0.35"/>
    <row r="393" ht="45" customHeight="1" x14ac:dyDescent="0.35"/>
    <row r="394" ht="45" customHeight="1" x14ac:dyDescent="0.35"/>
    <row r="395" ht="45" customHeight="1" x14ac:dyDescent="0.35"/>
    <row r="396" ht="45" customHeight="1" x14ac:dyDescent="0.35"/>
    <row r="397" ht="45" customHeight="1" x14ac:dyDescent="0.35"/>
    <row r="398" ht="45" customHeight="1" x14ac:dyDescent="0.35"/>
    <row r="399" ht="45" customHeight="1" x14ac:dyDescent="0.35"/>
    <row r="400" ht="45" customHeight="1" x14ac:dyDescent="0.35"/>
    <row r="401" ht="45" customHeight="1" x14ac:dyDescent="0.35"/>
    <row r="402" ht="45" customHeight="1" x14ac:dyDescent="0.35"/>
    <row r="403" ht="45" customHeight="1" x14ac:dyDescent="0.35"/>
    <row r="404" ht="45" customHeight="1" x14ac:dyDescent="0.35"/>
    <row r="405" ht="45" customHeight="1" x14ac:dyDescent="0.35"/>
    <row r="406" ht="45" customHeight="1" x14ac:dyDescent="0.35"/>
    <row r="407" ht="45" customHeight="1" x14ac:dyDescent="0.35"/>
    <row r="408" ht="45" customHeight="1" x14ac:dyDescent="0.35"/>
    <row r="409" ht="45" customHeight="1" x14ac:dyDescent="0.35"/>
    <row r="410" ht="45" customHeight="1" x14ac:dyDescent="0.35"/>
    <row r="411" ht="45" customHeight="1" x14ac:dyDescent="0.35"/>
    <row r="412" ht="45" customHeight="1" x14ac:dyDescent="0.35"/>
    <row r="413" ht="45" customHeight="1" x14ac:dyDescent="0.35"/>
    <row r="414" ht="45" customHeight="1" x14ac:dyDescent="0.35"/>
    <row r="415" ht="45" customHeight="1" x14ac:dyDescent="0.35"/>
    <row r="416" ht="45" customHeight="1" x14ac:dyDescent="0.35"/>
    <row r="417" ht="45" customHeight="1" x14ac:dyDescent="0.35"/>
    <row r="418" ht="45" customHeight="1" x14ac:dyDescent="0.35"/>
    <row r="419" ht="45" customHeight="1" x14ac:dyDescent="0.35"/>
    <row r="420" ht="45" customHeight="1" x14ac:dyDescent="0.35"/>
    <row r="421" ht="45" customHeight="1" x14ac:dyDescent="0.35"/>
    <row r="422" ht="45" customHeight="1" x14ac:dyDescent="0.35"/>
    <row r="423" ht="45" customHeight="1" x14ac:dyDescent="0.35"/>
    <row r="424" ht="45" customHeight="1" x14ac:dyDescent="0.35"/>
    <row r="425" ht="45" customHeight="1" x14ac:dyDescent="0.35"/>
    <row r="426" ht="45" customHeight="1" x14ac:dyDescent="0.35"/>
    <row r="427" ht="45" customHeight="1" x14ac:dyDescent="0.35"/>
    <row r="428" ht="45" customHeight="1" x14ac:dyDescent="0.35"/>
    <row r="429" ht="45" customHeight="1" x14ac:dyDescent="0.35"/>
    <row r="430" ht="45" customHeight="1" x14ac:dyDescent="0.35"/>
    <row r="431" ht="45" customHeight="1" x14ac:dyDescent="0.35"/>
    <row r="432" ht="45" customHeight="1" x14ac:dyDescent="0.35"/>
    <row r="433" ht="45" customHeight="1" x14ac:dyDescent="0.35"/>
    <row r="434" ht="45" customHeight="1" x14ac:dyDescent="0.35"/>
    <row r="435" ht="45" customHeight="1" x14ac:dyDescent="0.35"/>
    <row r="436" ht="45" customHeight="1" x14ac:dyDescent="0.35"/>
    <row r="437" ht="45" customHeight="1" x14ac:dyDescent="0.35"/>
    <row r="438" ht="45" customHeight="1" x14ac:dyDescent="0.35"/>
    <row r="439" ht="45" customHeight="1" x14ac:dyDescent="0.35"/>
    <row r="440" ht="45" customHeight="1" x14ac:dyDescent="0.35"/>
    <row r="441" ht="45" customHeight="1" x14ac:dyDescent="0.35"/>
    <row r="442" ht="45" customHeight="1" x14ac:dyDescent="0.35"/>
    <row r="443" ht="45" customHeight="1" x14ac:dyDescent="0.35"/>
    <row r="444" ht="45" customHeight="1" x14ac:dyDescent="0.35"/>
    <row r="445" ht="45" customHeight="1" x14ac:dyDescent="0.35"/>
    <row r="446" ht="45" customHeight="1" x14ac:dyDescent="0.35"/>
    <row r="447" ht="45" customHeight="1" x14ac:dyDescent="0.35"/>
    <row r="448" ht="45" customHeight="1" x14ac:dyDescent="0.35"/>
    <row r="449" ht="45" customHeight="1" x14ac:dyDescent="0.35"/>
    <row r="450" ht="45" customHeight="1" x14ac:dyDescent="0.35"/>
    <row r="451" ht="45" customHeight="1" x14ac:dyDescent="0.35"/>
    <row r="452" ht="45" customHeight="1" x14ac:dyDescent="0.35"/>
    <row r="453" ht="45" customHeight="1" x14ac:dyDescent="0.35"/>
    <row r="454" ht="45" customHeight="1" x14ac:dyDescent="0.35"/>
    <row r="455" ht="45" customHeight="1" x14ac:dyDescent="0.35"/>
    <row r="456" ht="45" customHeight="1" x14ac:dyDescent="0.35"/>
    <row r="457" ht="45" customHeight="1" x14ac:dyDescent="0.35"/>
    <row r="458" ht="45" customHeight="1" x14ac:dyDescent="0.35"/>
    <row r="459" ht="45" customHeight="1" x14ac:dyDescent="0.35"/>
    <row r="460" ht="45" customHeight="1" x14ac:dyDescent="0.35"/>
    <row r="461" ht="45" customHeight="1" x14ac:dyDescent="0.35"/>
    <row r="462" ht="45" customHeight="1" x14ac:dyDescent="0.35"/>
    <row r="463" ht="45" customHeight="1" x14ac:dyDescent="0.35"/>
    <row r="464" ht="45" customHeight="1" x14ac:dyDescent="0.35"/>
    <row r="465" ht="45" customHeight="1" x14ac:dyDescent="0.35"/>
    <row r="466" ht="45" customHeight="1" x14ac:dyDescent="0.35"/>
    <row r="467" ht="45" customHeight="1" x14ac:dyDescent="0.35"/>
    <row r="468" ht="45" customHeight="1" x14ac:dyDescent="0.35"/>
    <row r="469" ht="45" customHeight="1" x14ac:dyDescent="0.35"/>
    <row r="470" ht="45" customHeight="1" x14ac:dyDescent="0.35"/>
    <row r="471" ht="45" customHeight="1" x14ac:dyDescent="0.35"/>
    <row r="472" ht="45" customHeight="1" x14ac:dyDescent="0.35"/>
    <row r="473" ht="45" customHeight="1" x14ac:dyDescent="0.35"/>
    <row r="474" ht="45" customHeight="1" x14ac:dyDescent="0.35"/>
    <row r="475" ht="45" customHeight="1" x14ac:dyDescent="0.35"/>
    <row r="476" ht="45" customHeight="1" x14ac:dyDescent="0.35"/>
    <row r="477" ht="45" customHeight="1" x14ac:dyDescent="0.35"/>
    <row r="478" ht="45" customHeight="1" x14ac:dyDescent="0.35"/>
    <row r="479" ht="45" customHeight="1" x14ac:dyDescent="0.35"/>
    <row r="480" ht="45" customHeight="1" x14ac:dyDescent="0.35"/>
    <row r="481" ht="45" customHeight="1" x14ac:dyDescent="0.35"/>
    <row r="482" ht="45" customHeight="1" x14ac:dyDescent="0.35"/>
    <row r="483" ht="45" customHeight="1" x14ac:dyDescent="0.35"/>
    <row r="484" ht="45" customHeight="1" x14ac:dyDescent="0.35"/>
    <row r="485" ht="45" customHeight="1" x14ac:dyDescent="0.35"/>
    <row r="486" ht="45" customHeight="1" x14ac:dyDescent="0.35"/>
    <row r="487" ht="45" customHeight="1" x14ac:dyDescent="0.35"/>
    <row r="488" ht="45" customHeight="1" x14ac:dyDescent="0.35"/>
    <row r="489" ht="45" customHeight="1" x14ac:dyDescent="0.35"/>
    <row r="490" ht="45" customHeight="1" x14ac:dyDescent="0.35"/>
    <row r="491" ht="45" customHeight="1" x14ac:dyDescent="0.35"/>
    <row r="492" ht="45" customHeight="1" x14ac:dyDescent="0.35"/>
    <row r="493" ht="45" customHeight="1" x14ac:dyDescent="0.35"/>
    <row r="494" ht="45" customHeight="1" x14ac:dyDescent="0.35"/>
    <row r="495" ht="45" customHeight="1" x14ac:dyDescent="0.35"/>
    <row r="496" ht="45" customHeight="1" x14ac:dyDescent="0.35"/>
    <row r="497" ht="45" customHeight="1" x14ac:dyDescent="0.35"/>
    <row r="498" ht="45" customHeight="1" x14ac:dyDescent="0.35"/>
    <row r="499" ht="45" customHeight="1" x14ac:dyDescent="0.35"/>
    <row r="500" ht="45" customHeight="1" x14ac:dyDescent="0.35"/>
  </sheetData>
  <pageMargins left="0.7" right="0.7" top="0.75" bottom="0.75" header="0.3" footer="0.3"/>
  <headerFooter>
    <oddFooter>&amp;C_x000D_&amp;1#&amp;"Calibri"&amp;10&amp;K008000 DOCUMENTO PÚBLICO</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D7EE-A84F-4CE4-9847-98943A10A2B4}">
  <dimension ref="A1:AH103"/>
  <sheetViews>
    <sheetView showGridLines="0" view="pageBreakPreview" zoomScale="74" zoomScaleNormal="10" zoomScaleSheetLayoutView="74" zoomScalePageLayoutView="48" workbookViewId="0">
      <selection activeCell="A11" sqref="A11:N13"/>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10" width="28.54296875" style="1" customWidth="1"/>
    <col min="11" max="12" width="19.54296875" style="1" customWidth="1"/>
    <col min="13"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x14ac:dyDescent="0.35">
      <c r="A1" s="407"/>
      <c r="B1" s="408"/>
      <c r="C1" s="409"/>
      <c r="D1" s="463" t="s">
        <v>818</v>
      </c>
      <c r="E1" s="463"/>
      <c r="F1" s="463"/>
      <c r="G1" s="463"/>
      <c r="H1" s="463"/>
      <c r="I1" s="463"/>
      <c r="J1" s="463"/>
      <c r="K1" s="463"/>
      <c r="L1" s="463"/>
      <c r="M1" s="463"/>
      <c r="N1" s="463"/>
      <c r="O1" s="463"/>
      <c r="P1" s="463"/>
      <c r="Q1" s="463"/>
      <c r="R1" s="463"/>
      <c r="S1" s="463"/>
      <c r="T1" s="463"/>
      <c r="U1" s="463"/>
      <c r="V1" s="463"/>
      <c r="W1" s="463"/>
      <c r="X1" s="463"/>
      <c r="Y1" s="463"/>
      <c r="Z1" s="463"/>
      <c r="AA1" s="463"/>
      <c r="AB1" s="463"/>
      <c r="AC1" s="463"/>
      <c r="AD1" s="463"/>
      <c r="AE1" s="463"/>
      <c r="AF1" s="463"/>
      <c r="AG1" s="463"/>
      <c r="AH1" s="463"/>
    </row>
    <row r="2" spans="1:34" s="56" customFormat="1" ht="20.149999999999999" customHeight="1" x14ac:dyDescent="0.35">
      <c r="A2" s="410"/>
      <c r="B2" s="411"/>
      <c r="C2" s="412"/>
      <c r="D2" s="463"/>
      <c r="E2" s="463"/>
      <c r="F2" s="463"/>
      <c r="G2" s="463"/>
      <c r="H2" s="463"/>
      <c r="I2" s="463"/>
      <c r="J2" s="463"/>
      <c r="K2" s="463"/>
      <c r="L2" s="463"/>
      <c r="M2" s="463"/>
      <c r="N2" s="463"/>
      <c r="O2" s="463"/>
      <c r="P2" s="463"/>
      <c r="Q2" s="463"/>
      <c r="R2" s="463"/>
      <c r="S2" s="463"/>
      <c r="T2" s="463"/>
      <c r="U2" s="463"/>
      <c r="V2" s="463"/>
      <c r="W2" s="463"/>
      <c r="X2" s="463"/>
      <c r="Y2" s="463"/>
      <c r="Z2" s="463"/>
      <c r="AA2" s="463"/>
      <c r="AB2" s="463"/>
      <c r="AC2" s="463"/>
      <c r="AD2" s="463"/>
      <c r="AE2" s="463"/>
      <c r="AF2" s="463"/>
      <c r="AG2" s="463"/>
      <c r="AH2" s="463"/>
    </row>
    <row r="3" spans="1:34" s="56" customFormat="1" ht="60" customHeight="1" thickBot="1" x14ac:dyDescent="0.4">
      <c r="A3" s="413"/>
      <c r="B3" s="414"/>
      <c r="C3" s="415"/>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row>
    <row r="4" spans="1:34" s="56" customFormat="1" ht="60" hidden="1" customHeight="1" thickBot="1" x14ac:dyDescent="0.4">
      <c r="A4" s="405" t="s">
        <v>34</v>
      </c>
      <c r="B4" s="8" t="s">
        <v>35</v>
      </c>
      <c r="C4" s="10">
        <v>0.7</v>
      </c>
      <c r="D4" s="10"/>
      <c r="E4" s="10"/>
      <c r="F4" s="9"/>
      <c r="G4" s="405"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405"/>
      <c r="B5" s="8" t="s">
        <v>37</v>
      </c>
      <c r="C5" s="11">
        <v>0.9</v>
      </c>
      <c r="D5" s="11"/>
      <c r="E5" s="11"/>
      <c r="F5" s="11">
        <v>1</v>
      </c>
      <c r="G5" s="405"/>
      <c r="H5" s="8" t="s">
        <v>37</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548" t="s">
        <v>38</v>
      </c>
      <c r="B6" s="548"/>
      <c r="C6" s="1042" t="s">
        <v>689</v>
      </c>
      <c r="D6" s="1043"/>
      <c r="E6" s="549" t="s">
        <v>40</v>
      </c>
      <c r="F6" s="549"/>
      <c r="G6" s="515" t="e">
        <f>+P15+P17+P19+P21+#REF!</f>
        <v>#REF!</v>
      </c>
      <c r="H6" s="549" t="s">
        <v>41</v>
      </c>
      <c r="I6" s="549"/>
      <c r="J6" s="601" t="e">
        <f>+P14+P16+P18+P20+#REF!</f>
        <v>#REF!</v>
      </c>
      <c r="K6" s="1044" t="s">
        <v>42</v>
      </c>
      <c r="L6" s="443">
        <v>0.95</v>
      </c>
      <c r="M6" s="548" t="s">
        <v>43</v>
      </c>
      <c r="N6" s="548"/>
      <c r="O6" s="428" t="e">
        <f>(SUM(U14,U16,U18,U20,#REF!)/SUM(U15,U17,U19,U21,#REF!))/L6</f>
        <v>#REF!</v>
      </c>
      <c r="P6" s="429"/>
      <c r="Q6" s="430"/>
      <c r="R6" s="560" t="s">
        <v>44</v>
      </c>
      <c r="S6" s="561"/>
      <c r="T6" s="561"/>
      <c r="U6" s="562"/>
      <c r="V6" s="428" t="e">
        <f>SUM(X14,X16,X18,X20,#REF!)/SUM(X15,X17,X19,X21,#REF!)/L6</f>
        <v>#REF!</v>
      </c>
      <c r="W6" s="429"/>
      <c r="X6" s="429"/>
      <c r="Y6" s="430"/>
      <c r="Z6" s="560" t="s">
        <v>45</v>
      </c>
      <c r="AA6" s="561"/>
      <c r="AB6" s="561"/>
      <c r="AC6" s="562"/>
      <c r="AD6" s="428" t="e">
        <f>SUM(Z14:AA14,AA16,AA18,Z20:AA20,#REF!)/SUM(AA15,AA17,AA19,AA21,#REF!)/L6</f>
        <v>#REF!</v>
      </c>
      <c r="AE6" s="430"/>
      <c r="AF6" s="560" t="s">
        <v>46</v>
      </c>
      <c r="AG6" s="428" t="e">
        <f>SUM(AD14,AD16,AD18,AD20,#REF!)/SUM(AD15,AD17,AD19,AD21,#REF!)/L6</f>
        <v>#REF!</v>
      </c>
    </row>
    <row r="7" spans="1:34" ht="15" hidden="1" customHeight="1" x14ac:dyDescent="0.35">
      <c r="A7" s="548"/>
      <c r="B7" s="548"/>
      <c r="C7" s="1043"/>
      <c r="D7" s="1043"/>
      <c r="E7" s="549"/>
      <c r="F7" s="549"/>
      <c r="G7" s="516"/>
      <c r="H7" s="549"/>
      <c r="I7" s="549"/>
      <c r="J7" s="602"/>
      <c r="K7" s="1045"/>
      <c r="L7" s="444"/>
      <c r="M7" s="548"/>
      <c r="N7" s="548"/>
      <c r="O7" s="431"/>
      <c r="P7" s="432"/>
      <c r="Q7" s="433"/>
      <c r="R7" s="563"/>
      <c r="S7" s="564"/>
      <c r="T7" s="564"/>
      <c r="U7" s="565"/>
      <c r="V7" s="431"/>
      <c r="W7" s="432"/>
      <c r="X7" s="432"/>
      <c r="Y7" s="433"/>
      <c r="Z7" s="563"/>
      <c r="AA7" s="564"/>
      <c r="AB7" s="564"/>
      <c r="AC7" s="565"/>
      <c r="AD7" s="431"/>
      <c r="AE7" s="433"/>
      <c r="AF7" s="563"/>
      <c r="AG7" s="431"/>
    </row>
    <row r="8" spans="1:34" ht="25.4" hidden="1" customHeight="1" x14ac:dyDescent="0.35">
      <c r="A8" s="548"/>
      <c r="B8" s="548"/>
      <c r="C8" s="1043"/>
      <c r="D8" s="1043"/>
      <c r="E8" s="549"/>
      <c r="F8" s="549"/>
      <c r="G8" s="516"/>
      <c r="H8" s="549"/>
      <c r="I8" s="549"/>
      <c r="J8" s="602"/>
      <c r="K8" s="1045"/>
      <c r="L8" s="444"/>
      <c r="M8" s="548"/>
      <c r="N8" s="548"/>
      <c r="O8" s="431"/>
      <c r="P8" s="432"/>
      <c r="Q8" s="433"/>
      <c r="R8" s="563"/>
      <c r="S8" s="564"/>
      <c r="T8" s="564"/>
      <c r="U8" s="565"/>
      <c r="V8" s="431"/>
      <c r="W8" s="432"/>
      <c r="X8" s="432"/>
      <c r="Y8" s="433"/>
      <c r="Z8" s="563"/>
      <c r="AA8" s="564"/>
      <c r="AB8" s="564"/>
      <c r="AC8" s="565"/>
      <c r="AD8" s="431"/>
      <c r="AE8" s="433"/>
      <c r="AF8" s="563"/>
      <c r="AG8" s="431"/>
    </row>
    <row r="9" spans="1:34" ht="25.4" hidden="1" customHeight="1" thickBot="1" x14ac:dyDescent="0.4">
      <c r="A9" s="548"/>
      <c r="B9" s="548"/>
      <c r="C9" s="1043"/>
      <c r="D9" s="1043"/>
      <c r="E9" s="549"/>
      <c r="F9" s="549"/>
      <c r="G9" s="516"/>
      <c r="H9" s="549"/>
      <c r="I9" s="549"/>
      <c r="J9" s="602"/>
      <c r="K9" s="1045"/>
      <c r="L9" s="444"/>
      <c r="M9" s="548"/>
      <c r="N9" s="548"/>
      <c r="O9" s="431"/>
      <c r="P9" s="432"/>
      <c r="Q9" s="433"/>
      <c r="R9" s="563"/>
      <c r="S9" s="564"/>
      <c r="T9" s="564"/>
      <c r="U9" s="565"/>
      <c r="V9" s="431"/>
      <c r="W9" s="432"/>
      <c r="X9" s="432"/>
      <c r="Y9" s="433"/>
      <c r="Z9" s="563"/>
      <c r="AA9" s="564"/>
      <c r="AB9" s="564"/>
      <c r="AC9" s="565"/>
      <c r="AD9" s="431"/>
      <c r="AE9" s="433"/>
      <c r="AF9" s="563"/>
      <c r="AG9" s="431"/>
    </row>
    <row r="10" spans="1:34" ht="15" hidden="1" customHeight="1" thickBot="1" x14ac:dyDescent="0.4">
      <c r="A10" s="548"/>
      <c r="B10" s="548"/>
      <c r="C10" s="1043"/>
      <c r="D10" s="1043"/>
      <c r="E10" s="549"/>
      <c r="F10" s="549"/>
      <c r="G10" s="550"/>
      <c r="H10" s="549"/>
      <c r="I10" s="549"/>
      <c r="J10" s="603"/>
      <c r="K10" s="1046"/>
      <c r="L10" s="445"/>
      <c r="M10" s="548"/>
      <c r="N10" s="548"/>
      <c r="O10" s="434"/>
      <c r="P10" s="435"/>
      <c r="Q10" s="436"/>
      <c r="R10" s="566"/>
      <c r="S10" s="567"/>
      <c r="T10" s="567"/>
      <c r="U10" s="568"/>
      <c r="V10" s="434"/>
      <c r="W10" s="435"/>
      <c r="X10" s="435"/>
      <c r="Y10" s="436"/>
      <c r="Z10" s="566"/>
      <c r="AA10" s="567"/>
      <c r="AB10" s="567"/>
      <c r="AC10" s="568"/>
      <c r="AD10" s="434"/>
      <c r="AE10" s="436"/>
      <c r="AF10" s="566"/>
      <c r="AG10" s="434"/>
    </row>
    <row r="11" spans="1:34" s="12" customFormat="1" ht="40.4" customHeight="1" thickBot="1" x14ac:dyDescent="0.4">
      <c r="A11" s="390" t="s">
        <v>47</v>
      </c>
      <c r="B11" s="390"/>
      <c r="C11" s="390"/>
      <c r="D11" s="390"/>
      <c r="E11" s="390"/>
      <c r="F11" s="391"/>
      <c r="G11" s="392" t="s">
        <v>820</v>
      </c>
      <c r="H11" s="393"/>
      <c r="I11" s="393"/>
      <c r="J11" s="393"/>
      <c r="K11" s="393"/>
      <c r="L11" s="393"/>
      <c r="M11" s="393"/>
      <c r="N11" s="394"/>
      <c r="O11" s="604" t="s">
        <v>48</v>
      </c>
      <c r="P11" s="605"/>
      <c r="Q11" s="605"/>
      <c r="R11" s="605"/>
      <c r="S11" s="605"/>
      <c r="T11" s="605"/>
      <c r="U11" s="605"/>
      <c r="V11" s="605"/>
      <c r="W11" s="605"/>
      <c r="X11" s="605"/>
      <c r="Y11" s="605"/>
      <c r="Z11" s="605"/>
      <c r="AA11" s="605"/>
      <c r="AB11" s="605"/>
      <c r="AC11" s="605"/>
      <c r="AD11" s="606"/>
      <c r="AE11" s="604" t="s">
        <v>49</v>
      </c>
      <c r="AF11" s="605"/>
      <c r="AG11" s="605"/>
      <c r="AH11" s="605"/>
    </row>
    <row r="12" spans="1:34" ht="39" customHeight="1" x14ac:dyDescent="0.35">
      <c r="A12" s="395" t="s">
        <v>50</v>
      </c>
      <c r="B12" s="397" t="s">
        <v>51</v>
      </c>
      <c r="C12" s="397" t="s">
        <v>52</v>
      </c>
      <c r="D12" s="397" t="s">
        <v>53</v>
      </c>
      <c r="E12" s="397" t="s">
        <v>54</v>
      </c>
      <c r="F12" s="397" t="s">
        <v>486</v>
      </c>
      <c r="G12" s="397" t="s">
        <v>444</v>
      </c>
      <c r="H12" s="397" t="s">
        <v>446</v>
      </c>
      <c r="I12" s="397" t="s">
        <v>58</v>
      </c>
      <c r="J12" s="397" t="s">
        <v>59</v>
      </c>
      <c r="K12" s="397" t="s">
        <v>60</v>
      </c>
      <c r="L12" s="397" t="s">
        <v>61</v>
      </c>
      <c r="M12" s="397" t="s">
        <v>62</v>
      </c>
      <c r="N12" s="397" t="s">
        <v>63</v>
      </c>
      <c r="O12" s="633" t="s">
        <v>64</v>
      </c>
      <c r="P12" s="634" t="s">
        <v>65</v>
      </c>
      <c r="Q12" s="635" t="s">
        <v>66</v>
      </c>
      <c r="R12" s="620" t="s">
        <v>67</v>
      </c>
      <c r="S12" s="618" t="s">
        <v>68</v>
      </c>
      <c r="T12" s="616" t="s">
        <v>69</v>
      </c>
      <c r="U12" s="622" t="s">
        <v>70</v>
      </c>
      <c r="V12" s="624" t="s">
        <v>71</v>
      </c>
      <c r="W12" s="622" t="s">
        <v>72</v>
      </c>
      <c r="X12" s="616" t="s">
        <v>72</v>
      </c>
      <c r="Y12" s="618" t="s">
        <v>74</v>
      </c>
      <c r="Z12" s="620" t="s">
        <v>75</v>
      </c>
      <c r="AA12" s="618" t="s">
        <v>76</v>
      </c>
      <c r="AB12" s="616" t="s">
        <v>77</v>
      </c>
      <c r="AC12" s="622" t="s">
        <v>78</v>
      </c>
      <c r="AD12" s="613" t="s">
        <v>79</v>
      </c>
      <c r="AE12" s="615" t="s">
        <v>80</v>
      </c>
      <c r="AF12" s="615" t="s">
        <v>81</v>
      </c>
      <c r="AG12" s="615" t="s">
        <v>82</v>
      </c>
      <c r="AH12" s="615" t="s">
        <v>83</v>
      </c>
    </row>
    <row r="13" spans="1:34" ht="60" customHeight="1" thickBot="1" x14ac:dyDescent="0.4">
      <c r="A13" s="396"/>
      <c r="B13" s="396"/>
      <c r="C13" s="396"/>
      <c r="D13" s="396"/>
      <c r="E13" s="396"/>
      <c r="F13" s="396"/>
      <c r="G13" s="396"/>
      <c r="H13" s="396"/>
      <c r="I13" s="396"/>
      <c r="J13" s="396"/>
      <c r="K13" s="396"/>
      <c r="L13" s="396"/>
      <c r="M13" s="396"/>
      <c r="N13" s="396"/>
      <c r="O13" s="633"/>
      <c r="P13" s="634"/>
      <c r="Q13" s="635"/>
      <c r="R13" s="621"/>
      <c r="S13" s="619"/>
      <c r="T13" s="617"/>
      <c r="U13" s="623"/>
      <c r="V13" s="625"/>
      <c r="W13" s="623"/>
      <c r="X13" s="617"/>
      <c r="Y13" s="619"/>
      <c r="Z13" s="621"/>
      <c r="AA13" s="619"/>
      <c r="AB13" s="617"/>
      <c r="AC13" s="623"/>
      <c r="AD13" s="614"/>
      <c r="AE13" s="615"/>
      <c r="AF13" s="615"/>
      <c r="AG13" s="615"/>
      <c r="AH13" s="615"/>
    </row>
    <row r="14" spans="1:34" ht="78" customHeight="1" thickBot="1" x14ac:dyDescent="0.4">
      <c r="A14" s="384">
        <v>1</v>
      </c>
      <c r="B14" s="384" t="s">
        <v>531</v>
      </c>
      <c r="C14" s="384" t="s">
        <v>511</v>
      </c>
      <c r="D14" s="384" t="s">
        <v>84</v>
      </c>
      <c r="E14" s="384" t="s">
        <v>451</v>
      </c>
      <c r="F14" s="384" t="s">
        <v>600</v>
      </c>
      <c r="G14" s="384" t="s">
        <v>56</v>
      </c>
      <c r="H14" s="384" t="s">
        <v>2060</v>
      </c>
      <c r="I14" s="384" t="s">
        <v>688</v>
      </c>
      <c r="J14" s="374" t="s">
        <v>448</v>
      </c>
      <c r="K14" s="374" t="s">
        <v>449</v>
      </c>
      <c r="L14" s="374" t="s">
        <v>520</v>
      </c>
      <c r="M14" s="377">
        <v>45689</v>
      </c>
      <c r="N14" s="377">
        <v>46022</v>
      </c>
      <c r="O14" s="60" t="s">
        <v>91</v>
      </c>
      <c r="P14" s="53">
        <f>+(P15*Q14)</f>
        <v>0.2</v>
      </c>
      <c r="Q14" s="66">
        <f t="shared" ref="Q14:Q15" si="0">SUM(R14:AD14)</f>
        <v>1</v>
      </c>
      <c r="R14" s="43"/>
      <c r="S14" s="43"/>
      <c r="T14" s="43"/>
      <c r="U14" s="43">
        <v>0.25</v>
      </c>
      <c r="V14" s="43"/>
      <c r="W14" s="43"/>
      <c r="X14" s="43">
        <v>0.25</v>
      </c>
      <c r="Y14" s="43"/>
      <c r="Z14" s="44">
        <v>0.25</v>
      </c>
      <c r="AA14" s="44"/>
      <c r="AB14" s="44"/>
      <c r="AC14" s="44"/>
      <c r="AD14" s="44">
        <v>0.25</v>
      </c>
      <c r="AE14" s="1051" t="s">
        <v>492</v>
      </c>
      <c r="AF14" s="1051" t="s">
        <v>493</v>
      </c>
      <c r="AG14" s="540" t="s">
        <v>494</v>
      </c>
      <c r="AH14" s="540" t="s">
        <v>495</v>
      </c>
    </row>
    <row r="15" spans="1:34" ht="127.5" customHeight="1" thickBot="1" x14ac:dyDescent="0.4">
      <c r="A15" s="385"/>
      <c r="B15" s="385"/>
      <c r="C15" s="385"/>
      <c r="D15" s="385" t="s">
        <v>84</v>
      </c>
      <c r="E15" s="385"/>
      <c r="F15" s="385"/>
      <c r="G15" s="385"/>
      <c r="H15" s="385"/>
      <c r="I15" s="385"/>
      <c r="J15" s="375"/>
      <c r="K15" s="375"/>
      <c r="L15" s="375"/>
      <c r="M15" s="632"/>
      <c r="N15" s="632"/>
      <c r="O15" s="60" t="s">
        <v>96</v>
      </c>
      <c r="P15" s="52">
        <f>100%/5</f>
        <v>0.2</v>
      </c>
      <c r="Q15" s="66">
        <f t="shared" si="0"/>
        <v>1</v>
      </c>
      <c r="R15" s="42"/>
      <c r="S15" s="42"/>
      <c r="T15" s="42"/>
      <c r="U15" s="42">
        <v>0.25</v>
      </c>
      <c r="V15" s="42"/>
      <c r="W15" s="42"/>
      <c r="X15" s="42">
        <v>0.25</v>
      </c>
      <c r="Y15" s="42"/>
      <c r="Z15" s="42"/>
      <c r="AA15" s="42">
        <v>0.25</v>
      </c>
      <c r="AB15" s="42"/>
      <c r="AC15" s="42"/>
      <c r="AD15" s="42">
        <v>0.25</v>
      </c>
      <c r="AE15" s="481"/>
      <c r="AF15" s="481"/>
      <c r="AG15" s="628"/>
      <c r="AH15" s="629"/>
    </row>
    <row r="16" spans="1:34" ht="122.15" customHeight="1" thickBot="1" x14ac:dyDescent="0.4">
      <c r="A16" s="384">
        <v>2</v>
      </c>
      <c r="B16" s="1047" t="s">
        <v>515</v>
      </c>
      <c r="C16" s="1049" t="s">
        <v>532</v>
      </c>
      <c r="D16" s="384" t="s">
        <v>84</v>
      </c>
      <c r="E16" s="1047" t="s">
        <v>451</v>
      </c>
      <c r="F16" s="1047" t="s">
        <v>384</v>
      </c>
      <c r="G16" s="1047" t="s">
        <v>487</v>
      </c>
      <c r="H16" s="1047" t="s">
        <v>488</v>
      </c>
      <c r="I16" s="1047" t="s">
        <v>489</v>
      </c>
      <c r="J16" s="1054" t="s">
        <v>490</v>
      </c>
      <c r="K16" s="1054" t="s">
        <v>491</v>
      </c>
      <c r="L16" s="1054" t="s">
        <v>90</v>
      </c>
      <c r="M16" s="377">
        <v>45689</v>
      </c>
      <c r="N16" s="377">
        <v>46022</v>
      </c>
      <c r="O16" s="60" t="s">
        <v>91</v>
      </c>
      <c r="P16" s="53">
        <f>+(P17*Q16)</f>
        <v>0.2</v>
      </c>
      <c r="Q16" s="66">
        <f t="shared" ref="Q16:Q21" si="1">SUM(R16:AD16)</f>
        <v>1</v>
      </c>
      <c r="R16" s="43"/>
      <c r="S16" s="43"/>
      <c r="T16" s="43"/>
      <c r="U16" s="43"/>
      <c r="V16" s="43"/>
      <c r="W16" s="43"/>
      <c r="X16" s="43"/>
      <c r="Y16" s="43"/>
      <c r="Z16" s="44"/>
      <c r="AA16" s="44"/>
      <c r="AB16" s="44"/>
      <c r="AC16" s="44"/>
      <c r="AD16" s="44">
        <v>1</v>
      </c>
      <c r="AE16" s="480"/>
      <c r="AF16" s="539"/>
      <c r="AG16" s="628"/>
      <c r="AH16" s="628"/>
    </row>
    <row r="17" spans="1:34" ht="37.4" customHeight="1" thickBot="1" x14ac:dyDescent="0.4">
      <c r="A17" s="385"/>
      <c r="B17" s="1048"/>
      <c r="C17" s="1050"/>
      <c r="D17" s="385" t="s">
        <v>84</v>
      </c>
      <c r="E17" s="1048"/>
      <c r="F17" s="1048"/>
      <c r="G17" s="1048"/>
      <c r="H17" s="1048"/>
      <c r="I17" s="1048"/>
      <c r="J17" s="1055"/>
      <c r="K17" s="1055"/>
      <c r="L17" s="1055"/>
      <c r="M17" s="632"/>
      <c r="N17" s="632"/>
      <c r="O17" s="60" t="s">
        <v>96</v>
      </c>
      <c r="P17" s="52">
        <f>100%/5</f>
        <v>0.2</v>
      </c>
      <c r="Q17" s="66">
        <f t="shared" si="1"/>
        <v>1</v>
      </c>
      <c r="R17" s="42"/>
      <c r="S17" s="42"/>
      <c r="T17" s="42"/>
      <c r="U17" s="42"/>
      <c r="V17" s="42"/>
      <c r="W17" s="42"/>
      <c r="X17" s="42"/>
      <c r="Y17" s="42"/>
      <c r="Z17" s="42"/>
      <c r="AA17" s="42"/>
      <c r="AB17" s="42"/>
      <c r="AC17" s="42"/>
      <c r="AD17" s="42">
        <v>1</v>
      </c>
      <c r="AE17" s="481"/>
      <c r="AF17" s="540"/>
      <c r="AG17" s="629"/>
      <c r="AH17" s="629"/>
    </row>
    <row r="18" spans="1:34" ht="82.15" customHeight="1" thickBot="1" x14ac:dyDescent="0.4">
      <c r="A18" s="384">
        <v>3</v>
      </c>
      <c r="B18" s="1060" t="s">
        <v>515</v>
      </c>
      <c r="C18" s="1049" t="s">
        <v>532</v>
      </c>
      <c r="D18" s="384" t="s">
        <v>84</v>
      </c>
      <c r="E18" s="1060" t="s">
        <v>451</v>
      </c>
      <c r="F18" s="1060" t="s">
        <v>384</v>
      </c>
      <c r="G18" s="1060" t="s">
        <v>691</v>
      </c>
      <c r="H18" s="1060" t="s">
        <v>496</v>
      </c>
      <c r="I18" s="1060" t="s">
        <v>497</v>
      </c>
      <c r="J18" s="1056" t="s">
        <v>490</v>
      </c>
      <c r="K18" s="1052" t="s">
        <v>498</v>
      </c>
      <c r="L18" s="1056" t="s">
        <v>177</v>
      </c>
      <c r="M18" s="377">
        <v>45689</v>
      </c>
      <c r="N18" s="377">
        <v>46022</v>
      </c>
      <c r="O18" s="60" t="s">
        <v>91</v>
      </c>
      <c r="P18" s="53">
        <f>+(P19*Q18)</f>
        <v>0.2</v>
      </c>
      <c r="Q18" s="66">
        <f t="shared" si="1"/>
        <v>1</v>
      </c>
      <c r="R18" s="43"/>
      <c r="S18" s="43"/>
      <c r="T18" s="43"/>
      <c r="U18" s="43">
        <v>0.25</v>
      </c>
      <c r="V18" s="43"/>
      <c r="W18" s="43"/>
      <c r="X18" s="43">
        <v>0.25</v>
      </c>
      <c r="Y18" s="43"/>
      <c r="Z18" s="44"/>
      <c r="AA18" s="44">
        <v>0.25</v>
      </c>
      <c r="AB18" s="44"/>
      <c r="AC18" s="44"/>
      <c r="AD18" s="44">
        <v>0.25</v>
      </c>
      <c r="AE18" s="1058" t="s">
        <v>501</v>
      </c>
      <c r="AF18" s="1058" t="s">
        <v>502</v>
      </c>
      <c r="AG18" s="540" t="s">
        <v>503</v>
      </c>
      <c r="AH18" s="628" t="s">
        <v>504</v>
      </c>
    </row>
    <row r="19" spans="1:34" ht="37.4" customHeight="1" thickBot="1" x14ac:dyDescent="0.4">
      <c r="A19" s="385"/>
      <c r="B19" s="630"/>
      <c r="C19" s="1050"/>
      <c r="D19" s="385" t="s">
        <v>84</v>
      </c>
      <c r="E19" s="630"/>
      <c r="F19" s="630"/>
      <c r="G19" s="630"/>
      <c r="H19" s="630"/>
      <c r="I19" s="630"/>
      <c r="J19" s="1057"/>
      <c r="K19" s="1053"/>
      <c r="L19" s="1057"/>
      <c r="M19" s="632"/>
      <c r="N19" s="632"/>
      <c r="O19" s="60" t="s">
        <v>96</v>
      </c>
      <c r="P19" s="52">
        <f>100%/5</f>
        <v>0.2</v>
      </c>
      <c r="Q19" s="66">
        <f t="shared" si="1"/>
        <v>1</v>
      </c>
      <c r="R19" s="42"/>
      <c r="S19" s="42"/>
      <c r="T19" s="42"/>
      <c r="U19" s="42">
        <v>0.25</v>
      </c>
      <c r="V19" s="42"/>
      <c r="W19" s="42"/>
      <c r="X19" s="42">
        <v>0.25</v>
      </c>
      <c r="Y19" s="42"/>
      <c r="Z19" s="42"/>
      <c r="AA19" s="42">
        <v>0.25</v>
      </c>
      <c r="AB19" s="42"/>
      <c r="AC19" s="42"/>
      <c r="AD19" s="42">
        <v>0.25</v>
      </c>
      <c r="AE19" s="1059"/>
      <c r="AF19" s="1059"/>
      <c r="AG19" s="628"/>
      <c r="AH19" s="629"/>
    </row>
    <row r="20" spans="1:34" ht="105" customHeight="1" thickBot="1" x14ac:dyDescent="0.4">
      <c r="A20" s="384">
        <v>4</v>
      </c>
      <c r="B20" s="1047" t="s">
        <v>515</v>
      </c>
      <c r="C20" s="1049" t="s">
        <v>532</v>
      </c>
      <c r="D20" s="384" t="s">
        <v>84</v>
      </c>
      <c r="E20" s="1047" t="s">
        <v>451</v>
      </c>
      <c r="F20" s="1047" t="s">
        <v>384</v>
      </c>
      <c r="G20" s="1047" t="s">
        <v>692</v>
      </c>
      <c r="H20" s="1047" t="s">
        <v>499</v>
      </c>
      <c r="I20" s="1047" t="s">
        <v>500</v>
      </c>
      <c r="J20" s="1054" t="s">
        <v>490</v>
      </c>
      <c r="K20" s="1052" t="s">
        <v>498</v>
      </c>
      <c r="L20" s="1054" t="s">
        <v>90</v>
      </c>
      <c r="M20" s="377">
        <v>45689</v>
      </c>
      <c r="N20" s="377">
        <v>46022</v>
      </c>
      <c r="O20" s="60" t="s">
        <v>91</v>
      </c>
      <c r="P20" s="53">
        <f>+(P21*Q20)</f>
        <v>0.2</v>
      </c>
      <c r="Q20" s="66">
        <f t="shared" si="1"/>
        <v>1</v>
      </c>
      <c r="R20" s="43"/>
      <c r="S20" s="43"/>
      <c r="T20" s="43"/>
      <c r="U20" s="43"/>
      <c r="V20" s="43"/>
      <c r="W20" s="43"/>
      <c r="X20" s="43">
        <v>0.5</v>
      </c>
      <c r="Y20" s="43"/>
      <c r="Z20" s="44">
        <v>0.25</v>
      </c>
      <c r="AA20" s="44"/>
      <c r="AB20" s="44"/>
      <c r="AC20" s="44"/>
      <c r="AD20" s="44">
        <v>0.25</v>
      </c>
      <c r="AE20" s="680"/>
      <c r="AF20" s="540" t="s">
        <v>505</v>
      </c>
      <c r="AG20" s="540" t="s">
        <v>506</v>
      </c>
      <c r="AH20" s="540" t="s">
        <v>507</v>
      </c>
    </row>
    <row r="21" spans="1:34" ht="47.15" customHeight="1" x14ac:dyDescent="0.35">
      <c r="A21" s="385"/>
      <c r="B21" s="1048"/>
      <c r="C21" s="1050"/>
      <c r="D21" s="385" t="s">
        <v>84</v>
      </c>
      <c r="E21" s="1048"/>
      <c r="F21" s="1048"/>
      <c r="G21" s="1048"/>
      <c r="H21" s="1048"/>
      <c r="I21" s="1048"/>
      <c r="J21" s="1055"/>
      <c r="K21" s="1053"/>
      <c r="L21" s="1055"/>
      <c r="M21" s="632"/>
      <c r="N21" s="632"/>
      <c r="O21" s="60" t="s">
        <v>96</v>
      </c>
      <c r="P21" s="52">
        <f>100%/5</f>
        <v>0.2</v>
      </c>
      <c r="Q21" s="66">
        <f t="shared" si="1"/>
        <v>1</v>
      </c>
      <c r="R21" s="42"/>
      <c r="S21" s="42"/>
      <c r="T21" s="42"/>
      <c r="U21" s="42"/>
      <c r="V21" s="42"/>
      <c r="W21" s="42"/>
      <c r="X21" s="42">
        <v>0.5</v>
      </c>
      <c r="Y21" s="42"/>
      <c r="Z21" s="42"/>
      <c r="AA21" s="42">
        <v>0.25</v>
      </c>
      <c r="AB21" s="42"/>
      <c r="AC21" s="42"/>
      <c r="AD21" s="42">
        <v>0.25</v>
      </c>
      <c r="AE21" s="481"/>
      <c r="AF21" s="539"/>
      <c r="AG21" s="628"/>
      <c r="AH21" s="628"/>
    </row>
    <row r="22" spans="1:34" ht="15" hidden="1" customHeight="1" x14ac:dyDescent="0.35"/>
    <row r="23" spans="1:34" s="13" customFormat="1" ht="30" hidden="1" customHeight="1" x14ac:dyDescent="0.35">
      <c r="D23" s="379" t="s">
        <v>42</v>
      </c>
      <c r="E23" s="379"/>
      <c r="F23" s="21">
        <v>1</v>
      </c>
      <c r="H23" s="631" t="s">
        <v>130</v>
      </c>
      <c r="I23" s="22" t="s">
        <v>131</v>
      </c>
      <c r="J23" s="54" t="e">
        <f>SUM(N23:AC23)</f>
        <v>#REF!</v>
      </c>
      <c r="K23" s="33"/>
      <c r="L23" s="33"/>
      <c r="M23" s="33"/>
      <c r="N23" s="33" t="e">
        <f>+(V14*$P$15)+(V16*$P$17)+(V18*$P$19)+(V20*$P$21)+(#REF!*#REF!)+(#REF!*#REF!)+(#REF!*#REF!)+(#REF!*#REF!)+(#REF!*#REF!)+(#REF!*#REF!)+(#REF!*#REF!)+(#REF!*#REF!)+(#REF!*#REF!)</f>
        <v>#REF!</v>
      </c>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1"/>
    </row>
    <row r="24" spans="1:34" s="13" customFormat="1" ht="30" hidden="1" customHeight="1" x14ac:dyDescent="0.35">
      <c r="D24" s="379"/>
      <c r="E24" s="379"/>
      <c r="F24" s="21"/>
      <c r="H24" s="546"/>
      <c r="I24" s="15" t="s">
        <v>132</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2"/>
    </row>
    <row r="25" spans="1:34" s="13" customFormat="1" ht="30" hidden="1" customHeight="1" x14ac:dyDescent="0.35">
      <c r="H25" s="546"/>
      <c r="I25" s="15" t="s">
        <v>133</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2"/>
    </row>
    <row r="26" spans="1:34" s="13" customFormat="1" ht="30" hidden="1" customHeight="1" thickBot="1" x14ac:dyDescent="0.4">
      <c r="H26" s="547"/>
      <c r="I26" s="18" t="s">
        <v>134</v>
      </c>
      <c r="J26" s="19"/>
      <c r="K26" s="35"/>
      <c r="L26" s="35"/>
      <c r="M26" s="35"/>
      <c r="N26" s="35"/>
      <c r="O26" s="35"/>
      <c r="P26" s="38"/>
      <c r="Q26" s="35"/>
      <c r="R26" s="35"/>
      <c r="S26" s="28"/>
      <c r="T26" s="29"/>
      <c r="U26" s="29"/>
      <c r="V26" s="29"/>
      <c r="W26" s="29"/>
      <c r="X26" s="29"/>
      <c r="Y26" s="29"/>
      <c r="Z26" s="29"/>
      <c r="AA26" s="29" t="e">
        <f>+O25+AA25</f>
        <v>#REF!</v>
      </c>
      <c r="AB26" s="40"/>
      <c r="AC26" s="29"/>
      <c r="AD26" s="62"/>
    </row>
    <row r="27" spans="1:34" s="13" customFormat="1" ht="30" hidden="1" customHeight="1" x14ac:dyDescent="0.35">
      <c r="H27" s="545" t="s">
        <v>135</v>
      </c>
      <c r="I27" s="15" t="s">
        <v>136</v>
      </c>
      <c r="J27" s="23" t="e">
        <f>SUM(N27:AC27)</f>
        <v>#REF!</v>
      </c>
      <c r="K27" s="34"/>
      <c r="L27" s="34"/>
      <c r="M27" s="34"/>
      <c r="N27" s="34" t="e">
        <f>+(V15*$P$15)+(V17*$P$17)+(V19*$P$19)+(V21*$P$21)+(#REF!*#REF!)+(#REF!*#REF!)+(#REF!*#REF!)+(#REF!*#REF!)+(#REF!*#REF!)+(#REF!*#REF!)+(#REF!*#REF!)+(#REF!*#REF!)+(#REF!*#REF!)</f>
        <v>#REF!</v>
      </c>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1"/>
    </row>
    <row r="28" spans="1:34" s="13" customFormat="1" ht="30" hidden="1" customHeight="1" x14ac:dyDescent="0.35">
      <c r="H28" s="546"/>
      <c r="I28" s="15" t="s">
        <v>137</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1"/>
    </row>
    <row r="29" spans="1:34" s="13" customFormat="1" ht="30" hidden="1" customHeight="1" x14ac:dyDescent="0.35">
      <c r="H29" s="546"/>
      <c r="I29" s="15" t="s">
        <v>138</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2"/>
    </row>
    <row r="30" spans="1:34" s="13" customFormat="1" ht="30" hidden="1" customHeight="1" thickBot="1" x14ac:dyDescent="0.4">
      <c r="H30" s="547"/>
      <c r="I30" s="20" t="s">
        <v>139</v>
      </c>
      <c r="J30" s="19"/>
      <c r="K30" s="35"/>
      <c r="L30" s="35"/>
      <c r="M30" s="35"/>
      <c r="N30" s="35"/>
      <c r="O30" s="35"/>
      <c r="P30" s="38"/>
      <c r="Q30" s="35"/>
      <c r="R30" s="35"/>
      <c r="S30" s="28"/>
      <c r="T30" s="29"/>
      <c r="U30" s="29"/>
      <c r="V30" s="29"/>
      <c r="W30" s="29"/>
      <c r="X30" s="29"/>
      <c r="Y30" s="29"/>
      <c r="Z30" s="29"/>
      <c r="AA30" s="29" t="e">
        <f>+O29+AA29</f>
        <v>#REF!</v>
      </c>
      <c r="AB30" s="40"/>
      <c r="AC30" s="41"/>
      <c r="AD30" s="62"/>
    </row>
    <row r="31" spans="1:34" ht="30" hidden="1" customHeight="1" x14ac:dyDescent="0.35">
      <c r="H31" s="24"/>
      <c r="I31" s="380" t="s">
        <v>140</v>
      </c>
      <c r="J31" s="380"/>
      <c r="K31" s="46"/>
      <c r="L31" s="46"/>
      <c r="M31" s="46"/>
      <c r="N31" s="46" t="e">
        <f>+N23/N27</f>
        <v>#REF!</v>
      </c>
      <c r="O31" s="47" t="e">
        <f>+(N23+#REF!+#REF!+#REF!+#REF!+#REF!+#REF!+O23)/(N27+#REF!+#REF!+#REF!+#REF!+#REF!+#REF!+O27)</f>
        <v>#REF!</v>
      </c>
      <c r="P31" s="48" t="e">
        <f>+(N23+#REF!+#REF!+#REF!+#REF!+#REF!+#REF!+O23+P23)/(N27+#REF!+#REF!+#REF!+#REF!+#REF!+#REF!+O27+P27)</f>
        <v>#REF!</v>
      </c>
      <c r="Q31" s="46" t="e">
        <f>+(N23+#REF!+#REF!+#REF!+#REF!+#REF!+#REF!+O23+P23+Q23)/(N27+#REF!+#REF!+#REF!+#REF!+#REF!+#REF!+O27+P27+Q27)</f>
        <v>#REF!</v>
      </c>
      <c r="R31" s="46" t="e">
        <f>+(N23+#REF!+#REF!+#REF!+#REF!+#REF!+#REF!+O23+P23+Q23+R23)/(N27+#REF!+#REF!+#REF!+#REF!+#REF!+#REF!+O27+P27+Q27+R27)</f>
        <v>#REF!</v>
      </c>
      <c r="S31" s="47" t="e">
        <f>+(N23+#REF!+#REF!+#REF!+#REF!+#REF!+#REF!+O23+P23+Q23+R23+S23)/(N27+#REF!+#REF!+#REF!+#REF!+#REF!+#REF!+O27+P27+Q27+R27+S27)</f>
        <v>#REF!</v>
      </c>
      <c r="T31" s="46" t="e">
        <f>+(N23+#REF!+#REF!+#REF!+#REF!+#REF!+#REF!+O23+P23+Q23+R23+S23+T23)/(N27+#REF!+#REF!+#REF!+#REF!+#REF!+#REF!+O27+P27+Q27+R27+S27+T27)</f>
        <v>#REF!</v>
      </c>
      <c r="U31" s="46" t="e">
        <f>+(N23+#REF!+#REF!+#REF!+#REF!+#REF!+#REF!+O23+P23+Q23+R23+S23+T23+U23)/(N27+#REF!+#REF!+#REF!+#REF!+#REF!+#REF!+O27+P27+Q27+R27+S27+T27+U27)</f>
        <v>#REF!</v>
      </c>
      <c r="V31" s="46" t="e">
        <f>+(N23+#REF!+#REF!+#REF!+#REF!+#REF!+#REF!+O23+P23+Q23+R23+S23+T23+U23+V23)/(N27+#REF!+#REF!+#REF!+#REF!+#REF!+#REF!+O27+P27+Q27+R27+S27+T27+U27+V27)</f>
        <v>#REF!</v>
      </c>
      <c r="W31" s="47" t="e">
        <f>+(N23+#REF!+#REF!+#REF!+#REF!+#REF!+#REF!+O23+P23+Q23+R23+S23+T23+U23+V23+W23)/(N27+#REF!+#REF!+#REF!+#REF!+#REF!+#REF!+O27+P27+Q27+R27+S27+T27+U27+V27+W27)</f>
        <v>#REF!</v>
      </c>
      <c r="X31" s="46" t="e">
        <f>+(N23+#REF!+#REF!+#REF!+#REF!+#REF!+#REF!+O23+P23+Q23+R23+S23+T23+U23+V23+W23+X23)/(N27+#REF!+#REF!+#REF!+#REF!+#REF!+#REF!+O27+P27+Q27+R27+S27+T27+U27+V27+W27+X27)</f>
        <v>#REF!</v>
      </c>
      <c r="Y31" s="46" t="e">
        <f>+(N23+#REF!+#REF!+#REF!+#REF!+#REF!+#REF!+O23+P23+Q23+R23+S23+T23+U23+V23+W23+X23+Y23)/(N27+#REF!+#REF!+#REF!+#REF!+#REF!+#REF!+O27+P27+Q27+R27+S27+T27+U27+V27+W27+X27+Y27)</f>
        <v>#REF!</v>
      </c>
      <c r="Z31" s="46" t="e">
        <f>+(N23+#REF!+#REF!+#REF!+#REF!+#REF!+#REF!+O23+P23+Q23+R23+S23+T23+U23+V23+W23+X23+Y23+Z23)/(N27+#REF!+#REF!+#REF!+#REF!+#REF!+#REF!+O27+P27+Q27+R27+S27+T27+U27+V27+W27+X27+Y27+Z27)</f>
        <v>#REF!</v>
      </c>
      <c r="AA31" s="47" t="e">
        <f>+(N23+#REF!+#REF!+#REF!+#REF!+#REF!+#REF!+O23+P23+Q23+R23+S23+T23+U23+V23+W23+X23+Y23+Z23+AA23)/(N27+#REF!+#REF!+#REF!+#REF!+#REF!+#REF!+O27+P27+Q27+R27+S27+T27+U27+V27+W27+X27+Y27+Z27+AA27)</f>
        <v>#REF!</v>
      </c>
      <c r="AB31" s="48" t="e">
        <f>+(N23+#REF!+#REF!+#REF!+#REF!+#REF!+#REF!+O23+P23+Q23+R23+S23+T23+U23+V23+W23+X23+Y23+Z23+AA23+AB23)/(N27+#REF!+#REF!+#REF!+#REF!+#REF!+#REF!+O27+P27+Q27+R27+S27+T27+U27+V27+W27+X27+Y27+Z27+AA27+AB27)</f>
        <v>#REF!</v>
      </c>
      <c r="AC31" s="46" t="e">
        <f>+(N23+#REF!+#REF!+#REF!+#REF!+#REF!+#REF!+O23+P23+Q23+R23+S23+T23+U23+V23+W23+X23+Y23+Z23+AA23+AB23+AC23)/(N27+#REF!+#REF!+#REF!+#REF!+#REF!+#REF!+O27+P27+Q27+R27+S27+T27+U27+V27+W27+X27+Y27+Z27+AA27+AB27+AC27)</f>
        <v>#REF!</v>
      </c>
      <c r="AD31" s="63"/>
    </row>
    <row r="32" spans="1:34" ht="30" hidden="1" customHeight="1" x14ac:dyDescent="0.35">
      <c r="H32" s="24"/>
      <c r="I32" s="381" t="s">
        <v>141</v>
      </c>
      <c r="J32" s="381"/>
      <c r="K32" s="47"/>
      <c r="L32" s="47"/>
      <c r="M32" s="47"/>
      <c r="N32" s="47" t="e">
        <f>+N23/$F$23</f>
        <v>#REF!</v>
      </c>
      <c r="O32" s="47" t="e">
        <f>+(N23+#REF!+#REF!+#REF!+#REF!+#REF!+#REF!+O23)/$F$23</f>
        <v>#REF!</v>
      </c>
      <c r="P32" s="49" t="e">
        <f>+(N23+#REF!+#REF!+#REF!+#REF!+#REF!+#REF!+O23+P23)/$F$23</f>
        <v>#REF!</v>
      </c>
      <c r="Q32" s="47" t="e">
        <f>+(N23+#REF!+#REF!+#REF!+#REF!+#REF!+#REF!+O23+P23+Q23)/$F$23</f>
        <v>#REF!</v>
      </c>
      <c r="R32" s="47" t="e">
        <f>+(N23+#REF!+#REF!+#REF!+#REF!+#REF!+#REF!+O23+P23+Q23+R23)/$F$23</f>
        <v>#REF!</v>
      </c>
      <c r="S32" s="47" t="e">
        <f>+(N23+#REF!+#REF!+#REF!+#REF!+#REF!+#REF!+O23+P23+Q23+R23+S23)/$F$23</f>
        <v>#REF!</v>
      </c>
      <c r="T32" s="47" t="e">
        <f>+(N23+#REF!+#REF!+#REF!+#REF!+#REF!+#REF!+O23+P23+Q23+R23+S23+T23)/$F$23</f>
        <v>#REF!</v>
      </c>
      <c r="U32" s="47" t="e">
        <f>+(N23+#REF!+#REF!+#REF!+#REF!+#REF!+#REF!+O23+P23+Q23+R23+S23+T23+U23)/$F$23</f>
        <v>#REF!</v>
      </c>
      <c r="V32" s="47" t="e">
        <f>+(N23+#REF!+#REF!+#REF!+#REF!+#REF!+#REF!+O23+P23+Q23+R23+S23+T23+U23+V23)/$F$23</f>
        <v>#REF!</v>
      </c>
      <c r="W32" s="47" t="e">
        <f>+(N23+#REF!+#REF!+#REF!+#REF!+#REF!+#REF!+O23+P23+Q23+R23+S23+T23+U23+V23+W23)/$F$23</f>
        <v>#REF!</v>
      </c>
      <c r="X32" s="47" t="e">
        <f>+(N23+#REF!+#REF!+#REF!+#REF!+#REF!+#REF!+O23+P23+Q23+R23+S23+T23+U23+V23+W23+X23)/$F$23</f>
        <v>#REF!</v>
      </c>
      <c r="Y32" s="47" t="e">
        <f>+(N23+#REF!+#REF!+#REF!+#REF!+#REF!+#REF!+O23+P23+Q23+R23+S23+T23+U23+V23+W23+X23+Y23)/$F$23</f>
        <v>#REF!</v>
      </c>
      <c r="Z32" s="47" t="e">
        <f>+(N23+#REF!+#REF!+#REF!+#REF!+#REF!+#REF!+O23+P23+Q23+R23+S23+T23+U23+V23+W23+X23+Y23+Z23)/$F$23</f>
        <v>#REF!</v>
      </c>
      <c r="AA32" s="47" t="e">
        <f>+(N23+#REF!+#REF!+#REF!+#REF!+#REF!+#REF!+O23+P23+Q23+R23+S23+T23+U23+V23+W23+X23+Y23+Z23+AA23)/$F$23</f>
        <v>#REF!</v>
      </c>
      <c r="AB32" s="49" t="e">
        <f>+(N23+#REF!+#REF!+#REF!+#REF!+#REF!+#REF!+O23+P23+Q23+R23+S23+T23+U23+V23+W23+X23+Y23+Z23+AA23+AB23)/$F$23</f>
        <v>#REF!</v>
      </c>
      <c r="AC32" s="47" t="e">
        <f>+(N23+#REF!+#REF!+#REF!+#REF!+#REF!+#REF!+O23+P23+Q23+R23+S23+T23+U23+V23+W23+X23+Y23+Z23+AA23+AB23+AC23)/$F$23</f>
        <v>#REF!</v>
      </c>
      <c r="AD32" s="64"/>
    </row>
    <row r="33" spans="2:30" ht="30" hidden="1" customHeight="1" x14ac:dyDescent="0.35">
      <c r="I33" s="380" t="s">
        <v>142</v>
      </c>
      <c r="J33" s="380"/>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65"/>
    </row>
    <row r="34" spans="2:30" ht="30" hidden="1" customHeight="1" x14ac:dyDescent="0.35">
      <c r="I34" s="381" t="s">
        <v>143</v>
      </c>
      <c r="J34" s="381"/>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65"/>
    </row>
    <row r="35" spans="2:30" ht="30" hidden="1" customHeight="1" x14ac:dyDescent="0.35">
      <c r="I35" s="380" t="s">
        <v>144</v>
      </c>
      <c r="J35" s="380"/>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65"/>
    </row>
    <row r="36" spans="2:30" ht="30" hidden="1" customHeight="1" x14ac:dyDescent="0.35">
      <c r="I36" s="380" t="s">
        <v>145</v>
      </c>
      <c r="J36" s="380"/>
      <c r="K36" s="50"/>
      <c r="L36" s="50"/>
      <c r="M36" s="50"/>
      <c r="N36" s="50"/>
      <c r="O36" s="47" t="e">
        <f>+(#REF!+O24)/$F$23</f>
        <v>#REF!</v>
      </c>
      <c r="P36" s="51"/>
      <c r="Q36" s="50"/>
      <c r="R36" s="50"/>
      <c r="S36" s="50"/>
      <c r="T36" s="50"/>
      <c r="U36" s="50"/>
      <c r="V36" s="50"/>
      <c r="W36" s="50"/>
      <c r="X36" s="50"/>
      <c r="Y36" s="50"/>
      <c r="Z36" s="50"/>
      <c r="AA36" s="47" t="e">
        <f>+(+#REF!+O24+S24+W24+AA24)/$F$23</f>
        <v>#REF!</v>
      </c>
      <c r="AB36" s="51"/>
      <c r="AC36" s="50"/>
      <c r="AD36" s="65"/>
    </row>
    <row r="37" spans="2:30" ht="15" hidden="1" customHeight="1" x14ac:dyDescent="0.35"/>
    <row r="38" spans="2:30" ht="35.15" hidden="1" customHeight="1" x14ac:dyDescent="0.35">
      <c r="H38" s="573" t="s">
        <v>146</v>
      </c>
      <c r="I38" s="573"/>
      <c r="J38" s="30" t="e">
        <f>+#REF!</f>
        <v>#REF!</v>
      </c>
      <c r="K38" s="32"/>
      <c r="L38" s="32"/>
      <c r="M38" s="32"/>
      <c r="N38" s="32"/>
    </row>
    <row r="39" spans="2:30" ht="35.15" hidden="1" customHeight="1" thickBot="1" x14ac:dyDescent="0.4">
      <c r="H39" s="573" t="s">
        <v>147</v>
      </c>
      <c r="I39" s="573"/>
      <c r="J39" s="25">
        <f>+F23</f>
        <v>1</v>
      </c>
      <c r="K39" s="32"/>
      <c r="L39" s="32"/>
      <c r="M39" s="32"/>
      <c r="N39" s="32"/>
    </row>
    <row r="40" spans="2:30" ht="35.15" hidden="1" customHeight="1" thickBot="1" x14ac:dyDescent="0.4">
      <c r="H40" s="573" t="s">
        <v>148</v>
      </c>
      <c r="I40" s="573"/>
      <c r="J40" s="31" t="e">
        <f>+J38/J39</f>
        <v>#REF!</v>
      </c>
      <c r="K40" s="32"/>
      <c r="L40" s="32"/>
      <c r="M40" s="32"/>
      <c r="N40" s="32"/>
    </row>
    <row r="41" spans="2:30" ht="15" hidden="1" customHeight="1" x14ac:dyDescent="0.35">
      <c r="K41" s="32"/>
      <c r="L41" s="32"/>
      <c r="M41" s="32"/>
      <c r="N41" s="32"/>
    </row>
    <row r="42" spans="2:30" ht="15" hidden="1" customHeight="1" x14ac:dyDescent="0.35">
      <c r="B42" s="371" t="s">
        <v>51</v>
      </c>
      <c r="C42" s="371" t="s">
        <v>52</v>
      </c>
      <c r="D42" s="371" t="s">
        <v>53</v>
      </c>
      <c r="E42" s="371" t="s">
        <v>54</v>
      </c>
      <c r="F42" s="371" t="s">
        <v>30</v>
      </c>
      <c r="G42" s="373" t="s">
        <v>55</v>
      </c>
      <c r="K42" s="32"/>
      <c r="L42" s="32"/>
      <c r="M42" s="32"/>
      <c r="N42" s="32"/>
    </row>
    <row r="43" spans="2:30" ht="15" hidden="1" customHeight="1" x14ac:dyDescent="0.35">
      <c r="B43" s="372"/>
      <c r="C43" s="372"/>
      <c r="D43" s="372"/>
      <c r="E43" s="372"/>
      <c r="F43" s="372"/>
      <c r="G43" s="372"/>
      <c r="K43" s="32"/>
      <c r="L43" s="32"/>
      <c r="M43" s="32"/>
      <c r="N43" s="32"/>
    </row>
    <row r="44" spans="2:30" ht="15" hidden="1" customHeight="1" x14ac:dyDescent="0.35">
      <c r="B44" s="1" t="s">
        <v>510</v>
      </c>
      <c r="C44" s="13" t="s">
        <v>829</v>
      </c>
      <c r="D44" s="1" t="s">
        <v>118</v>
      </c>
      <c r="E44" s="1" t="s">
        <v>119</v>
      </c>
      <c r="F44" s="1" t="s">
        <v>512</v>
      </c>
      <c r="G44" s="1" t="s">
        <v>513</v>
      </c>
    </row>
    <row r="45" spans="2:30" ht="15" hidden="1" customHeight="1" x14ac:dyDescent="0.35">
      <c r="B45" s="1" t="s">
        <v>515</v>
      </c>
      <c r="C45" s="13" t="s">
        <v>830</v>
      </c>
      <c r="D45" s="1" t="s">
        <v>254</v>
      </c>
      <c r="E45" s="1" t="s">
        <v>517</v>
      </c>
      <c r="F45" s="1" t="s">
        <v>518</v>
      </c>
      <c r="G45" s="1" t="s">
        <v>519</v>
      </c>
    </row>
    <row r="46" spans="2:30" ht="15" hidden="1" customHeight="1" x14ac:dyDescent="0.35">
      <c r="B46" s="1" t="s">
        <v>521</v>
      </c>
      <c r="C46" s="13" t="s">
        <v>826</v>
      </c>
      <c r="D46" s="1" t="s">
        <v>84</v>
      </c>
      <c r="E46" s="1" t="s">
        <v>255</v>
      </c>
      <c r="F46" s="1" t="s">
        <v>523</v>
      </c>
      <c r="G46" s="1" t="s">
        <v>524</v>
      </c>
    </row>
    <row r="47" spans="2:30" ht="15" hidden="1" customHeight="1" x14ac:dyDescent="0.35">
      <c r="B47" s="1" t="s">
        <v>526</v>
      </c>
      <c r="C47" s="13" t="s">
        <v>827</v>
      </c>
      <c r="D47" s="1" t="s">
        <v>157</v>
      </c>
      <c r="E47" s="1" t="s">
        <v>528</v>
      </c>
      <c r="F47" s="1" t="s">
        <v>529</v>
      </c>
      <c r="G47" s="1" t="s">
        <v>530</v>
      </c>
    </row>
    <row r="48" spans="2:30" ht="15" hidden="1" customHeight="1" x14ac:dyDescent="0.35">
      <c r="B48" s="1" t="s">
        <v>531</v>
      </c>
      <c r="C48" s="13" t="s">
        <v>828</v>
      </c>
      <c r="D48" s="1" t="s">
        <v>533</v>
      </c>
      <c r="E48" s="1" t="s">
        <v>534</v>
      </c>
      <c r="F48" s="1" t="s">
        <v>535</v>
      </c>
      <c r="G48" s="1" t="s">
        <v>536</v>
      </c>
    </row>
    <row r="49" spans="2:7" ht="15" hidden="1" customHeight="1" x14ac:dyDescent="0.35">
      <c r="B49" s="1" t="s">
        <v>537</v>
      </c>
      <c r="C49" s="13" t="s">
        <v>825</v>
      </c>
      <c r="D49" s="1" t="s">
        <v>539</v>
      </c>
      <c r="E49" s="1" t="s">
        <v>150</v>
      </c>
      <c r="F49" s="1" t="s">
        <v>244</v>
      </c>
      <c r="G49" s="1" t="s">
        <v>384</v>
      </c>
    </row>
    <row r="50" spans="2:7" ht="15" hidden="1" customHeight="1" x14ac:dyDescent="0.35">
      <c r="B50" s="1" t="s">
        <v>540</v>
      </c>
      <c r="C50" s="13" t="s">
        <v>823</v>
      </c>
      <c r="D50" s="1" t="s">
        <v>542</v>
      </c>
      <c r="E50" s="1" t="s">
        <v>112</v>
      </c>
      <c r="F50" s="1" t="s">
        <v>543</v>
      </c>
      <c r="G50" s="1" t="s">
        <v>544</v>
      </c>
    </row>
    <row r="51" spans="2:7" ht="15" hidden="1" customHeight="1" x14ac:dyDescent="0.35">
      <c r="B51" s="1" t="s">
        <v>545</v>
      </c>
      <c r="C51" s="13" t="s">
        <v>821</v>
      </c>
      <c r="E51" s="1" t="s">
        <v>451</v>
      </c>
      <c r="F51" s="1" t="s">
        <v>547</v>
      </c>
      <c r="G51" s="1" t="s">
        <v>426</v>
      </c>
    </row>
    <row r="52" spans="2:7" ht="15" hidden="1" customHeight="1" x14ac:dyDescent="0.35">
      <c r="C52" s="13" t="s">
        <v>822</v>
      </c>
      <c r="E52" s="1" t="s">
        <v>123</v>
      </c>
      <c r="F52" s="1" t="s">
        <v>549</v>
      </c>
      <c r="G52" s="1" t="s">
        <v>97</v>
      </c>
    </row>
    <row r="53" spans="2:7" ht="15" hidden="1" customHeight="1" x14ac:dyDescent="0.35">
      <c r="C53" s="13" t="s">
        <v>824</v>
      </c>
      <c r="E53" s="1" t="s">
        <v>551</v>
      </c>
      <c r="F53" s="1" t="s">
        <v>552</v>
      </c>
      <c r="G53" s="1" t="s">
        <v>120</v>
      </c>
    </row>
    <row r="54" spans="2:7" ht="15" hidden="1" customHeight="1" x14ac:dyDescent="0.35">
      <c r="E54" s="1" t="s">
        <v>85</v>
      </c>
      <c r="F54" s="1" t="s">
        <v>553</v>
      </c>
      <c r="G54" s="1" t="s">
        <v>108</v>
      </c>
    </row>
    <row r="55" spans="2:7" ht="15" hidden="1" customHeight="1" x14ac:dyDescent="0.35">
      <c r="E55" s="1" t="s">
        <v>554</v>
      </c>
      <c r="F55" s="1" t="s">
        <v>555</v>
      </c>
      <c r="G55" s="1" t="s">
        <v>556</v>
      </c>
    </row>
    <row r="56" spans="2:7" ht="15" hidden="1" customHeight="1" x14ac:dyDescent="0.35">
      <c r="E56" s="1" t="s">
        <v>154</v>
      </c>
      <c r="G56" s="1" t="s">
        <v>557</v>
      </c>
    </row>
    <row r="57" spans="2:7" ht="15" hidden="1" customHeight="1" x14ac:dyDescent="0.35">
      <c r="E57" s="1" t="s">
        <v>558</v>
      </c>
      <c r="G57" s="1" t="s">
        <v>559</v>
      </c>
    </row>
    <row r="58" spans="2:7" ht="15" hidden="1" customHeight="1" x14ac:dyDescent="0.35">
      <c r="E58" s="1" t="s">
        <v>560</v>
      </c>
      <c r="G58" s="1" t="s">
        <v>561</v>
      </c>
    </row>
    <row r="59" spans="2:7" ht="15" hidden="1" customHeight="1" x14ac:dyDescent="0.35">
      <c r="E59" s="1" t="s">
        <v>107</v>
      </c>
      <c r="G59" s="1" t="s">
        <v>562</v>
      </c>
    </row>
    <row r="60" spans="2:7" ht="15" hidden="1" customHeight="1" x14ac:dyDescent="0.35">
      <c r="E60" s="1" t="s">
        <v>563</v>
      </c>
      <c r="G60" s="1" t="s">
        <v>564</v>
      </c>
    </row>
    <row r="61" spans="2:7" ht="15" hidden="1" customHeight="1" x14ac:dyDescent="0.35">
      <c r="E61" s="1" t="s">
        <v>565</v>
      </c>
      <c r="G61" s="1" t="s">
        <v>566</v>
      </c>
    </row>
    <row r="62" spans="2:7" ht="15" hidden="1" customHeight="1" x14ac:dyDescent="0.35">
      <c r="E62" s="1" t="s">
        <v>567</v>
      </c>
      <c r="G62" s="1" t="s">
        <v>568</v>
      </c>
    </row>
    <row r="63" spans="2:7" ht="15" hidden="1" customHeight="1" x14ac:dyDescent="0.35">
      <c r="G63" s="1" t="s">
        <v>569</v>
      </c>
    </row>
    <row r="64" spans="2:7" ht="15" hidden="1" customHeight="1" x14ac:dyDescent="0.35">
      <c r="G64" s="1" t="s">
        <v>570</v>
      </c>
    </row>
    <row r="65" spans="7:7" ht="15" hidden="1" customHeight="1" x14ac:dyDescent="0.35">
      <c r="G65" s="1" t="s">
        <v>571</v>
      </c>
    </row>
    <row r="66" spans="7:7" ht="15" hidden="1" customHeight="1" x14ac:dyDescent="0.35">
      <c r="G66" s="1" t="s">
        <v>572</v>
      </c>
    </row>
    <row r="67" spans="7:7" ht="15" hidden="1" customHeight="1" x14ac:dyDescent="0.35">
      <c r="G67" s="1" t="s">
        <v>573</v>
      </c>
    </row>
    <row r="68" spans="7:7" ht="15" hidden="1" customHeight="1" x14ac:dyDescent="0.35">
      <c r="G68" s="1" t="s">
        <v>574</v>
      </c>
    </row>
    <row r="69" spans="7:7" ht="15" hidden="1" customHeight="1" x14ac:dyDescent="0.35">
      <c r="G69" s="1" t="s">
        <v>575</v>
      </c>
    </row>
    <row r="70" spans="7:7" ht="15" hidden="1" customHeight="1" x14ac:dyDescent="0.35">
      <c r="G70" s="1" t="s">
        <v>576</v>
      </c>
    </row>
    <row r="71" spans="7:7" ht="15" hidden="1" customHeight="1" x14ac:dyDescent="0.35">
      <c r="G71" s="1" t="s">
        <v>577</v>
      </c>
    </row>
    <row r="72" spans="7:7" ht="15" hidden="1" customHeight="1" x14ac:dyDescent="0.35">
      <c r="G72" s="1" t="s">
        <v>578</v>
      </c>
    </row>
    <row r="73" spans="7:7" ht="15" hidden="1" customHeight="1" x14ac:dyDescent="0.35">
      <c r="G73" s="1" t="s">
        <v>579</v>
      </c>
    </row>
    <row r="74" spans="7:7" ht="15" hidden="1" customHeight="1" x14ac:dyDescent="0.35">
      <c r="G74" s="1" t="s">
        <v>580</v>
      </c>
    </row>
    <row r="75" spans="7:7" ht="15" hidden="1" customHeight="1" x14ac:dyDescent="0.35">
      <c r="G75" s="1" t="s">
        <v>581</v>
      </c>
    </row>
    <row r="76" spans="7:7" ht="15" hidden="1" customHeight="1" x14ac:dyDescent="0.35">
      <c r="G76" s="1" t="s">
        <v>582</v>
      </c>
    </row>
    <row r="77" spans="7:7" ht="15" hidden="1" customHeight="1" x14ac:dyDescent="0.35">
      <c r="G77" s="1" t="s">
        <v>124</v>
      </c>
    </row>
    <row r="78" spans="7:7" ht="15" hidden="1" customHeight="1" x14ac:dyDescent="0.35">
      <c r="G78" s="1" t="s">
        <v>583</v>
      </c>
    </row>
    <row r="79" spans="7:7" ht="15" hidden="1" customHeight="1" x14ac:dyDescent="0.35">
      <c r="G79" s="1" t="s">
        <v>584</v>
      </c>
    </row>
    <row r="80" spans="7:7" ht="15" hidden="1" customHeight="1" x14ac:dyDescent="0.35">
      <c r="G80" s="1" t="s">
        <v>585</v>
      </c>
    </row>
    <row r="81" spans="7:7" ht="15" hidden="1" customHeight="1" x14ac:dyDescent="0.35">
      <c r="G81" s="1" t="s">
        <v>586</v>
      </c>
    </row>
    <row r="82" spans="7:7" ht="15" hidden="1" customHeight="1" x14ac:dyDescent="0.35">
      <c r="G82" s="1" t="s">
        <v>87</v>
      </c>
    </row>
    <row r="83" spans="7:7" ht="15" hidden="1" customHeight="1" x14ac:dyDescent="0.35">
      <c r="G83" s="1" t="s">
        <v>587</v>
      </c>
    </row>
    <row r="84" spans="7:7" ht="15" hidden="1" customHeight="1" x14ac:dyDescent="0.35">
      <c r="G84" s="1" t="s">
        <v>588</v>
      </c>
    </row>
    <row r="85" spans="7:7" ht="15" hidden="1" customHeight="1" x14ac:dyDescent="0.35">
      <c r="G85" s="1" t="s">
        <v>261</v>
      </c>
    </row>
    <row r="86" spans="7:7" ht="15" hidden="1" customHeight="1" x14ac:dyDescent="0.35">
      <c r="G86" s="1" t="s">
        <v>589</v>
      </c>
    </row>
    <row r="87" spans="7:7" ht="15" hidden="1" customHeight="1" x14ac:dyDescent="0.35">
      <c r="G87" s="1" t="s">
        <v>590</v>
      </c>
    </row>
    <row r="88" spans="7:7" ht="15" hidden="1" customHeight="1" x14ac:dyDescent="0.35">
      <c r="G88" s="1" t="s">
        <v>591</v>
      </c>
    </row>
    <row r="89" spans="7:7" ht="15" hidden="1" customHeight="1" x14ac:dyDescent="0.35">
      <c r="G89" s="1" t="s">
        <v>592</v>
      </c>
    </row>
    <row r="90" spans="7:7" ht="15" hidden="1" customHeight="1" x14ac:dyDescent="0.35">
      <c r="G90" s="1" t="s">
        <v>593</v>
      </c>
    </row>
    <row r="91" spans="7:7" ht="15" hidden="1" customHeight="1" x14ac:dyDescent="0.35">
      <c r="G91" s="1" t="s">
        <v>594</v>
      </c>
    </row>
    <row r="92" spans="7:7" ht="15" hidden="1" customHeight="1" x14ac:dyDescent="0.35">
      <c r="G92" s="1" t="s">
        <v>595</v>
      </c>
    </row>
    <row r="93" spans="7:7" ht="15" hidden="1" customHeight="1" x14ac:dyDescent="0.35">
      <c r="G93" s="1" t="s">
        <v>596</v>
      </c>
    </row>
    <row r="94" spans="7:7" ht="15" hidden="1" customHeight="1" x14ac:dyDescent="0.35">
      <c r="G94" s="1" t="s">
        <v>597</v>
      </c>
    </row>
    <row r="95" spans="7:7" ht="15" hidden="1" customHeight="1" x14ac:dyDescent="0.35">
      <c r="G95" s="1" t="s">
        <v>259</v>
      </c>
    </row>
    <row r="96" spans="7:7" ht="15" hidden="1" customHeight="1" x14ac:dyDescent="0.35">
      <c r="G96" s="1" t="s">
        <v>39</v>
      </c>
    </row>
    <row r="97" spans="7:7" ht="15" hidden="1" customHeight="1" x14ac:dyDescent="0.35">
      <c r="G97" s="1" t="s">
        <v>153</v>
      </c>
    </row>
    <row r="98" spans="7:7" ht="15" hidden="1" customHeight="1" x14ac:dyDescent="0.35">
      <c r="G98" s="1" t="s">
        <v>598</v>
      </c>
    </row>
    <row r="99" spans="7:7" ht="15" hidden="1" customHeight="1" x14ac:dyDescent="0.35">
      <c r="G99" s="1" t="s">
        <v>599</v>
      </c>
    </row>
    <row r="100" spans="7:7" ht="15" hidden="1" customHeight="1" x14ac:dyDescent="0.35">
      <c r="G100" s="1" t="s">
        <v>600</v>
      </c>
    </row>
    <row r="101" spans="7:7" ht="15" hidden="1" customHeight="1" x14ac:dyDescent="0.35">
      <c r="G101" s="1" t="s">
        <v>601</v>
      </c>
    </row>
    <row r="102" spans="7:7" ht="15" hidden="1" customHeight="1" x14ac:dyDescent="0.35">
      <c r="G102" s="1" t="s">
        <v>602</v>
      </c>
    </row>
    <row r="103" spans="7:7" ht="15" hidden="1" customHeight="1" x14ac:dyDescent="0.35">
      <c r="G103" s="1" t="s">
        <v>603</v>
      </c>
    </row>
  </sheetData>
  <sheetProtection formatCells="0" formatColumns="0" formatRows="0" insertColumns="0" insertRows="0" insertHyperlinks="0" deleteColumns="0" deleteRows="0" sort="0" autoFilter="0" pivotTables="0"/>
  <autoFilter ref="A13:AH21" xr:uid="{7723D7EE-A84F-4CE4-9847-98943A10A2B4}"/>
  <mergeCells count="149">
    <mergeCell ref="B42:B43"/>
    <mergeCell ref="C42:C43"/>
    <mergeCell ref="D42:D43"/>
    <mergeCell ref="E42:E43"/>
    <mergeCell ref="F42:F43"/>
    <mergeCell ref="G42:G43"/>
    <mergeCell ref="N16:N17"/>
    <mergeCell ref="M16:M17"/>
    <mergeCell ref="L16:L17"/>
    <mergeCell ref="I16:I17"/>
    <mergeCell ref="J16:J17"/>
    <mergeCell ref="K16:K17"/>
    <mergeCell ref="H38:I38"/>
    <mergeCell ref="H39:I39"/>
    <mergeCell ref="H40:I40"/>
    <mergeCell ref="I31:J31"/>
    <mergeCell ref="I32:J32"/>
    <mergeCell ref="I33:J33"/>
    <mergeCell ref="I34:J34"/>
    <mergeCell ref="I35:J35"/>
    <mergeCell ref="I36:J36"/>
    <mergeCell ref="D23:E23"/>
    <mergeCell ref="H23:H26"/>
    <mergeCell ref="D24:E24"/>
    <mergeCell ref="E14:E15"/>
    <mergeCell ref="F18:F19"/>
    <mergeCell ref="G18:G19"/>
    <mergeCell ref="H18:H19"/>
    <mergeCell ref="A18:A19"/>
    <mergeCell ref="B18:B19"/>
    <mergeCell ref="C18:C19"/>
    <mergeCell ref="D18:D19"/>
    <mergeCell ref="E18:E19"/>
    <mergeCell ref="F14:F15"/>
    <mergeCell ref="D14:D15"/>
    <mergeCell ref="C14:C15"/>
    <mergeCell ref="B14:B15"/>
    <mergeCell ref="A14:A15"/>
    <mergeCell ref="H27:H30"/>
    <mergeCell ref="N20:N21"/>
    <mergeCell ref="A20:A21"/>
    <mergeCell ref="B20:B21"/>
    <mergeCell ref="C20:C21"/>
    <mergeCell ref="D20:D21"/>
    <mergeCell ref="E20:E21"/>
    <mergeCell ref="F20:F21"/>
    <mergeCell ref="G20:G21"/>
    <mergeCell ref="H20:H21"/>
    <mergeCell ref="AE20:AE21"/>
    <mergeCell ref="AF20:AF21"/>
    <mergeCell ref="AG20:AG21"/>
    <mergeCell ref="AH20:AH21"/>
    <mergeCell ref="I20:I21"/>
    <mergeCell ref="K20:K21"/>
    <mergeCell ref="L20:L21"/>
    <mergeCell ref="M20:M21"/>
    <mergeCell ref="AG18:AG19"/>
    <mergeCell ref="AH18:AH19"/>
    <mergeCell ref="L18:L19"/>
    <mergeCell ref="M18:M19"/>
    <mergeCell ref="N18:N19"/>
    <mergeCell ref="AE18:AE19"/>
    <mergeCell ref="AF18:AF19"/>
    <mergeCell ref="I18:I19"/>
    <mergeCell ref="J18:J19"/>
    <mergeCell ref="K18:K19"/>
    <mergeCell ref="J20:J21"/>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G14:G15"/>
    <mergeCell ref="H14:H15"/>
    <mergeCell ref="I14:I15"/>
    <mergeCell ref="J14:J15"/>
    <mergeCell ref="K14:K15"/>
    <mergeCell ref="AE16:AE17"/>
    <mergeCell ref="AF16:AF17"/>
    <mergeCell ref="AG16:AG17"/>
    <mergeCell ref="AH16:AH17"/>
    <mergeCell ref="AD12:AD13"/>
    <mergeCell ref="AE12:AE13"/>
    <mergeCell ref="AF12:AF13"/>
    <mergeCell ref="AG12:AG13"/>
    <mergeCell ref="AH12:AH13"/>
    <mergeCell ref="X12:X13"/>
    <mergeCell ref="Y12:Y13"/>
    <mergeCell ref="Z12:Z13"/>
    <mergeCell ref="AA12:AA13"/>
    <mergeCell ref="AB12:AB13"/>
    <mergeCell ref="AC12:AC13"/>
    <mergeCell ref="N12:N13"/>
    <mergeCell ref="O12:O13"/>
    <mergeCell ref="P12:P13"/>
    <mergeCell ref="Q12:Q13"/>
    <mergeCell ref="H12:H13"/>
    <mergeCell ref="I12:I13"/>
    <mergeCell ref="J12:J13"/>
    <mergeCell ref="K12:K13"/>
    <mergeCell ref="L12:L13"/>
    <mergeCell ref="T12:T13"/>
    <mergeCell ref="U12:U13"/>
    <mergeCell ref="V12:V13"/>
    <mergeCell ref="W12:W13"/>
    <mergeCell ref="A11:F11"/>
    <mergeCell ref="G11:N11"/>
    <mergeCell ref="O11:AD11"/>
    <mergeCell ref="AE11:AH11"/>
    <mergeCell ref="L6:L10"/>
    <mergeCell ref="M6:N10"/>
    <mergeCell ref="O6:Q10"/>
    <mergeCell ref="R6:U10"/>
    <mergeCell ref="V6:Y10"/>
    <mergeCell ref="K6:K10"/>
    <mergeCell ref="A12:A13"/>
    <mergeCell ref="B12:B13"/>
    <mergeCell ref="C12:C13"/>
    <mergeCell ref="D12:D13"/>
    <mergeCell ref="E12:E13"/>
    <mergeCell ref="F12:F13"/>
    <mergeCell ref="G12:G13"/>
    <mergeCell ref="R12:R13"/>
    <mergeCell ref="S12:S13"/>
    <mergeCell ref="M12:M13"/>
    <mergeCell ref="A1:C3"/>
    <mergeCell ref="D1:AH3"/>
    <mergeCell ref="A4:A5"/>
    <mergeCell ref="G4:G5"/>
    <mergeCell ref="A6:B10"/>
    <mergeCell ref="C6:D10"/>
    <mergeCell ref="E6:F10"/>
    <mergeCell ref="G6:G10"/>
    <mergeCell ref="H6:I10"/>
    <mergeCell ref="J6:J10"/>
    <mergeCell ref="Z6:AC10"/>
    <mergeCell ref="AD6:AE10"/>
    <mergeCell ref="AF6:AF10"/>
    <mergeCell ref="AG6:AG10"/>
  </mergeCells>
  <conditionalFormatting sqref="I4">
    <cfRule type="cellIs" dxfId="18" priority="16" operator="lessThanOrEqual">
      <formula>$C$4</formula>
    </cfRule>
  </conditionalFormatting>
  <conditionalFormatting sqref="J6 Q14:Q21">
    <cfRule type="cellIs" dxfId="17" priority="17" operator="greaterThanOrEqual">
      <formula>$C$5</formula>
    </cfRule>
    <cfRule type="cellIs" dxfId="16" priority="18" operator="lessThanOrEqual">
      <formula>$C$4</formula>
    </cfRule>
    <cfRule type="cellIs" dxfId="15" priority="19" operator="between">
      <formula>$C$5</formula>
      <formula>$C$4</formula>
    </cfRule>
  </conditionalFormatting>
  <conditionalFormatting sqref="O6">
    <cfRule type="cellIs" dxfId="14" priority="13" operator="greaterThanOrEqual">
      <formula>$I$5</formula>
    </cfRule>
    <cfRule type="cellIs" dxfId="13" priority="14" operator="lessThanOrEqual">
      <formula>$I$4</formula>
    </cfRule>
    <cfRule type="cellIs" dxfId="12" priority="15" operator="between">
      <formula>$I$5</formula>
      <formula>$I$4</formula>
    </cfRule>
  </conditionalFormatting>
  <conditionalFormatting sqref="S31:S34 W31:W34 O31:O36 AA31:AA36 K32:N32 P32:R32 T32:V32 X32:Z32 AB32:AD32 J40">
    <cfRule type="cellIs" dxfId="11" priority="20" operator="greaterThanOrEqual">
      <formula>$D$9</formula>
    </cfRule>
    <cfRule type="cellIs" dxfId="10" priority="21" operator="lessThanOrEqual">
      <formula>$C$6</formula>
    </cfRule>
    <cfRule type="cellIs" dxfId="9" priority="22" operator="between">
      <formula>$C$6</formula>
      <formula>$D$9</formula>
    </cfRule>
  </conditionalFormatting>
  <conditionalFormatting sqref="V6">
    <cfRule type="cellIs" dxfId="8" priority="7" operator="greaterThanOrEqual">
      <formula>$I$5</formula>
    </cfRule>
    <cfRule type="cellIs" dxfId="7" priority="8" operator="lessThanOrEqual">
      <formula>$I$4</formula>
    </cfRule>
    <cfRule type="cellIs" dxfId="6" priority="9" operator="between">
      <formula>$I$5</formula>
      <formula>$I$4</formula>
    </cfRule>
  </conditionalFormatting>
  <conditionalFormatting sqref="AD6">
    <cfRule type="cellIs" dxfId="5" priority="4" operator="greaterThanOrEqual">
      <formula>$I$5</formula>
    </cfRule>
    <cfRule type="cellIs" dxfId="4" priority="5" operator="lessThanOrEqual">
      <formula>$I$4</formula>
    </cfRule>
    <cfRule type="cellIs" dxfId="3" priority="6" operator="between">
      <formula>$I$5</formula>
      <formula>$I$4</formula>
    </cfRule>
  </conditionalFormatting>
  <conditionalFormatting sqref="AG6">
    <cfRule type="cellIs" dxfId="2" priority="1" operator="greaterThanOrEqual">
      <formula>$I$5</formula>
    </cfRule>
    <cfRule type="cellIs" dxfId="1" priority="2" operator="lessThanOrEqual">
      <formula>$I$4</formula>
    </cfRule>
    <cfRule type="cellIs" dxfId="0" priority="3" operator="between">
      <formula>$I$5</formula>
      <formula>$I$4</formula>
    </cfRule>
  </conditionalFormatting>
  <dataValidations count="10">
    <dataValidation type="decimal" allowBlank="1" showInputMessage="1" showErrorMessage="1" prompt="valor porcentual de la activida - Indique el peso porcentual de la actividad dentro del proyecto" sqref="P14 P20 P16 P18" xr:uid="{3B8B5ED9-8025-4F76-8799-A17734ABD876}">
      <formula1>0</formula1>
      <formula2>1</formula2>
    </dataValidation>
    <dataValidation type="decimal" allowBlank="1" showInputMessage="1" showErrorMessage="1" prompt="campo calculado  - indica el % de avance  que aporta la activadad a todo el proyecto" sqref="P21 P17 P15 P19" xr:uid="{262DF8B3-B77E-4B14-BCC8-0855A759C7CB}">
      <formula1>0</formula1>
      <formula2>1</formula2>
    </dataValidation>
    <dataValidation type="decimal" allowBlank="1" showInputMessage="1" showErrorMessage="1" prompt="% de avance en la actividad - indique el % programado de avance durante esta semana_x000a_" sqref="R14:AD21" xr:uid="{45D94B7C-80F1-4224-B220-F5DC7D14C3A9}">
      <formula1>0</formula1>
      <formula2>1</formula2>
    </dataValidation>
    <dataValidation allowBlank="1" showErrorMessage="1" sqref="Q14:Q21" xr:uid="{05390F29-7F08-4563-96ED-AC268129708F}"/>
    <dataValidation type="list" allowBlank="1" showInputMessage="1" showErrorMessage="1" sqref="F14:F15" xr:uid="{0020B7E1-C8F7-485C-AB0B-26458C4AD6A2}">
      <formula1>$G$44:$G$103</formula1>
    </dataValidation>
    <dataValidation type="list" allowBlank="1" showInputMessage="1" showErrorMessage="1" sqref="E14:E15" xr:uid="{7E5D2376-68D1-4AAB-8C8F-05088413EA5A}">
      <formula1>$E$44:$E$62</formula1>
    </dataValidation>
    <dataValidation type="list" allowBlank="1" showInputMessage="1" showErrorMessage="1" sqref="D14:D21" xr:uid="{BF334B02-7764-465D-83F8-A93FE9D5864A}">
      <formula1>$D$44:$D$50</formula1>
    </dataValidation>
    <dataValidation type="list" allowBlank="1" showInputMessage="1" showErrorMessage="1" sqref="C14:C15" xr:uid="{F61F9BD4-EA34-445F-84DB-42C8FDF15C32}">
      <formula1>$C$44:$C$53</formula1>
    </dataValidation>
    <dataValidation type="list" allowBlank="1" showInputMessage="1" showErrorMessage="1" sqref="B14:B15" xr:uid="{607E1622-6A36-4525-8154-36D43AEEFDBE}">
      <formula1>$B$44:$B$51</formula1>
    </dataValidation>
    <dataValidation type="list" allowBlank="1" showInputMessage="1" showErrorMessage="1" sqref="L14:L15" xr:uid="{D57C6AB7-C365-4452-B5F4-0D3741DBEAF6}">
      <formula1>$L$46:$L$48</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8994B-3092-4F2C-A0C5-52B639F94795}">
  <dimension ref="A1:AK28"/>
  <sheetViews>
    <sheetView zoomScale="88" zoomScaleNormal="88" workbookViewId="0">
      <selection activeCell="H23" sqref="H23"/>
    </sheetView>
  </sheetViews>
  <sheetFormatPr baseColWidth="10" defaultColWidth="11.453125" defaultRowHeight="14.5" x14ac:dyDescent="0.35"/>
  <cols>
    <col min="32" max="32" width="10.81640625" style="170"/>
    <col min="33" max="33" width="17.7265625" style="170" bestFit="1" customWidth="1"/>
    <col min="34" max="34" width="25.1796875" style="170" bestFit="1" customWidth="1"/>
    <col min="35" max="35" width="25.7265625" style="170" bestFit="1" customWidth="1"/>
    <col min="36" max="37" width="26.453125" style="170" bestFit="1" customWidth="1"/>
  </cols>
  <sheetData>
    <row r="1" spans="1:37" ht="14.5" customHeight="1" x14ac:dyDescent="0.35">
      <c r="A1" s="356" t="s">
        <v>508</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8"/>
      <c r="AF1" s="176" t="s">
        <v>6</v>
      </c>
      <c r="AG1" s="176" t="s">
        <v>7</v>
      </c>
      <c r="AH1" s="176" t="s">
        <v>8</v>
      </c>
      <c r="AI1" s="176" t="s">
        <v>9</v>
      </c>
      <c r="AJ1" s="176" t="s">
        <v>10</v>
      </c>
      <c r="AK1" s="176" t="s">
        <v>11</v>
      </c>
    </row>
    <row r="2" spans="1:37" ht="14.5" customHeight="1" x14ac:dyDescent="0.35">
      <c r="A2" s="356"/>
      <c r="B2" s="357"/>
      <c r="C2" s="357"/>
      <c r="D2" s="357"/>
      <c r="E2" s="357"/>
      <c r="F2" s="357"/>
      <c r="G2" s="357"/>
      <c r="H2" s="357"/>
      <c r="I2" s="357"/>
      <c r="J2" s="357"/>
      <c r="K2" s="357"/>
      <c r="L2" s="357"/>
      <c r="M2" s="357"/>
      <c r="N2" s="357"/>
      <c r="O2" s="357"/>
      <c r="P2" s="357"/>
      <c r="Q2" s="357"/>
      <c r="R2" s="357"/>
      <c r="S2" s="357"/>
      <c r="T2" s="357"/>
      <c r="U2" s="357"/>
      <c r="V2" s="357"/>
      <c r="W2" s="357"/>
      <c r="X2" s="357"/>
      <c r="Y2" s="357"/>
      <c r="Z2" s="357"/>
      <c r="AA2" s="357"/>
      <c r="AB2" s="357"/>
      <c r="AC2" s="357"/>
      <c r="AD2" s="357"/>
      <c r="AE2" s="358"/>
      <c r="AF2" s="170" t="s">
        <v>12</v>
      </c>
      <c r="AG2" s="177" t="e">
        <f>AVERAGE(AG3:AG14)</f>
        <v>#REF!</v>
      </c>
      <c r="AH2" s="177" t="e">
        <f>AVERAGE(AH3:AH14)</f>
        <v>#REF!</v>
      </c>
      <c r="AI2" s="177" t="e">
        <f t="shared" ref="AI2:AJ2" si="0">AVERAGE(AI3:AI14)</f>
        <v>#REF!</v>
      </c>
      <c r="AJ2" s="177" t="e">
        <f t="shared" si="0"/>
        <v>#REF!</v>
      </c>
      <c r="AK2" s="177" t="e">
        <f>AVERAGE(AK3:AK14)</f>
        <v>#REF!</v>
      </c>
    </row>
    <row r="3" spans="1:37" x14ac:dyDescent="0.35">
      <c r="A3" s="359" t="s">
        <v>13</v>
      </c>
      <c r="B3" s="360"/>
      <c r="C3" s="360"/>
      <c r="D3" s="360"/>
      <c r="E3" s="360"/>
      <c r="F3" s="361"/>
      <c r="G3" s="359" t="s">
        <v>8</v>
      </c>
      <c r="H3" s="360"/>
      <c r="I3" s="360"/>
      <c r="J3" s="360"/>
      <c r="K3" s="360"/>
      <c r="L3" s="361"/>
      <c r="M3" s="359" t="s">
        <v>14</v>
      </c>
      <c r="N3" s="360"/>
      <c r="O3" s="360"/>
      <c r="P3" s="360"/>
      <c r="Q3" s="360"/>
      <c r="R3" s="361"/>
      <c r="S3" s="359" t="s">
        <v>15</v>
      </c>
      <c r="T3" s="360"/>
      <c r="U3" s="360"/>
      <c r="V3" s="360"/>
      <c r="W3" s="360"/>
      <c r="X3" s="361"/>
      <c r="Y3" s="363" t="s">
        <v>16</v>
      </c>
      <c r="Z3" s="364"/>
      <c r="AA3" s="364"/>
      <c r="AB3" s="364"/>
      <c r="AC3" s="364"/>
      <c r="AD3" s="364"/>
      <c r="AE3" s="364"/>
      <c r="AF3" s="170" t="s">
        <v>17</v>
      </c>
      <c r="AG3" s="177">
        <f>'01. SECTORIAL'!I6</f>
        <v>1.0526315789473684</v>
      </c>
      <c r="AH3" s="177">
        <f>'01. SECTORIAL'!O6</f>
        <v>1.0526315789473684</v>
      </c>
      <c r="AI3" s="177">
        <f>'01. SECTORIAL'!V6</f>
        <v>1.0526315789473684</v>
      </c>
      <c r="AJ3" s="177">
        <f>'01. SECTORIAL'!AD6</f>
        <v>1.0526315789473684</v>
      </c>
      <c r="AK3" s="177">
        <f>'01. SECTORIAL'!AG6</f>
        <v>1.0526315789473684</v>
      </c>
    </row>
    <row r="4" spans="1:37" x14ac:dyDescent="0.35">
      <c r="A4" s="362"/>
      <c r="B4" s="362"/>
      <c r="C4" s="362"/>
      <c r="D4" s="362"/>
      <c r="E4" s="362"/>
      <c r="F4" s="362"/>
      <c r="G4" s="362"/>
      <c r="H4" s="362"/>
      <c r="I4" s="362"/>
      <c r="J4" s="362"/>
      <c r="K4" s="362"/>
      <c r="L4" s="362"/>
      <c r="M4" s="362"/>
      <c r="N4" s="362"/>
      <c r="O4" s="362"/>
      <c r="P4" s="362"/>
      <c r="Q4" s="362"/>
      <c r="R4" s="362"/>
      <c r="S4" s="362"/>
      <c r="T4" s="362"/>
      <c r="U4" s="362"/>
      <c r="V4" s="362"/>
      <c r="W4" s="362"/>
      <c r="X4" s="362"/>
      <c r="Y4" s="365"/>
      <c r="Z4" s="366"/>
      <c r="AA4" s="366"/>
      <c r="AB4" s="366"/>
      <c r="AC4" s="366"/>
      <c r="AD4" s="366"/>
      <c r="AE4" s="366"/>
      <c r="AF4" s="170" t="s">
        <v>18</v>
      </c>
      <c r="AG4" s="177" t="e">
        <f>'01. INSTITUCIONAL'!K6</f>
        <v>#REF!</v>
      </c>
      <c r="AH4" s="177" t="e">
        <f>'01. INSTITUCIONAL'!Q6</f>
        <v>#REF!</v>
      </c>
      <c r="AI4" s="177" t="e">
        <f>'01. INSTITUCIONAL'!X6</f>
        <v>#REF!</v>
      </c>
      <c r="AJ4" s="177" t="e">
        <f>'01. INSTITUCIONAL'!AF6</f>
        <v>#REF!</v>
      </c>
      <c r="AK4" s="177" t="e">
        <f>'01. INSTITUCIONAL'!AI6</f>
        <v>#REF!</v>
      </c>
    </row>
    <row r="5" spans="1:37" x14ac:dyDescent="0.35">
      <c r="A5" s="362"/>
      <c r="B5" s="362"/>
      <c r="C5" s="362"/>
      <c r="D5" s="362"/>
      <c r="E5" s="362"/>
      <c r="F5" s="362"/>
      <c r="G5" s="362"/>
      <c r="H5" s="362"/>
      <c r="I5" s="362"/>
      <c r="J5" s="362"/>
      <c r="K5" s="362"/>
      <c r="L5" s="362"/>
      <c r="M5" s="362"/>
      <c r="N5" s="362"/>
      <c r="O5" s="362"/>
      <c r="P5" s="362"/>
      <c r="Q5" s="362"/>
      <c r="R5" s="362"/>
      <c r="S5" s="362"/>
      <c r="T5" s="362"/>
      <c r="U5" s="362"/>
      <c r="V5" s="362"/>
      <c r="W5" s="362"/>
      <c r="X5" s="362"/>
      <c r="Y5" s="365"/>
      <c r="Z5" s="366"/>
      <c r="AA5" s="366"/>
      <c r="AB5" s="366"/>
      <c r="AC5" s="366"/>
      <c r="AD5" s="366"/>
      <c r="AE5" s="366"/>
      <c r="AF5" s="170" t="s">
        <v>19</v>
      </c>
      <c r="AG5" s="177">
        <f>'02. PINAR'!J6</f>
        <v>1.7543859649122806E-2</v>
      </c>
      <c r="AH5" s="177" t="e">
        <f>'02. PINAR'!P6</f>
        <v>#DIV/0!</v>
      </c>
      <c r="AI5" s="177" t="e">
        <f>'02. PINAR'!W6</f>
        <v>#DIV/0!</v>
      </c>
      <c r="AJ5" s="177" t="e">
        <f>'02. PINAR'!AE6</f>
        <v>#DIV/0!</v>
      </c>
      <c r="AK5" s="177" t="e">
        <f>'02. PINAR'!AH6</f>
        <v>#DIV/0!</v>
      </c>
    </row>
    <row r="6" spans="1:37" x14ac:dyDescent="0.35">
      <c r="A6" s="362"/>
      <c r="B6" s="362"/>
      <c r="C6" s="362"/>
      <c r="D6" s="362"/>
      <c r="E6" s="362"/>
      <c r="F6" s="362"/>
      <c r="G6" s="362"/>
      <c r="H6" s="362"/>
      <c r="I6" s="362"/>
      <c r="J6" s="362"/>
      <c r="K6" s="362"/>
      <c r="L6" s="362"/>
      <c r="M6" s="362"/>
      <c r="N6" s="362"/>
      <c r="O6" s="362"/>
      <c r="P6" s="362"/>
      <c r="Q6" s="362"/>
      <c r="R6" s="362"/>
      <c r="S6" s="362"/>
      <c r="T6" s="362"/>
      <c r="U6" s="362"/>
      <c r="V6" s="362"/>
      <c r="W6" s="362"/>
      <c r="X6" s="362"/>
      <c r="Y6" s="365"/>
      <c r="Z6" s="366"/>
      <c r="AA6" s="366"/>
      <c r="AB6" s="366"/>
      <c r="AC6" s="366"/>
      <c r="AD6" s="366"/>
      <c r="AE6" s="366"/>
      <c r="AF6" s="170" t="s">
        <v>20</v>
      </c>
      <c r="AG6" s="178">
        <f>'06. PETH'!J6</f>
        <v>1</v>
      </c>
      <c r="AI6" s="177">
        <f>'06. PETH'!P6</f>
        <v>1.0526315789473684</v>
      </c>
      <c r="AK6" s="177">
        <f>'06. PETH'!V6</f>
        <v>1.0526315789473684</v>
      </c>
    </row>
    <row r="7" spans="1:37" x14ac:dyDescent="0.35">
      <c r="A7" s="362"/>
      <c r="B7" s="362"/>
      <c r="C7" s="362"/>
      <c r="D7" s="362"/>
      <c r="E7" s="362"/>
      <c r="F7" s="362"/>
      <c r="G7" s="362"/>
      <c r="H7" s="362"/>
      <c r="I7" s="362"/>
      <c r="J7" s="362"/>
      <c r="K7" s="362"/>
      <c r="L7" s="362"/>
      <c r="M7" s="362"/>
      <c r="N7" s="362"/>
      <c r="O7" s="362"/>
      <c r="P7" s="362"/>
      <c r="Q7" s="362"/>
      <c r="R7" s="362"/>
      <c r="S7" s="362"/>
      <c r="T7" s="362"/>
      <c r="U7" s="362"/>
      <c r="V7" s="362"/>
      <c r="W7" s="362"/>
      <c r="X7" s="362"/>
      <c r="Y7" s="365"/>
      <c r="Z7" s="366"/>
      <c r="AA7" s="366"/>
      <c r="AB7" s="366"/>
      <c r="AC7" s="366"/>
      <c r="AD7" s="366"/>
      <c r="AE7" s="366"/>
      <c r="AF7" s="170" t="s">
        <v>21</v>
      </c>
      <c r="AG7" s="177">
        <f>'03. PAA'!H6</f>
        <v>0.83174603174603179</v>
      </c>
      <c r="AH7" s="177">
        <f>'03. PAA'!N6</f>
        <v>0.49197860962566847</v>
      </c>
      <c r="AI7" s="177">
        <f>'03. PAA'!R6</f>
        <v>0.95336787564766834</v>
      </c>
      <c r="AJ7" s="177">
        <f>'03. PAA'!V6</f>
        <v>0.83</v>
      </c>
      <c r="AK7" s="177">
        <f>'03. PAA'!Z6</f>
        <v>0</v>
      </c>
    </row>
    <row r="8" spans="1:37" x14ac:dyDescent="0.35">
      <c r="A8" s="362"/>
      <c r="B8" s="362"/>
      <c r="C8" s="362"/>
      <c r="D8" s="362"/>
      <c r="E8" s="362"/>
      <c r="F8" s="362"/>
      <c r="G8" s="362"/>
      <c r="H8" s="362"/>
      <c r="I8" s="362"/>
      <c r="J8" s="362"/>
      <c r="K8" s="362"/>
      <c r="L8" s="362"/>
      <c r="M8" s="362"/>
      <c r="N8" s="362"/>
      <c r="O8" s="362"/>
      <c r="P8" s="362"/>
      <c r="Q8" s="362"/>
      <c r="R8" s="362"/>
      <c r="S8" s="362"/>
      <c r="T8" s="362"/>
      <c r="U8" s="362"/>
      <c r="V8" s="362"/>
      <c r="W8" s="362"/>
      <c r="X8" s="362"/>
      <c r="Y8" s="365"/>
      <c r="Z8" s="366"/>
      <c r="AA8" s="366"/>
      <c r="AB8" s="366"/>
      <c r="AC8" s="366"/>
      <c r="AD8" s="366"/>
      <c r="AE8" s="366"/>
      <c r="AF8" s="170" t="s">
        <v>22</v>
      </c>
      <c r="AG8" s="178">
        <f>'07. PIC'!J6</f>
        <v>1</v>
      </c>
      <c r="AI8" s="177">
        <f>'07. PIC'!P6</f>
        <v>0.78947368421052633</v>
      </c>
      <c r="AK8" s="177">
        <f>'07. PIC'!U6</f>
        <v>1.3157894736842106</v>
      </c>
    </row>
    <row r="9" spans="1:37" x14ac:dyDescent="0.35">
      <c r="A9" s="362"/>
      <c r="B9" s="362"/>
      <c r="C9" s="362"/>
      <c r="D9" s="362"/>
      <c r="E9" s="362"/>
      <c r="F9" s="362"/>
      <c r="G9" s="362"/>
      <c r="H9" s="362"/>
      <c r="I9" s="362"/>
      <c r="J9" s="362"/>
      <c r="K9" s="362"/>
      <c r="L9" s="362"/>
      <c r="M9" s="362"/>
      <c r="N9" s="362"/>
      <c r="O9" s="362"/>
      <c r="P9" s="362"/>
      <c r="Q9" s="362"/>
      <c r="R9" s="362"/>
      <c r="S9" s="362"/>
      <c r="T9" s="362"/>
      <c r="U9" s="362"/>
      <c r="V9" s="362"/>
      <c r="W9" s="362"/>
      <c r="X9" s="362"/>
      <c r="Y9" s="365"/>
      <c r="Z9" s="366"/>
      <c r="AA9" s="366"/>
      <c r="AB9" s="366"/>
      <c r="AC9" s="366"/>
      <c r="AD9" s="366"/>
      <c r="AE9" s="366"/>
      <c r="AF9" s="170" t="s">
        <v>23</v>
      </c>
      <c r="AG9" s="178" t="e">
        <f>'08. PII'!I6</f>
        <v>#REF!</v>
      </c>
      <c r="AI9" s="177" t="e">
        <f>'08. PII'!O6</f>
        <v>#REF!</v>
      </c>
      <c r="AK9" s="177" t="e">
        <f>'08. PII'!V6</f>
        <v>#REF!</v>
      </c>
    </row>
    <row r="10" spans="1:37" x14ac:dyDescent="0.35">
      <c r="A10" s="362"/>
      <c r="B10" s="362"/>
      <c r="C10" s="362"/>
      <c r="D10" s="362"/>
      <c r="E10" s="362"/>
      <c r="F10" s="362"/>
      <c r="G10" s="362"/>
      <c r="H10" s="362"/>
      <c r="I10" s="362"/>
      <c r="J10" s="362"/>
      <c r="K10" s="362"/>
      <c r="L10" s="362"/>
      <c r="M10" s="362"/>
      <c r="N10" s="362"/>
      <c r="O10" s="362"/>
      <c r="P10" s="362"/>
      <c r="Q10" s="362"/>
      <c r="R10" s="362"/>
      <c r="S10" s="362"/>
      <c r="T10" s="362"/>
      <c r="U10" s="362"/>
      <c r="V10" s="362"/>
      <c r="W10" s="362"/>
      <c r="X10" s="362"/>
      <c r="Y10" s="365"/>
      <c r="Z10" s="366"/>
      <c r="AA10" s="366"/>
      <c r="AB10" s="366"/>
      <c r="AC10" s="366"/>
      <c r="AD10" s="366"/>
      <c r="AE10" s="366"/>
      <c r="AF10" s="170" t="s">
        <v>24</v>
      </c>
      <c r="AG10" s="178" t="e">
        <f>'09. PSST'!J6</f>
        <v>#REF!</v>
      </c>
      <c r="AH10" s="177" t="e">
        <f>'09. PSST'!R6</f>
        <v>#REF!</v>
      </c>
      <c r="AI10" s="177" t="e">
        <f>'09. PSST'!Y6</f>
        <v>#REF!</v>
      </c>
      <c r="AJ10" s="177" t="e">
        <f>'09. PSST'!AG6</f>
        <v>#REF!</v>
      </c>
      <c r="AK10" s="177" t="e">
        <f>'09. PSST'!AJ6</f>
        <v>#REF!</v>
      </c>
    </row>
    <row r="11" spans="1:37" x14ac:dyDescent="0.35">
      <c r="A11" s="362"/>
      <c r="B11" s="362"/>
      <c r="C11" s="362"/>
      <c r="D11" s="362"/>
      <c r="E11" s="362"/>
      <c r="F11" s="362"/>
      <c r="G11" s="362"/>
      <c r="H11" s="362"/>
      <c r="I11" s="362"/>
      <c r="J11" s="362"/>
      <c r="K11" s="362"/>
      <c r="L11" s="362"/>
      <c r="M11" s="362"/>
      <c r="N11" s="362"/>
      <c r="O11" s="362"/>
      <c r="P11" s="362"/>
      <c r="Q11" s="362"/>
      <c r="R11" s="362"/>
      <c r="S11" s="362"/>
      <c r="T11" s="362"/>
      <c r="U11" s="362"/>
      <c r="V11" s="362"/>
      <c r="W11" s="362"/>
      <c r="X11" s="362"/>
      <c r="Y11" s="365"/>
      <c r="Z11" s="366"/>
      <c r="AA11" s="366"/>
      <c r="AB11" s="366"/>
      <c r="AC11" s="366"/>
      <c r="AD11" s="366"/>
      <c r="AE11" s="366"/>
      <c r="AF11" s="170" t="s">
        <v>25</v>
      </c>
      <c r="AG11" s="178" t="e">
        <f>'10 PAAC'!AN102</f>
        <v>#REF!</v>
      </c>
      <c r="AI11" s="178" t="e">
        <f>'10 PAAC'!AI102</f>
        <v>#REF!</v>
      </c>
      <c r="AJ11" s="178" t="e">
        <f>'10 PAAC'!AK102</f>
        <v>#REF!</v>
      </c>
      <c r="AK11" s="178" t="e">
        <f>'10 PAAC'!AM102</f>
        <v>#REF!</v>
      </c>
    </row>
    <row r="12" spans="1:37" x14ac:dyDescent="0.35">
      <c r="A12" s="362"/>
      <c r="B12" s="362"/>
      <c r="C12" s="362"/>
      <c r="D12" s="362"/>
      <c r="E12" s="362"/>
      <c r="F12" s="362"/>
      <c r="G12" s="362"/>
      <c r="H12" s="362"/>
      <c r="I12" s="362"/>
      <c r="J12" s="362"/>
      <c r="K12" s="362"/>
      <c r="L12" s="362"/>
      <c r="M12" s="362"/>
      <c r="N12" s="362"/>
      <c r="O12" s="362"/>
      <c r="P12" s="362"/>
      <c r="Q12" s="362"/>
      <c r="R12" s="362"/>
      <c r="S12" s="362"/>
      <c r="T12" s="362"/>
      <c r="U12" s="362"/>
      <c r="V12" s="362"/>
      <c r="W12" s="362"/>
      <c r="X12" s="362"/>
      <c r="Y12" s="365"/>
      <c r="Z12" s="366"/>
      <c r="AA12" s="366"/>
      <c r="AB12" s="366"/>
      <c r="AC12" s="366"/>
      <c r="AD12" s="366"/>
      <c r="AE12" s="366"/>
      <c r="AF12" s="170" t="s">
        <v>26</v>
      </c>
      <c r="AG12" s="178" t="e">
        <f>#REF!</f>
        <v>#REF!</v>
      </c>
      <c r="AH12" s="177" t="e">
        <f>#REF!</f>
        <v>#REF!</v>
      </c>
      <c r="AI12" s="177" t="e">
        <f>#REF!</f>
        <v>#REF!</v>
      </c>
      <c r="AJ12" s="177" t="e">
        <f>#REF!</f>
        <v>#REF!</v>
      </c>
      <c r="AK12" s="177" t="e">
        <f>#REF!</f>
        <v>#REF!</v>
      </c>
    </row>
    <row r="13" spans="1:37" x14ac:dyDescent="0.35">
      <c r="A13" s="362"/>
      <c r="B13" s="362"/>
      <c r="C13" s="362"/>
      <c r="D13" s="362"/>
      <c r="E13" s="362"/>
      <c r="F13" s="362"/>
      <c r="G13" s="362"/>
      <c r="H13" s="362"/>
      <c r="I13" s="362"/>
      <c r="J13" s="362"/>
      <c r="K13" s="362"/>
      <c r="L13" s="362"/>
      <c r="M13" s="362"/>
      <c r="N13" s="362"/>
      <c r="O13" s="362"/>
      <c r="P13" s="362"/>
      <c r="Q13" s="362"/>
      <c r="R13" s="362"/>
      <c r="S13" s="362"/>
      <c r="T13" s="362"/>
      <c r="U13" s="362"/>
      <c r="V13" s="362"/>
      <c r="W13" s="362"/>
      <c r="X13" s="362"/>
      <c r="Y13" s="365"/>
      <c r="Z13" s="366"/>
      <c r="AA13" s="366"/>
      <c r="AB13" s="366"/>
      <c r="AC13" s="366"/>
      <c r="AD13" s="366"/>
      <c r="AE13" s="366"/>
      <c r="AF13" s="170" t="s">
        <v>27</v>
      </c>
      <c r="AG13" s="178">
        <f>'12. PTRSPI'!J6</f>
        <v>1</v>
      </c>
      <c r="AK13" s="177">
        <f>'12. PTRSPI'!P6</f>
        <v>1.0526315789473684</v>
      </c>
    </row>
    <row r="14" spans="1:37" x14ac:dyDescent="0.35">
      <c r="A14" s="362"/>
      <c r="B14" s="362"/>
      <c r="C14" s="362"/>
      <c r="D14" s="362"/>
      <c r="E14" s="362"/>
      <c r="F14" s="362"/>
      <c r="G14" s="362"/>
      <c r="H14" s="362"/>
      <c r="I14" s="362"/>
      <c r="J14" s="362"/>
      <c r="K14" s="362"/>
      <c r="L14" s="362"/>
      <c r="M14" s="362"/>
      <c r="N14" s="362"/>
      <c r="O14" s="362"/>
      <c r="P14" s="362"/>
      <c r="Q14" s="362"/>
      <c r="R14" s="362"/>
      <c r="S14" s="362"/>
      <c r="T14" s="362"/>
      <c r="U14" s="362"/>
      <c r="V14" s="362"/>
      <c r="W14" s="362"/>
      <c r="X14" s="362"/>
      <c r="Y14" s="365"/>
      <c r="Z14" s="366"/>
      <c r="AA14" s="366"/>
      <c r="AB14" s="366"/>
      <c r="AC14" s="366"/>
      <c r="AD14" s="366"/>
      <c r="AE14" s="366"/>
      <c r="AF14" s="170" t="s">
        <v>28</v>
      </c>
      <c r="AG14" s="178" t="e">
        <f>'13.PSPI'!J6</f>
        <v>#REF!</v>
      </c>
      <c r="AH14" s="177" t="e">
        <f>'13.PSPI'!O6</f>
        <v>#REF!</v>
      </c>
      <c r="AI14" s="177" t="e">
        <f>'13.PSPI'!V6</f>
        <v>#REF!</v>
      </c>
      <c r="AJ14" s="177" t="e">
        <f>'13.PSPI'!AD6</f>
        <v>#REF!</v>
      </c>
      <c r="AK14" s="177" t="e">
        <f>'13.PSPI'!AG6</f>
        <v>#REF!</v>
      </c>
    </row>
    <row r="15" spans="1:37" x14ac:dyDescent="0.35">
      <c r="A15" s="362"/>
      <c r="B15" s="362"/>
      <c r="C15" s="362"/>
      <c r="D15" s="362"/>
      <c r="E15" s="362"/>
      <c r="F15" s="362"/>
      <c r="G15" s="362"/>
      <c r="H15" s="362"/>
      <c r="I15" s="362"/>
      <c r="J15" s="362"/>
      <c r="K15" s="362"/>
      <c r="L15" s="362"/>
      <c r="M15" s="362"/>
      <c r="N15" s="362"/>
      <c r="O15" s="362"/>
      <c r="P15" s="362"/>
      <c r="Q15" s="362"/>
      <c r="R15" s="362"/>
      <c r="S15" s="362"/>
      <c r="T15" s="362"/>
      <c r="U15" s="362"/>
      <c r="V15" s="362"/>
      <c r="W15" s="362"/>
      <c r="X15" s="362"/>
      <c r="Y15" s="365"/>
      <c r="Z15" s="366"/>
      <c r="AA15" s="366"/>
      <c r="AB15" s="366"/>
      <c r="AC15" s="366"/>
      <c r="AD15" s="366"/>
      <c r="AE15" s="366"/>
    </row>
    <row r="16" spans="1:37" x14ac:dyDescent="0.35">
      <c r="A16" s="362"/>
      <c r="B16" s="362"/>
      <c r="C16" s="362"/>
      <c r="D16" s="362"/>
      <c r="E16" s="362"/>
      <c r="F16" s="362"/>
      <c r="G16" s="362"/>
      <c r="H16" s="362"/>
      <c r="I16" s="362"/>
      <c r="J16" s="362"/>
      <c r="K16" s="362"/>
      <c r="L16" s="362"/>
      <c r="M16" s="362"/>
      <c r="N16" s="362"/>
      <c r="O16" s="362"/>
      <c r="P16" s="362"/>
      <c r="Q16" s="362"/>
      <c r="R16" s="362"/>
      <c r="S16" s="362"/>
      <c r="T16" s="362"/>
      <c r="U16" s="362"/>
      <c r="V16" s="362"/>
      <c r="W16" s="362"/>
      <c r="X16" s="362"/>
      <c r="Y16" s="365"/>
      <c r="Z16" s="366"/>
      <c r="AA16" s="366"/>
      <c r="AB16" s="366"/>
      <c r="AC16" s="366"/>
      <c r="AD16" s="366"/>
      <c r="AE16" s="366"/>
    </row>
    <row r="17" spans="1:31" x14ac:dyDescent="0.35">
      <c r="A17" s="362"/>
      <c r="B17" s="362"/>
      <c r="C17" s="362"/>
      <c r="D17" s="362"/>
      <c r="E17" s="362"/>
      <c r="F17" s="362"/>
      <c r="G17" s="362"/>
      <c r="H17" s="362"/>
      <c r="I17" s="362"/>
      <c r="J17" s="362"/>
      <c r="K17" s="362"/>
      <c r="L17" s="362"/>
      <c r="M17" s="362"/>
      <c r="N17" s="362"/>
      <c r="O17" s="362"/>
      <c r="P17" s="362"/>
      <c r="Q17" s="362"/>
      <c r="R17" s="362"/>
      <c r="S17" s="362"/>
      <c r="T17" s="362"/>
      <c r="U17" s="362"/>
      <c r="V17" s="362"/>
      <c r="W17" s="362"/>
      <c r="X17" s="362"/>
      <c r="Y17" s="365"/>
      <c r="Z17" s="366"/>
      <c r="AA17" s="366"/>
      <c r="AB17" s="366"/>
      <c r="AC17" s="366"/>
      <c r="AD17" s="366"/>
      <c r="AE17" s="366"/>
    </row>
    <row r="18" spans="1:31" x14ac:dyDescent="0.35">
      <c r="A18" s="362"/>
      <c r="B18" s="362"/>
      <c r="C18" s="362"/>
      <c r="D18" s="362"/>
      <c r="E18" s="362"/>
      <c r="F18" s="362"/>
      <c r="G18" s="362"/>
      <c r="H18" s="362"/>
      <c r="I18" s="362"/>
      <c r="J18" s="362"/>
      <c r="K18" s="362"/>
      <c r="L18" s="362"/>
      <c r="M18" s="362"/>
      <c r="N18" s="362"/>
      <c r="O18" s="362"/>
      <c r="P18" s="362"/>
      <c r="Q18" s="362"/>
      <c r="R18" s="362"/>
      <c r="S18" s="362"/>
      <c r="T18" s="362"/>
      <c r="U18" s="362"/>
      <c r="V18" s="362"/>
      <c r="W18" s="362"/>
      <c r="X18" s="362"/>
      <c r="Y18" s="365"/>
      <c r="Z18" s="366"/>
      <c r="AA18" s="366"/>
      <c r="AB18" s="366"/>
      <c r="AC18" s="366"/>
      <c r="AD18" s="366"/>
      <c r="AE18" s="366"/>
    </row>
    <row r="19" spans="1:31" x14ac:dyDescent="0.35">
      <c r="A19" s="362"/>
      <c r="B19" s="362"/>
      <c r="C19" s="362"/>
      <c r="D19" s="362"/>
      <c r="E19" s="362"/>
      <c r="F19" s="362"/>
      <c r="G19" s="362"/>
      <c r="H19" s="362"/>
      <c r="I19" s="362"/>
      <c r="J19" s="362"/>
      <c r="K19" s="362"/>
      <c r="L19" s="362"/>
      <c r="M19" s="362"/>
      <c r="N19" s="362"/>
      <c r="O19" s="362"/>
      <c r="P19" s="362"/>
      <c r="Q19" s="362"/>
      <c r="R19" s="362"/>
      <c r="S19" s="362"/>
      <c r="T19" s="362"/>
      <c r="U19" s="362"/>
      <c r="V19" s="362"/>
      <c r="W19" s="362"/>
      <c r="X19" s="362"/>
      <c r="Y19" s="365"/>
      <c r="Z19" s="366"/>
      <c r="AA19" s="366"/>
      <c r="AB19" s="366"/>
      <c r="AC19" s="366"/>
      <c r="AD19" s="366"/>
      <c r="AE19" s="366"/>
    </row>
    <row r="20" spans="1:31" x14ac:dyDescent="0.35">
      <c r="A20" s="362"/>
      <c r="B20" s="362"/>
      <c r="C20" s="362"/>
      <c r="D20" s="362"/>
      <c r="E20" s="362"/>
      <c r="F20" s="362"/>
      <c r="G20" s="362"/>
      <c r="H20" s="362"/>
      <c r="I20" s="362"/>
      <c r="J20" s="362"/>
      <c r="K20" s="362"/>
      <c r="L20" s="362"/>
      <c r="M20" s="362"/>
      <c r="N20" s="362"/>
      <c r="O20" s="362"/>
      <c r="P20" s="362"/>
      <c r="Q20" s="362"/>
      <c r="R20" s="362"/>
      <c r="S20" s="362"/>
      <c r="T20" s="362"/>
      <c r="U20" s="362"/>
      <c r="V20" s="362"/>
      <c r="W20" s="362"/>
      <c r="X20" s="362"/>
      <c r="Y20" s="365"/>
      <c r="Z20" s="366"/>
      <c r="AA20" s="366"/>
      <c r="AB20" s="366"/>
      <c r="AC20" s="366"/>
      <c r="AD20" s="366"/>
      <c r="AE20" s="366"/>
    </row>
    <row r="21" spans="1:31" x14ac:dyDescent="0.35">
      <c r="A21" s="362"/>
      <c r="B21" s="362"/>
      <c r="C21" s="362"/>
      <c r="D21" s="362"/>
      <c r="E21" s="362"/>
      <c r="F21" s="362"/>
      <c r="G21" s="362"/>
      <c r="H21" s="362"/>
      <c r="I21" s="362"/>
      <c r="J21" s="362"/>
      <c r="K21" s="362"/>
      <c r="L21" s="362"/>
      <c r="M21" s="362"/>
      <c r="N21" s="362"/>
      <c r="O21" s="362"/>
      <c r="P21" s="362"/>
      <c r="Q21" s="362"/>
      <c r="R21" s="362"/>
      <c r="S21" s="362"/>
      <c r="T21" s="362"/>
      <c r="U21" s="362"/>
      <c r="V21" s="362"/>
      <c r="W21" s="362"/>
      <c r="X21" s="362"/>
      <c r="Y21" s="365"/>
      <c r="Z21" s="366"/>
      <c r="AA21" s="366"/>
      <c r="AB21" s="366"/>
      <c r="AC21" s="366"/>
      <c r="AD21" s="366"/>
      <c r="AE21" s="366"/>
    </row>
    <row r="22" spans="1:31" x14ac:dyDescent="0.35">
      <c r="A22" s="362"/>
      <c r="B22" s="362"/>
      <c r="C22" s="362"/>
      <c r="D22" s="362"/>
      <c r="E22" s="362"/>
      <c r="F22" s="362"/>
      <c r="G22" s="362"/>
      <c r="H22" s="362"/>
      <c r="I22" s="362"/>
      <c r="J22" s="362"/>
      <c r="K22" s="362"/>
      <c r="L22" s="362"/>
      <c r="M22" s="362"/>
      <c r="N22" s="362"/>
      <c r="O22" s="362"/>
      <c r="P22" s="362"/>
      <c r="Q22" s="362"/>
      <c r="R22" s="362"/>
      <c r="S22" s="362"/>
      <c r="T22" s="362"/>
      <c r="U22" s="362"/>
      <c r="V22" s="362"/>
      <c r="W22" s="362"/>
      <c r="X22" s="362"/>
      <c r="Y22" s="365"/>
      <c r="Z22" s="366"/>
      <c r="AA22" s="366"/>
      <c r="AB22" s="366"/>
      <c r="AC22" s="366"/>
      <c r="AD22" s="366"/>
      <c r="AE22" s="366"/>
    </row>
    <row r="24" spans="1:31" x14ac:dyDescent="0.35">
      <c r="A24" s="171"/>
      <c r="B24" s="171"/>
      <c r="C24" s="171"/>
      <c r="D24" s="171"/>
      <c r="E24" s="171"/>
      <c r="F24" s="171"/>
    </row>
    <row r="25" spans="1:31" x14ac:dyDescent="0.35">
      <c r="A25" s="171"/>
      <c r="B25" s="171"/>
      <c r="C25" s="171"/>
      <c r="D25" s="171"/>
      <c r="E25" s="171"/>
      <c r="F25" s="171"/>
    </row>
    <row r="26" spans="1:31" x14ac:dyDescent="0.35">
      <c r="A26" s="171"/>
      <c r="B26" s="171"/>
      <c r="C26" s="171"/>
      <c r="D26" s="171"/>
      <c r="E26" s="171"/>
      <c r="F26" s="171"/>
    </row>
    <row r="27" spans="1:31" x14ac:dyDescent="0.35">
      <c r="A27" s="171"/>
      <c r="B27" s="171"/>
      <c r="C27" s="171"/>
      <c r="D27" s="171"/>
      <c r="E27" s="171"/>
      <c r="F27" s="171"/>
    </row>
    <row r="28" spans="1:31" x14ac:dyDescent="0.35">
      <c r="A28" s="171"/>
      <c r="B28" s="171"/>
      <c r="C28" s="171"/>
      <c r="D28" s="171"/>
      <c r="E28" s="171"/>
      <c r="F28" s="171"/>
    </row>
  </sheetData>
  <mergeCells count="11">
    <mergeCell ref="A1:AE2"/>
    <mergeCell ref="M3:R3"/>
    <mergeCell ref="M4:R22"/>
    <mergeCell ref="A3:F3"/>
    <mergeCell ref="G3:L3"/>
    <mergeCell ref="S3:X3"/>
    <mergeCell ref="A4:F22"/>
    <mergeCell ref="G4:L22"/>
    <mergeCell ref="S4:X22"/>
    <mergeCell ref="Y3:AE3"/>
    <mergeCell ref="Y4:AE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12508-C430-442D-BB4C-F32A5A72E334}">
  <dimension ref="A1:XFD60"/>
  <sheetViews>
    <sheetView showGridLines="0" topLeftCell="A53" zoomScale="41" zoomScaleNormal="41" zoomScaleSheetLayoutView="40" workbookViewId="0">
      <selection activeCell="XFC1" sqref="XFC1:XFD1048576"/>
    </sheetView>
  </sheetViews>
  <sheetFormatPr baseColWidth="10" defaultColWidth="0" defaultRowHeight="14.5" x14ac:dyDescent="0.35"/>
  <cols>
    <col min="1" max="15" width="11.453125" style="68" customWidth="1"/>
    <col min="16" max="16" width="35.26953125" style="68" customWidth="1"/>
    <col min="17" max="4945" width="0" style="68" hidden="1" customWidth="1"/>
    <col min="4946" max="15759" width="11.453125" style="68" hidden="1"/>
    <col min="15760" max="16382" width="0" style="68" hidden="1"/>
    <col min="16383" max="16383" width="24" style="68" hidden="1" customWidth="1"/>
    <col min="16384" max="16384" width="18.7265625" style="68" hidden="1" customWidth="1"/>
  </cols>
  <sheetData>
    <row r="1" spans="1:35 16383:16384" ht="4.5" customHeight="1" x14ac:dyDescent="0.35"/>
    <row r="2" spans="1:35 16383:16384" s="56" customFormat="1" ht="14.15" customHeight="1" x14ac:dyDescent="0.35">
      <c r="A2" s="369"/>
      <c r="B2" s="369"/>
      <c r="C2" s="369"/>
      <c r="D2" s="367" t="s">
        <v>29</v>
      </c>
      <c r="E2" s="367"/>
      <c r="F2" s="367"/>
      <c r="G2" s="367"/>
      <c r="H2" s="367"/>
      <c r="I2" s="367"/>
      <c r="J2" s="367"/>
      <c r="K2" s="367"/>
      <c r="L2" s="367"/>
      <c r="M2" s="367"/>
      <c r="N2" s="367"/>
      <c r="O2" s="367"/>
      <c r="P2" s="367"/>
      <c r="Q2" s="85"/>
      <c r="R2" s="85"/>
      <c r="S2" s="85"/>
      <c r="T2" s="85"/>
      <c r="U2" s="85"/>
      <c r="V2" s="85"/>
      <c r="W2" s="85"/>
      <c r="X2" s="85"/>
      <c r="Y2" s="85"/>
      <c r="Z2" s="85"/>
      <c r="AA2" s="85"/>
      <c r="AB2" s="85"/>
      <c r="AC2" s="85"/>
      <c r="AD2" s="85"/>
      <c r="AE2" s="85"/>
      <c r="AF2" s="85"/>
      <c r="AG2" s="85"/>
      <c r="AH2" s="85"/>
      <c r="AI2" s="85"/>
    </row>
    <row r="3" spans="1:35 16383:16384" s="56" customFormat="1" ht="20.149999999999999" customHeight="1" x14ac:dyDescent="0.35">
      <c r="A3" s="369"/>
      <c r="B3" s="369"/>
      <c r="C3" s="369"/>
      <c r="D3" s="367"/>
      <c r="E3" s="367"/>
      <c r="F3" s="367"/>
      <c r="G3" s="367"/>
      <c r="H3" s="367"/>
      <c r="I3" s="367"/>
      <c r="J3" s="367"/>
      <c r="K3" s="367"/>
      <c r="L3" s="367"/>
      <c r="M3" s="367"/>
      <c r="N3" s="367"/>
      <c r="O3" s="367"/>
      <c r="P3" s="367"/>
      <c r="Q3" s="85"/>
      <c r="R3" s="85"/>
      <c r="S3" s="85"/>
      <c r="T3" s="85"/>
      <c r="U3" s="85"/>
      <c r="V3" s="85"/>
      <c r="W3" s="85"/>
      <c r="X3" s="85"/>
      <c r="Y3" s="85"/>
      <c r="Z3" s="85"/>
      <c r="AA3" s="85"/>
      <c r="AB3" s="85"/>
      <c r="AC3" s="85"/>
      <c r="AD3" s="85"/>
      <c r="AE3" s="85"/>
      <c r="AF3" s="85"/>
      <c r="AG3" s="85"/>
      <c r="AH3" s="85"/>
      <c r="AI3" s="85"/>
    </row>
    <row r="4" spans="1:35 16383:16384" s="56" customFormat="1" ht="20.149999999999999" customHeight="1" x14ac:dyDescent="0.35">
      <c r="A4" s="369"/>
      <c r="B4" s="369"/>
      <c r="C4" s="369"/>
      <c r="D4" s="367"/>
      <c r="E4" s="367"/>
      <c r="F4" s="367"/>
      <c r="G4" s="367"/>
      <c r="H4" s="367"/>
      <c r="I4" s="367"/>
      <c r="J4" s="367"/>
      <c r="K4" s="367"/>
      <c r="L4" s="367"/>
      <c r="M4" s="367"/>
      <c r="N4" s="367"/>
      <c r="O4" s="367"/>
      <c r="P4" s="367"/>
      <c r="Q4" s="85"/>
      <c r="R4" s="85"/>
      <c r="S4" s="85"/>
      <c r="T4" s="85"/>
      <c r="U4" s="85"/>
      <c r="V4" s="85"/>
      <c r="W4" s="85"/>
      <c r="X4" s="85"/>
      <c r="Y4" s="85"/>
      <c r="Z4" s="85"/>
      <c r="AA4" s="85"/>
      <c r="AB4" s="85"/>
      <c r="AC4" s="85"/>
      <c r="AD4" s="85"/>
      <c r="AE4" s="85"/>
      <c r="AF4" s="85"/>
      <c r="AG4" s="85"/>
      <c r="AH4" s="85"/>
      <c r="AI4" s="85"/>
    </row>
    <row r="5" spans="1:35 16383:16384" s="56" customFormat="1" ht="20.149999999999999" customHeight="1" x14ac:dyDescent="0.35">
      <c r="A5" s="369"/>
      <c r="B5" s="369"/>
      <c r="C5" s="369"/>
      <c r="D5" s="367"/>
      <c r="E5" s="367"/>
      <c r="F5" s="367"/>
      <c r="G5" s="367"/>
      <c r="H5" s="367"/>
      <c r="I5" s="367"/>
      <c r="J5" s="367"/>
      <c r="K5" s="367"/>
      <c r="L5" s="367"/>
      <c r="M5" s="367"/>
      <c r="N5" s="367"/>
      <c r="O5" s="367"/>
      <c r="P5" s="367"/>
      <c r="Q5" s="85"/>
      <c r="R5" s="85"/>
      <c r="S5" s="85"/>
      <c r="T5" s="85"/>
      <c r="U5" s="85"/>
      <c r="V5" s="85"/>
      <c r="W5" s="85"/>
      <c r="X5" s="85"/>
      <c r="Y5" s="85"/>
      <c r="Z5" s="85"/>
      <c r="AA5" s="85"/>
      <c r="AB5" s="85"/>
      <c r="AC5" s="85"/>
      <c r="AD5" s="85"/>
      <c r="AE5" s="85"/>
      <c r="AF5" s="85"/>
      <c r="AG5" s="85"/>
      <c r="AH5" s="85"/>
      <c r="AI5" s="85"/>
    </row>
    <row r="6" spans="1:35 16383:16384" s="56" customFormat="1" ht="20.149999999999999" customHeight="1" x14ac:dyDescent="0.35">
      <c r="A6" s="369"/>
      <c r="B6" s="369"/>
      <c r="C6" s="369"/>
      <c r="D6" s="367"/>
      <c r="E6" s="367"/>
      <c r="F6" s="367"/>
      <c r="G6" s="367"/>
      <c r="H6" s="367"/>
      <c r="I6" s="367"/>
      <c r="J6" s="367"/>
      <c r="K6" s="367"/>
      <c r="L6" s="367"/>
      <c r="M6" s="367"/>
      <c r="N6" s="367"/>
      <c r="O6" s="367"/>
      <c r="P6" s="367"/>
      <c r="Q6" s="85"/>
      <c r="R6" s="85"/>
      <c r="S6" s="85"/>
      <c r="T6" s="85"/>
      <c r="U6" s="85"/>
      <c r="V6" s="85"/>
      <c r="W6" s="85"/>
      <c r="X6" s="85"/>
      <c r="Y6" s="85"/>
      <c r="Z6" s="85"/>
      <c r="AA6" s="85"/>
      <c r="AB6" s="85"/>
      <c r="AC6" s="85"/>
      <c r="AD6" s="85"/>
      <c r="AE6" s="85"/>
      <c r="AF6" s="85"/>
      <c r="AG6" s="85"/>
      <c r="AH6" s="85"/>
      <c r="AI6" s="85"/>
    </row>
    <row r="7" spans="1:35 16383:16384" s="56" customFormat="1" ht="60" customHeight="1" x14ac:dyDescent="0.35">
      <c r="D7" s="368"/>
      <c r="E7" s="368"/>
      <c r="F7" s="368"/>
      <c r="G7" s="368"/>
      <c r="H7" s="368"/>
      <c r="I7" s="368"/>
      <c r="J7" s="368"/>
      <c r="K7" s="368"/>
      <c r="L7" s="368"/>
      <c r="M7" s="368"/>
      <c r="N7" s="368"/>
      <c r="O7" s="368"/>
      <c r="P7" s="368"/>
      <c r="Q7" s="86"/>
      <c r="R7" s="85"/>
      <c r="S7" s="85"/>
      <c r="T7" s="85"/>
      <c r="U7" s="85"/>
      <c r="V7" s="85"/>
      <c r="W7" s="85"/>
      <c r="X7" s="85"/>
      <c r="Y7" s="85"/>
      <c r="Z7" s="85"/>
      <c r="AA7" s="85"/>
      <c r="AB7" s="85"/>
      <c r="AC7" s="85"/>
      <c r="AD7" s="85"/>
      <c r="AE7" s="85"/>
      <c r="AF7" s="85"/>
      <c r="AG7" s="85"/>
      <c r="AH7" s="85"/>
      <c r="AI7" s="85"/>
    </row>
    <row r="8" spans="1:35 16383:16384" x14ac:dyDescent="0.35">
      <c r="XFC8" s="175" t="s">
        <v>30</v>
      </c>
      <c r="XFD8" s="175" t="s">
        <v>31</v>
      </c>
    </row>
    <row r="9" spans="1:35 16383:16384" x14ac:dyDescent="0.35">
      <c r="XFC9" s="175" t="s">
        <v>32</v>
      </c>
      <c r="XFD9" s="93">
        <f>'01. SECTORIAL'!O6</f>
        <v>1.0526315789473684</v>
      </c>
    </row>
    <row r="10" spans="1:35 16383:16384" x14ac:dyDescent="0.35">
      <c r="XFC10" s="175" t="s">
        <v>33</v>
      </c>
      <c r="XFD10" s="92">
        <v>0.75</v>
      </c>
    </row>
    <row r="11" spans="1:35 16383:16384" x14ac:dyDescent="0.35">
      <c r="XFC11" s="175" t="s">
        <v>19</v>
      </c>
      <c r="XFD11" s="92">
        <v>1.05</v>
      </c>
    </row>
    <row r="12" spans="1:35 16383:16384" x14ac:dyDescent="0.35">
      <c r="XFC12" s="175" t="s">
        <v>21</v>
      </c>
      <c r="XFD12" s="92">
        <v>0.49</v>
      </c>
    </row>
    <row r="13" spans="1:35 16383:16384" x14ac:dyDescent="0.35">
      <c r="XFC13" s="175" t="s">
        <v>20</v>
      </c>
    </row>
    <row r="14" spans="1:35 16383:16384" x14ac:dyDescent="0.35">
      <c r="XFC14" s="175" t="s">
        <v>22</v>
      </c>
    </row>
    <row r="15" spans="1:35 16383:16384" x14ac:dyDescent="0.35">
      <c r="XFC15" s="175" t="s">
        <v>23</v>
      </c>
    </row>
    <row r="16" spans="1:35 16383:16384" x14ac:dyDescent="0.35">
      <c r="XFC16" s="175" t="s">
        <v>25</v>
      </c>
    </row>
    <row r="17" spans="8:8 16383:16384" x14ac:dyDescent="0.35">
      <c r="XFC17" s="175" t="s">
        <v>24</v>
      </c>
      <c r="XFD17" s="92">
        <v>0.94</v>
      </c>
    </row>
    <row r="18" spans="8:8 16383:16384" x14ac:dyDescent="0.35">
      <c r="XFC18" s="175" t="s">
        <v>26</v>
      </c>
      <c r="XFD18" s="92">
        <v>0.1</v>
      </c>
    </row>
    <row r="19" spans="8:8 16383:16384" x14ac:dyDescent="0.35">
      <c r="XFC19" s="175" t="s">
        <v>27</v>
      </c>
      <c r="XFD19" s="92">
        <v>1.05</v>
      </c>
    </row>
    <row r="20" spans="8:8 16383:16384" x14ac:dyDescent="0.35">
      <c r="XFC20" s="175" t="s">
        <v>28</v>
      </c>
      <c r="XFD20" s="92">
        <v>1.05</v>
      </c>
    </row>
    <row r="21" spans="8:8 16383:16384" ht="21" x14ac:dyDescent="0.5">
      <c r="H21" s="81"/>
    </row>
    <row r="44" spans="1:11" x14ac:dyDescent="0.35">
      <c r="A44" s="82"/>
      <c r="B44" s="82"/>
      <c r="C44" s="82"/>
      <c r="D44" s="82"/>
      <c r="E44" s="82"/>
      <c r="F44" s="82"/>
      <c r="G44" s="82"/>
      <c r="H44" s="82"/>
      <c r="I44" s="82"/>
      <c r="J44" s="82"/>
      <c r="K44" s="82"/>
    </row>
    <row r="45" spans="1:11" x14ac:dyDescent="0.35">
      <c r="A45" s="82"/>
      <c r="B45" s="82"/>
      <c r="C45" s="82"/>
      <c r="D45" s="82"/>
      <c r="E45" s="82"/>
      <c r="F45" s="82"/>
      <c r="G45" s="82"/>
      <c r="H45" s="82"/>
      <c r="I45" s="82"/>
      <c r="J45" s="82"/>
      <c r="K45" s="82"/>
    </row>
    <row r="60" hidden="1" x14ac:dyDescent="0.35"/>
  </sheetData>
  <sheetProtection autoFilter="0"/>
  <mergeCells count="3">
    <mergeCell ref="D2:P6"/>
    <mergeCell ref="D7:P7"/>
    <mergeCell ref="A2:C6"/>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AF84E-DC1F-4F1B-A4A1-8F9339F34731}">
  <dimension ref="A1:I24"/>
  <sheetViews>
    <sheetView tabSelected="1" workbookViewId="0">
      <selection activeCell="A21" sqref="A21:I24"/>
    </sheetView>
  </sheetViews>
  <sheetFormatPr baseColWidth="10" defaultRowHeight="14.5" x14ac:dyDescent="0.35"/>
  <cols>
    <col min="1" max="1" width="49.453125" customWidth="1"/>
    <col min="8" max="8" width="13.453125" customWidth="1"/>
  </cols>
  <sheetData>
    <row r="1" spans="1:9" x14ac:dyDescent="0.35">
      <c r="A1" s="1061" t="s">
        <v>2062</v>
      </c>
      <c r="B1" s="1063" t="s">
        <v>2063</v>
      </c>
      <c r="C1" s="1064"/>
      <c r="D1" s="1064"/>
      <c r="E1" s="1064"/>
      <c r="F1" s="1064"/>
      <c r="G1" s="1064"/>
      <c r="H1" s="1064"/>
      <c r="I1" s="1065"/>
    </row>
    <row r="2" spans="1:9" ht="39" x14ac:dyDescent="0.35">
      <c r="A2" s="1062"/>
      <c r="B2" s="1066" t="s">
        <v>2064</v>
      </c>
      <c r="C2" s="1067" t="s">
        <v>91</v>
      </c>
      <c r="D2" s="1067" t="s">
        <v>2065</v>
      </c>
      <c r="E2" s="1068" t="s">
        <v>2066</v>
      </c>
      <c r="F2" s="1067" t="s">
        <v>2067</v>
      </c>
      <c r="G2" s="1067" t="s">
        <v>2068</v>
      </c>
      <c r="H2" s="1068" t="s">
        <v>2069</v>
      </c>
      <c r="I2" s="1069" t="s">
        <v>2070</v>
      </c>
    </row>
    <row r="3" spans="1:9" x14ac:dyDescent="0.35">
      <c r="A3" s="1070" t="s">
        <v>2071</v>
      </c>
      <c r="B3" s="1071">
        <v>0.2</v>
      </c>
      <c r="C3" s="1072">
        <v>0.2</v>
      </c>
      <c r="D3" s="1072">
        <v>0.2</v>
      </c>
      <c r="E3" s="1072">
        <f>B3/C3</f>
        <v>1</v>
      </c>
      <c r="F3" s="1073">
        <f>AVERAGE(E3:E16)</f>
        <v>1</v>
      </c>
      <c r="G3" s="1073">
        <v>0.95</v>
      </c>
      <c r="H3" s="1073">
        <f>F3/G3</f>
        <v>1.0526315789473684</v>
      </c>
      <c r="I3" s="1074">
        <f>AVERAGE(D3:D16)</f>
        <v>0.22571428571428573</v>
      </c>
    </row>
    <row r="4" spans="1:9" x14ac:dyDescent="0.35">
      <c r="A4" s="1075"/>
      <c r="B4" s="1076"/>
      <c r="C4" s="1077"/>
      <c r="D4" s="1077"/>
      <c r="E4" s="1077"/>
      <c r="F4" s="1073"/>
      <c r="G4" s="1073"/>
      <c r="H4" s="1073"/>
      <c r="I4" s="1074"/>
    </row>
    <row r="5" spans="1:9" x14ac:dyDescent="0.35">
      <c r="A5" s="1070" t="s">
        <v>2072</v>
      </c>
      <c r="B5" s="1071">
        <v>0.25</v>
      </c>
      <c r="C5" s="1072">
        <v>0.25</v>
      </c>
      <c r="D5" s="1072">
        <v>0.25</v>
      </c>
      <c r="E5" s="1072">
        <f t="shared" ref="E5" si="0">B5/C5</f>
        <v>1</v>
      </c>
      <c r="F5" s="1073"/>
      <c r="G5" s="1073"/>
      <c r="H5" s="1073"/>
      <c r="I5" s="1074"/>
    </row>
    <row r="6" spans="1:9" x14ac:dyDescent="0.35">
      <c r="A6" s="1075"/>
      <c r="B6" s="1076"/>
      <c r="C6" s="1077"/>
      <c r="D6" s="1077"/>
      <c r="E6" s="1077"/>
      <c r="F6" s="1073"/>
      <c r="G6" s="1073"/>
      <c r="H6" s="1073"/>
      <c r="I6" s="1074"/>
    </row>
    <row r="7" spans="1:9" x14ac:dyDescent="0.35">
      <c r="A7" s="1070" t="s">
        <v>2073</v>
      </c>
      <c r="B7" s="1071">
        <v>0.25</v>
      </c>
      <c r="C7" s="1072">
        <v>0.25</v>
      </c>
      <c r="D7" s="1072">
        <v>0.25</v>
      </c>
      <c r="E7" s="1072">
        <f t="shared" ref="E7" si="1">B7/C7</f>
        <v>1</v>
      </c>
      <c r="F7" s="1073"/>
      <c r="G7" s="1073"/>
      <c r="H7" s="1073"/>
      <c r="I7" s="1074"/>
    </row>
    <row r="8" spans="1:9" x14ac:dyDescent="0.35">
      <c r="A8" s="1075"/>
      <c r="B8" s="1076"/>
      <c r="C8" s="1077"/>
      <c r="D8" s="1077"/>
      <c r="E8" s="1077"/>
      <c r="F8" s="1073"/>
      <c r="G8" s="1073"/>
      <c r="H8" s="1073"/>
      <c r="I8" s="1074"/>
    </row>
    <row r="9" spans="1:9" x14ac:dyDescent="0.35">
      <c r="A9" s="1070" t="s">
        <v>2074</v>
      </c>
      <c r="B9" s="1071">
        <v>0.23</v>
      </c>
      <c r="C9" s="1072">
        <v>0.23</v>
      </c>
      <c r="D9" s="1078">
        <v>0.24</v>
      </c>
      <c r="E9" s="1072">
        <f t="shared" ref="E9" si="2">B9/C9</f>
        <v>1</v>
      </c>
      <c r="F9" s="1073"/>
      <c r="G9" s="1073"/>
      <c r="H9" s="1073"/>
      <c r="I9" s="1074"/>
    </row>
    <row r="10" spans="1:9" x14ac:dyDescent="0.35">
      <c r="A10" s="1075"/>
      <c r="B10" s="1076"/>
      <c r="C10" s="1077"/>
      <c r="D10" s="1079"/>
      <c r="E10" s="1077"/>
      <c r="F10" s="1073"/>
      <c r="G10" s="1073"/>
      <c r="H10" s="1073"/>
      <c r="I10" s="1074"/>
    </row>
    <row r="11" spans="1:9" x14ac:dyDescent="0.35">
      <c r="A11" s="1070" t="s">
        <v>2075</v>
      </c>
      <c r="B11" s="1071">
        <v>0.25</v>
      </c>
      <c r="C11" s="1072">
        <v>0.25</v>
      </c>
      <c r="D11" s="1078">
        <v>0.25</v>
      </c>
      <c r="E11" s="1072">
        <f t="shared" ref="E11" si="3">B11/C11</f>
        <v>1</v>
      </c>
      <c r="F11" s="1073"/>
      <c r="G11" s="1073"/>
      <c r="H11" s="1073"/>
      <c r="I11" s="1074"/>
    </row>
    <row r="12" spans="1:9" x14ac:dyDescent="0.35">
      <c r="A12" s="1075"/>
      <c r="B12" s="1076"/>
      <c r="C12" s="1077"/>
      <c r="D12" s="1079"/>
      <c r="E12" s="1077"/>
      <c r="F12" s="1073"/>
      <c r="G12" s="1073"/>
      <c r="H12" s="1073"/>
      <c r="I12" s="1074"/>
    </row>
    <row r="13" spans="1:9" x14ac:dyDescent="0.35">
      <c r="A13" s="1070" t="s">
        <v>2076</v>
      </c>
      <c r="B13" s="1071">
        <v>0.25</v>
      </c>
      <c r="C13" s="1072">
        <v>0.25</v>
      </c>
      <c r="D13" s="1078">
        <v>0.25</v>
      </c>
      <c r="E13" s="1072">
        <f t="shared" ref="E13" si="4">B13/C13</f>
        <v>1</v>
      </c>
      <c r="F13" s="1073"/>
      <c r="G13" s="1073"/>
      <c r="H13" s="1073"/>
      <c r="I13" s="1074"/>
    </row>
    <row r="14" spans="1:9" x14ac:dyDescent="0.35">
      <c r="A14" s="1075"/>
      <c r="B14" s="1076"/>
      <c r="C14" s="1077"/>
      <c r="D14" s="1079"/>
      <c r="E14" s="1077"/>
      <c r="F14" s="1073"/>
      <c r="G14" s="1073"/>
      <c r="H14" s="1073"/>
      <c r="I14" s="1074"/>
    </row>
    <row r="15" spans="1:9" x14ac:dyDescent="0.35">
      <c r="A15" s="1070" t="s">
        <v>2077</v>
      </c>
      <c r="B15" s="1080">
        <v>0.14000000000000001</v>
      </c>
      <c r="C15" s="1078">
        <v>0.14000000000000001</v>
      </c>
      <c r="D15" s="1078">
        <v>0.14000000000000001</v>
      </c>
      <c r="E15" s="1072">
        <f t="shared" ref="E15" si="5">B15/C15</f>
        <v>1</v>
      </c>
      <c r="F15" s="1073"/>
      <c r="G15" s="1073"/>
      <c r="H15" s="1073"/>
      <c r="I15" s="1074"/>
    </row>
    <row r="16" spans="1:9" x14ac:dyDescent="0.35">
      <c r="A16" s="1075"/>
      <c r="B16" s="1081"/>
      <c r="C16" s="1079"/>
      <c r="D16" s="1079"/>
      <c r="E16" s="1077"/>
      <c r="F16" s="1073"/>
      <c r="G16" s="1073"/>
      <c r="H16" s="1073"/>
      <c r="I16" s="1074"/>
    </row>
    <row r="17" spans="1:9" x14ac:dyDescent="0.35">
      <c r="A17" s="1070" t="s">
        <v>2078</v>
      </c>
      <c r="B17" s="1080" t="s">
        <v>89</v>
      </c>
      <c r="C17" s="1078" t="s">
        <v>89</v>
      </c>
      <c r="D17" s="1078" t="s">
        <v>89</v>
      </c>
      <c r="E17" s="1078" t="s">
        <v>89</v>
      </c>
      <c r="F17" s="1073"/>
      <c r="G17" s="1073"/>
      <c r="H17" s="1073"/>
      <c r="I17" s="1074"/>
    </row>
    <row r="18" spans="1:9" x14ac:dyDescent="0.35">
      <c r="A18" s="1075"/>
      <c r="B18" s="1081"/>
      <c r="C18" s="1079"/>
      <c r="D18" s="1079"/>
      <c r="E18" s="1079"/>
      <c r="F18" s="1073"/>
      <c r="G18" s="1073"/>
      <c r="H18" s="1073"/>
      <c r="I18" s="1074"/>
    </row>
    <row r="19" spans="1:9" x14ac:dyDescent="0.35">
      <c r="A19" s="1070" t="s">
        <v>2079</v>
      </c>
      <c r="B19" s="1080" t="s">
        <v>89</v>
      </c>
      <c r="C19" s="1078" t="s">
        <v>89</v>
      </c>
      <c r="D19" s="1078" t="s">
        <v>89</v>
      </c>
      <c r="E19" s="1078" t="s">
        <v>89</v>
      </c>
      <c r="F19" s="1073"/>
      <c r="G19" s="1073"/>
      <c r="H19" s="1073"/>
      <c r="I19" s="1074"/>
    </row>
    <row r="20" spans="1:9" ht="15" thickBot="1" x14ac:dyDescent="0.4">
      <c r="A20" s="1075"/>
      <c r="B20" s="1082"/>
      <c r="C20" s="1083"/>
      <c r="D20" s="1083"/>
      <c r="E20" s="1083"/>
      <c r="F20" s="1084"/>
      <c r="G20" s="1084"/>
      <c r="H20" s="1084"/>
      <c r="I20" s="1085"/>
    </row>
    <row r="21" spans="1:9" ht="14.5" customHeight="1" x14ac:dyDescent="0.35">
      <c r="A21" s="1086" t="s">
        <v>2080</v>
      </c>
      <c r="B21" s="1087"/>
      <c r="C21" s="1087"/>
      <c r="D21" s="1087"/>
      <c r="E21" s="1087"/>
      <c r="F21" s="1087"/>
      <c r="G21" s="1087"/>
      <c r="H21" s="1087"/>
      <c r="I21" s="1088"/>
    </row>
    <row r="22" spans="1:9" x14ac:dyDescent="0.35">
      <c r="A22" s="1086"/>
      <c r="B22" s="1087"/>
      <c r="C22" s="1087"/>
      <c r="D22" s="1087"/>
      <c r="E22" s="1087"/>
      <c r="F22" s="1087"/>
      <c r="G22" s="1087"/>
      <c r="H22" s="1087"/>
      <c r="I22" s="1088"/>
    </row>
    <row r="23" spans="1:9" x14ac:dyDescent="0.35">
      <c r="A23" s="1086"/>
      <c r="B23" s="1087"/>
      <c r="C23" s="1087"/>
      <c r="D23" s="1087"/>
      <c r="E23" s="1087"/>
      <c r="F23" s="1087"/>
      <c r="G23" s="1087"/>
      <c r="H23" s="1087"/>
      <c r="I23" s="1088"/>
    </row>
    <row r="24" spans="1:9" ht="67" customHeight="1" x14ac:dyDescent="0.35">
      <c r="A24" s="1089"/>
      <c r="B24" s="1090"/>
      <c r="C24" s="1090"/>
      <c r="D24" s="1090"/>
      <c r="E24" s="1090"/>
      <c r="F24" s="1090"/>
      <c r="G24" s="1090"/>
      <c r="H24" s="1090"/>
      <c r="I24" s="1091"/>
    </row>
  </sheetData>
  <mergeCells count="52">
    <mergeCell ref="A21:I24"/>
    <mergeCell ref="A19:A20"/>
    <mergeCell ref="B19:B20"/>
    <mergeCell ref="C19:C20"/>
    <mergeCell ref="D19:D20"/>
    <mergeCell ref="E19:E20"/>
    <mergeCell ref="A15:A16"/>
    <mergeCell ref="B15:B16"/>
    <mergeCell ref="C15:C16"/>
    <mergeCell ref="D15:D16"/>
    <mergeCell ref="E15:E16"/>
    <mergeCell ref="A17:A18"/>
    <mergeCell ref="B17:B18"/>
    <mergeCell ref="C17:C18"/>
    <mergeCell ref="D17:D18"/>
    <mergeCell ref="E17:E18"/>
    <mergeCell ref="A11:A12"/>
    <mergeCell ref="B11:B12"/>
    <mergeCell ref="C11:C12"/>
    <mergeCell ref="D11:D12"/>
    <mergeCell ref="E11:E12"/>
    <mergeCell ref="A13:A14"/>
    <mergeCell ref="B13:B14"/>
    <mergeCell ref="C13:C14"/>
    <mergeCell ref="D13:D14"/>
    <mergeCell ref="E13:E14"/>
    <mergeCell ref="E7:E8"/>
    <mergeCell ref="A9:A10"/>
    <mergeCell ref="B9:B10"/>
    <mergeCell ref="C9:C10"/>
    <mergeCell ref="D9:D10"/>
    <mergeCell ref="E9:E10"/>
    <mergeCell ref="I3:I20"/>
    <mergeCell ref="A5:A6"/>
    <mergeCell ref="B5:B6"/>
    <mergeCell ref="C5:C6"/>
    <mergeCell ref="D5:D6"/>
    <mergeCell ref="E5:E6"/>
    <mergeCell ref="A7:A8"/>
    <mergeCell ref="B7:B8"/>
    <mergeCell ref="C7:C8"/>
    <mergeCell ref="D7:D8"/>
    <mergeCell ref="A1:A2"/>
    <mergeCell ref="B1:I1"/>
    <mergeCell ref="A3:A4"/>
    <mergeCell ref="B3:B4"/>
    <mergeCell ref="C3:C4"/>
    <mergeCell ref="D3:D4"/>
    <mergeCell ref="E3:E4"/>
    <mergeCell ref="F3:F20"/>
    <mergeCell ref="G3:G20"/>
    <mergeCell ref="H3:H20"/>
  </mergeCells>
  <hyperlinks>
    <hyperlink ref="A3" r:id="rId1" display="https://prdpdvwpisolap/SIPG/frmPrograma.aspx?IdPrograma=MjA=&amp;Objeto=R2VzdGlvbkNhbWJpbw==" xr:uid="{10C643DE-9B24-49D0-A792-60B03376CA13}"/>
    <hyperlink ref="A5" r:id="rId2" display="https://prdpdvwpisolap/SIPG/frmPrograma.aspx?IdPrograma=MjE=&amp;Objeto=R2VzdGlvbkNhbWJpbw==" xr:uid="{2970A392-6203-4FD3-AED7-39428FBEDFC8}"/>
    <hyperlink ref="A7" r:id="rId3" display="https://prdpdvwpisolap/SIPG/frmPrograma.aspx?IdPrograma=MjI=&amp;Objeto=R2VzdGlvbkNhbWJpbw==" xr:uid="{B87818E9-D171-40DB-857D-9AE52B4F72BC}"/>
    <hyperlink ref="A9" r:id="rId4" display="https://prdpdvwpisolap/SIPG/frmPrograma.aspx?IdPrograma=MjQ=&amp;Objeto=R2VzdGlvbkNhbWJpbw==" xr:uid="{93C875D5-81F5-420C-8199-C431BBACDD1D}"/>
    <hyperlink ref="A11" r:id="rId5" display="https://prdpdvwpisolap/SIPG/frmPrograma.aspx?IdPrograma=MjU=&amp;Objeto=R2VzdGlvbkNhbWJpbw==" xr:uid="{87F4AEA6-27E4-4D1B-8129-FB56AFE7CDAB}"/>
    <hyperlink ref="A13" r:id="rId6" display="https://prdpdvwpisolap/SIPG/frmPrograma.aspx?IdPrograma=MjY=&amp;Objeto=R2VzdGlvbkNhbWJpbw==" xr:uid="{8249B917-0C5D-4854-B271-BEE1CAE24B63}"/>
    <hyperlink ref="A15" r:id="rId7" display="https://prdpdvwpisolap/SIPG/frmPrograma.aspx?IdPrograma=Mjc=&amp;Objeto=R2VzdGlvbkNhbWJpbw==" xr:uid="{B26384AA-8100-4436-B57E-1B2D15F328C1}"/>
    <hyperlink ref="A17" r:id="rId8" display="https://prdpdvwpisolap/SIPG/frmPrograma.aspx?IdPrograma=Mjc=&amp;Objeto=R2VzdGlvbkNhbWJpbw==" xr:uid="{E47701C4-A7D2-4F59-AE34-7B67FD6639C5}"/>
    <hyperlink ref="A19" r:id="rId9" display="https://prdpdvwpisolap/SIPG/frmPrograma.aspx?IdPrograma=Mjc=&amp;Objeto=R2VzdGlvbkNhbWJpbw==" xr:uid="{35007489-7E0E-4B88-AF0B-D48BC0AF0A4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13"/>
  <sheetViews>
    <sheetView showGridLines="0" view="pageBreakPreview" zoomScale="50" zoomScaleNormal="10" zoomScaleSheetLayoutView="50" zoomScalePageLayoutView="48" workbookViewId="0">
      <selection activeCell="D16" sqref="D16:D17"/>
    </sheetView>
  </sheetViews>
  <sheetFormatPr baseColWidth="10" defaultColWidth="12.54296875" defaultRowHeight="15" customHeight="1" x14ac:dyDescent="0.35"/>
  <cols>
    <col min="1" max="1" width="7.26953125" style="1" customWidth="1"/>
    <col min="2" max="2" width="42.90625" style="1" customWidth="1"/>
    <col min="3" max="3" width="51.6328125" style="1" customWidth="1"/>
    <col min="4" max="4" width="28.54296875" style="1" customWidth="1"/>
    <col min="5" max="5" width="36.453125" style="1" customWidth="1"/>
    <col min="6" max="6" width="28.54296875" style="1" hidden="1" customWidth="1"/>
    <col min="7" max="9" width="28.54296875" style="1" customWidth="1"/>
    <col min="10" max="11" width="19.54296875" style="1" customWidth="1"/>
    <col min="12" max="12" width="28.54296875" style="1" customWidth="1"/>
    <col min="13" max="14" width="18.26953125" style="1" customWidth="1"/>
    <col min="15" max="17" width="13.7265625" style="1" hidden="1" customWidth="1"/>
    <col min="18" max="30" width="9.54296875" style="1" hidden="1" customWidth="1"/>
    <col min="31" max="31" width="35.7265625" style="1" hidden="1" customWidth="1"/>
    <col min="32" max="32" width="48.7265625" style="1" hidden="1" customWidth="1"/>
    <col min="33" max="34" width="42.54296875" style="1" hidden="1" customWidth="1"/>
    <col min="35" max="16384" width="12.54296875" style="1"/>
  </cols>
  <sheetData>
    <row r="1" spans="1:34" s="56" customFormat="1" ht="14.15" customHeight="1" x14ac:dyDescent="0.35">
      <c r="A1" s="407"/>
      <c r="B1" s="408"/>
      <c r="C1" s="409"/>
      <c r="D1" s="463" t="s">
        <v>808</v>
      </c>
      <c r="E1" s="463"/>
      <c r="F1" s="463"/>
      <c r="G1" s="463"/>
      <c r="H1" s="463"/>
      <c r="I1" s="463"/>
      <c r="J1" s="463"/>
      <c r="K1" s="463"/>
      <c r="L1" s="463"/>
      <c r="M1" s="463"/>
      <c r="N1" s="463"/>
      <c r="O1" s="463"/>
      <c r="P1" s="463"/>
      <c r="Q1" s="463"/>
      <c r="R1" s="463"/>
      <c r="S1" s="463"/>
      <c r="T1" s="463"/>
      <c r="U1" s="463"/>
      <c r="V1" s="463"/>
      <c r="W1" s="463"/>
      <c r="X1" s="463"/>
      <c r="Y1" s="463"/>
      <c r="Z1" s="463"/>
      <c r="AA1" s="463"/>
      <c r="AB1" s="463"/>
      <c r="AC1" s="463"/>
      <c r="AD1" s="463"/>
      <c r="AE1" s="463"/>
      <c r="AF1" s="463"/>
      <c r="AG1" s="463"/>
      <c r="AH1" s="463"/>
    </row>
    <row r="2" spans="1:34" s="56" customFormat="1" ht="20.149999999999999" customHeight="1" x14ac:dyDescent="0.35">
      <c r="A2" s="410"/>
      <c r="B2" s="411"/>
      <c r="C2" s="412"/>
      <c r="D2" s="463"/>
      <c r="E2" s="463"/>
      <c r="F2" s="463"/>
      <c r="G2" s="463"/>
      <c r="H2" s="463"/>
      <c r="I2" s="463"/>
      <c r="J2" s="463"/>
      <c r="K2" s="463"/>
      <c r="L2" s="463"/>
      <c r="M2" s="463"/>
      <c r="N2" s="463"/>
      <c r="O2" s="463"/>
      <c r="P2" s="463"/>
      <c r="Q2" s="463"/>
      <c r="R2" s="463"/>
      <c r="S2" s="463"/>
      <c r="T2" s="463"/>
      <c r="U2" s="463"/>
      <c r="V2" s="463"/>
      <c r="W2" s="463"/>
      <c r="X2" s="463"/>
      <c r="Y2" s="463"/>
      <c r="Z2" s="463"/>
      <c r="AA2" s="463"/>
      <c r="AB2" s="463"/>
      <c r="AC2" s="463"/>
      <c r="AD2" s="463"/>
      <c r="AE2" s="463"/>
      <c r="AF2" s="463"/>
      <c r="AG2" s="463"/>
      <c r="AH2" s="463"/>
    </row>
    <row r="3" spans="1:34" s="56" customFormat="1" ht="60" customHeight="1" thickBot="1" x14ac:dyDescent="0.4">
      <c r="A3" s="413"/>
      <c r="B3" s="414"/>
      <c r="C3" s="415"/>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row>
    <row r="4" spans="1:34" s="56" customFormat="1" ht="60" hidden="1" customHeight="1" thickBot="1" x14ac:dyDescent="0.4">
      <c r="A4" s="405" t="s">
        <v>34</v>
      </c>
      <c r="B4" s="8" t="s">
        <v>35</v>
      </c>
      <c r="C4" s="10">
        <v>0.7</v>
      </c>
      <c r="D4" s="10"/>
      <c r="E4" s="10"/>
      <c r="F4" s="9"/>
      <c r="G4" s="405" t="s">
        <v>36</v>
      </c>
      <c r="H4" s="10">
        <v>0.7</v>
      </c>
      <c r="I4" s="57"/>
      <c r="J4" s="58"/>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405"/>
      <c r="B5" s="8" t="s">
        <v>37</v>
      </c>
      <c r="C5" s="11">
        <v>0.9</v>
      </c>
      <c r="D5" s="11"/>
      <c r="E5" s="11"/>
      <c r="F5" s="11">
        <v>1</v>
      </c>
      <c r="G5" s="405"/>
      <c r="H5" s="11">
        <v>0.95</v>
      </c>
      <c r="I5" s="57"/>
      <c r="J5" s="58"/>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406" t="s">
        <v>38</v>
      </c>
      <c r="B6" s="406"/>
      <c r="C6" s="416" t="s">
        <v>39</v>
      </c>
      <c r="D6" s="416"/>
      <c r="E6" s="406" t="s">
        <v>40</v>
      </c>
      <c r="F6" s="406"/>
      <c r="G6" s="437">
        <f>+P15+P17+P19+P21+P25+P27+P29+P31</f>
        <v>1</v>
      </c>
      <c r="H6" s="406"/>
      <c r="I6" s="440">
        <f>(P14+P16+P18+P20+P24+P26+P28+P31)/L6</f>
        <v>1.0526315789473684</v>
      </c>
      <c r="J6" s="406" t="s">
        <v>42</v>
      </c>
      <c r="K6" s="406"/>
      <c r="L6" s="443">
        <v>0.95</v>
      </c>
      <c r="M6" s="406" t="s">
        <v>43</v>
      </c>
      <c r="N6" s="406"/>
      <c r="O6" s="428">
        <f>(SUM(R14:U14,R16:U16,R18:U18,R20:U20,R24:U24,R26:U26,R28:U28)/SUM(R15:U15,R17:U17,R19:U19,R21:U21,R25:U25,R27:U27))/L6</f>
        <v>1.0526315789473684</v>
      </c>
      <c r="P6" s="429"/>
      <c r="Q6" s="430"/>
      <c r="R6" s="419" t="s">
        <v>44</v>
      </c>
      <c r="S6" s="420"/>
      <c r="T6" s="420"/>
      <c r="U6" s="421"/>
      <c r="V6" s="428">
        <f>SUM(V14:X14,V16:X16,V18:X18,V20:X20,V24:X24,V26:X26,V28:X28)/SUM(V15:X15,V17:X17,V19:X19,V21:X21,V25:X25,V27:X27,V29:X29)/L6</f>
        <v>1.0526315789473684</v>
      </c>
      <c r="W6" s="429"/>
      <c r="X6" s="429"/>
      <c r="Y6" s="430"/>
      <c r="Z6" s="419" t="s">
        <v>45</v>
      </c>
      <c r="AA6" s="420"/>
      <c r="AB6" s="420"/>
      <c r="AC6" s="421"/>
      <c r="AD6" s="428">
        <f>SUM(AA14,AA16,AA18,Z20:AA20,AA24,AA26)/SUM(AA15,AA17,AA19,AA21,AA25,AA27)/L6</f>
        <v>1.0526315789473684</v>
      </c>
      <c r="AE6" s="430"/>
      <c r="AF6" s="419" t="s">
        <v>46</v>
      </c>
      <c r="AG6" s="428">
        <f>SUM(AC14:AD14,AC16:AD16,AC18:AD18,AC20:AD20,AD24,AC26:AD26,AC28:AD28,AC30)/SUM(AD15,AD17,AB19:AD19,AD21,AD25,AD27,AD29,AC31)/L6</f>
        <v>1.0526315789473684</v>
      </c>
    </row>
    <row r="7" spans="1:34" ht="15" hidden="1" customHeight="1" x14ac:dyDescent="0.35">
      <c r="A7" s="406"/>
      <c r="B7" s="406"/>
      <c r="C7" s="416"/>
      <c r="D7" s="416"/>
      <c r="E7" s="406"/>
      <c r="F7" s="406"/>
      <c r="G7" s="438"/>
      <c r="H7" s="406"/>
      <c r="I7" s="441"/>
      <c r="J7" s="406"/>
      <c r="K7" s="406"/>
      <c r="L7" s="444"/>
      <c r="M7" s="406"/>
      <c r="N7" s="406"/>
      <c r="O7" s="431"/>
      <c r="P7" s="432"/>
      <c r="Q7" s="433"/>
      <c r="R7" s="422"/>
      <c r="S7" s="423"/>
      <c r="T7" s="423"/>
      <c r="U7" s="424"/>
      <c r="V7" s="431"/>
      <c r="W7" s="432"/>
      <c r="X7" s="432"/>
      <c r="Y7" s="433"/>
      <c r="Z7" s="422"/>
      <c r="AA7" s="423"/>
      <c r="AB7" s="423"/>
      <c r="AC7" s="424"/>
      <c r="AD7" s="431"/>
      <c r="AE7" s="433"/>
      <c r="AF7" s="422"/>
      <c r="AG7" s="431"/>
    </row>
    <row r="8" spans="1:34" ht="25.4" hidden="1" customHeight="1" x14ac:dyDescent="0.35">
      <c r="A8" s="406"/>
      <c r="B8" s="406"/>
      <c r="C8" s="416"/>
      <c r="D8" s="416"/>
      <c r="E8" s="406"/>
      <c r="F8" s="406"/>
      <c r="G8" s="438"/>
      <c r="H8" s="406"/>
      <c r="I8" s="441"/>
      <c r="J8" s="406"/>
      <c r="K8" s="406"/>
      <c r="L8" s="444"/>
      <c r="M8" s="406"/>
      <c r="N8" s="406"/>
      <c r="O8" s="431"/>
      <c r="P8" s="432"/>
      <c r="Q8" s="433"/>
      <c r="R8" s="422"/>
      <c r="S8" s="423"/>
      <c r="T8" s="423"/>
      <c r="U8" s="424"/>
      <c r="V8" s="431"/>
      <c r="W8" s="432"/>
      <c r="X8" s="432"/>
      <c r="Y8" s="433"/>
      <c r="Z8" s="422"/>
      <c r="AA8" s="423"/>
      <c r="AB8" s="423"/>
      <c r="AC8" s="424"/>
      <c r="AD8" s="431"/>
      <c r="AE8" s="433"/>
      <c r="AF8" s="422"/>
      <c r="AG8" s="431"/>
    </row>
    <row r="9" spans="1:34" ht="25.4" hidden="1" customHeight="1" thickBot="1" x14ac:dyDescent="0.4">
      <c r="A9" s="406"/>
      <c r="B9" s="406"/>
      <c r="C9" s="416"/>
      <c r="D9" s="416"/>
      <c r="E9" s="406"/>
      <c r="F9" s="406"/>
      <c r="G9" s="438"/>
      <c r="H9" s="406"/>
      <c r="I9" s="441"/>
      <c r="J9" s="406"/>
      <c r="K9" s="406"/>
      <c r="L9" s="444"/>
      <c r="M9" s="406"/>
      <c r="N9" s="406"/>
      <c r="O9" s="431"/>
      <c r="P9" s="432"/>
      <c r="Q9" s="433"/>
      <c r="R9" s="422"/>
      <c r="S9" s="423"/>
      <c r="T9" s="423"/>
      <c r="U9" s="424"/>
      <c r="V9" s="431"/>
      <c r="W9" s="432"/>
      <c r="X9" s="432"/>
      <c r="Y9" s="433"/>
      <c r="Z9" s="422"/>
      <c r="AA9" s="423"/>
      <c r="AB9" s="423"/>
      <c r="AC9" s="424"/>
      <c r="AD9" s="431"/>
      <c r="AE9" s="433"/>
      <c r="AF9" s="422"/>
      <c r="AG9" s="431"/>
    </row>
    <row r="10" spans="1:34" ht="15" hidden="1" customHeight="1" thickBot="1" x14ac:dyDescent="0.4">
      <c r="A10" s="406"/>
      <c r="B10" s="406"/>
      <c r="C10" s="416"/>
      <c r="D10" s="416"/>
      <c r="E10" s="406"/>
      <c r="F10" s="406"/>
      <c r="G10" s="439"/>
      <c r="H10" s="406"/>
      <c r="I10" s="442"/>
      <c r="J10" s="406"/>
      <c r="K10" s="406"/>
      <c r="L10" s="445"/>
      <c r="M10" s="406"/>
      <c r="N10" s="406"/>
      <c r="O10" s="434"/>
      <c r="P10" s="435"/>
      <c r="Q10" s="436"/>
      <c r="R10" s="425"/>
      <c r="S10" s="426"/>
      <c r="T10" s="426"/>
      <c r="U10" s="427"/>
      <c r="V10" s="434"/>
      <c r="W10" s="435"/>
      <c r="X10" s="435"/>
      <c r="Y10" s="436"/>
      <c r="Z10" s="425"/>
      <c r="AA10" s="426"/>
      <c r="AB10" s="426"/>
      <c r="AC10" s="427"/>
      <c r="AD10" s="434"/>
      <c r="AE10" s="436"/>
      <c r="AF10" s="425"/>
      <c r="AG10" s="434"/>
    </row>
    <row r="11" spans="1:34" s="12" customFormat="1" ht="40.4" customHeight="1" thickBot="1" x14ac:dyDescent="0.4">
      <c r="A11" s="390" t="s">
        <v>47</v>
      </c>
      <c r="B11" s="390"/>
      <c r="C11" s="390"/>
      <c r="D11" s="390"/>
      <c r="E11" s="390"/>
      <c r="F11" s="391"/>
      <c r="G11" s="392" t="s">
        <v>820</v>
      </c>
      <c r="H11" s="393"/>
      <c r="I11" s="393"/>
      <c r="J11" s="393"/>
      <c r="K11" s="393"/>
      <c r="L11" s="393"/>
      <c r="M11" s="393"/>
      <c r="N11" s="394"/>
      <c r="O11" s="451" t="s">
        <v>48</v>
      </c>
      <c r="P11" s="452"/>
      <c r="Q11" s="452"/>
      <c r="R11" s="452"/>
      <c r="S11" s="452"/>
      <c r="T11" s="452"/>
      <c r="U11" s="452"/>
      <c r="V11" s="452"/>
      <c r="W11" s="452"/>
      <c r="X11" s="452"/>
      <c r="Y11" s="452"/>
      <c r="Z11" s="452"/>
      <c r="AA11" s="452"/>
      <c r="AB11" s="452"/>
      <c r="AC11" s="452"/>
      <c r="AD11" s="453"/>
      <c r="AE11" s="454" t="s">
        <v>49</v>
      </c>
      <c r="AF11" s="455"/>
      <c r="AG11" s="455"/>
      <c r="AH11" s="455"/>
    </row>
    <row r="12" spans="1:34" ht="39" customHeight="1" x14ac:dyDescent="0.35">
      <c r="A12" s="395" t="s">
        <v>50</v>
      </c>
      <c r="B12" s="397" t="s">
        <v>51</v>
      </c>
      <c r="C12" s="397" t="s">
        <v>52</v>
      </c>
      <c r="D12" s="397" t="s">
        <v>53</v>
      </c>
      <c r="E12" s="397" t="s">
        <v>54</v>
      </c>
      <c r="F12" s="397" t="s">
        <v>30</v>
      </c>
      <c r="G12" s="397" t="s">
        <v>55</v>
      </c>
      <c r="H12" s="395" t="s">
        <v>57</v>
      </c>
      <c r="I12" s="395" t="s">
        <v>58</v>
      </c>
      <c r="J12" s="395" t="s">
        <v>59</v>
      </c>
      <c r="K12" s="395" t="s">
        <v>60</v>
      </c>
      <c r="L12" s="395" t="s">
        <v>61</v>
      </c>
      <c r="M12" s="395" t="s">
        <v>62</v>
      </c>
      <c r="N12" s="397" t="s">
        <v>63</v>
      </c>
      <c r="O12" s="460" t="s">
        <v>64</v>
      </c>
      <c r="P12" s="461" t="s">
        <v>65</v>
      </c>
      <c r="Q12" s="462" t="s">
        <v>66</v>
      </c>
      <c r="R12" s="417" t="s">
        <v>67</v>
      </c>
      <c r="S12" s="417" t="s">
        <v>68</v>
      </c>
      <c r="T12" s="417" t="s">
        <v>69</v>
      </c>
      <c r="U12" s="417" t="s">
        <v>70</v>
      </c>
      <c r="V12" s="417" t="s">
        <v>71</v>
      </c>
      <c r="W12" s="417" t="s">
        <v>72</v>
      </c>
      <c r="X12" s="417" t="s">
        <v>73</v>
      </c>
      <c r="Y12" s="417" t="s">
        <v>74</v>
      </c>
      <c r="Z12" s="417" t="s">
        <v>75</v>
      </c>
      <c r="AA12" s="417" t="s">
        <v>76</v>
      </c>
      <c r="AB12" s="417" t="s">
        <v>77</v>
      </c>
      <c r="AC12" s="417" t="s">
        <v>78</v>
      </c>
      <c r="AD12" s="456" t="s">
        <v>79</v>
      </c>
      <c r="AE12" s="458" t="s">
        <v>80</v>
      </c>
      <c r="AF12" s="447" t="s">
        <v>81</v>
      </c>
      <c r="AG12" s="447" t="s">
        <v>82</v>
      </c>
      <c r="AH12" s="449" t="s">
        <v>83</v>
      </c>
    </row>
    <row r="13" spans="1:34" ht="60" customHeight="1" thickBot="1" x14ac:dyDescent="0.4">
      <c r="A13" s="396"/>
      <c r="B13" s="396"/>
      <c r="C13" s="396"/>
      <c r="D13" s="396"/>
      <c r="E13" s="396"/>
      <c r="F13" s="396"/>
      <c r="G13" s="396"/>
      <c r="H13" s="396"/>
      <c r="I13" s="396"/>
      <c r="J13" s="396"/>
      <c r="K13" s="396"/>
      <c r="L13" s="396"/>
      <c r="M13" s="396"/>
      <c r="N13" s="396"/>
      <c r="O13" s="460"/>
      <c r="P13" s="461"/>
      <c r="Q13" s="462"/>
      <c r="R13" s="418"/>
      <c r="S13" s="418"/>
      <c r="T13" s="418"/>
      <c r="U13" s="418"/>
      <c r="V13" s="418"/>
      <c r="W13" s="418"/>
      <c r="X13" s="418"/>
      <c r="Y13" s="418"/>
      <c r="Z13" s="418"/>
      <c r="AA13" s="418"/>
      <c r="AB13" s="418"/>
      <c r="AC13" s="418"/>
      <c r="AD13" s="457"/>
      <c r="AE13" s="459"/>
      <c r="AF13" s="448"/>
      <c r="AG13" s="448"/>
      <c r="AH13" s="450"/>
    </row>
    <row r="14" spans="1:34" ht="40.4" customHeight="1" thickBot="1" x14ac:dyDescent="0.4">
      <c r="A14" s="384">
        <v>1</v>
      </c>
      <c r="B14" s="384" t="s">
        <v>521</v>
      </c>
      <c r="C14" s="384" t="s">
        <v>824</v>
      </c>
      <c r="D14" s="384" t="s">
        <v>84</v>
      </c>
      <c r="E14" s="384" t="s">
        <v>154</v>
      </c>
      <c r="F14" s="382"/>
      <c r="G14" s="384" t="s">
        <v>87</v>
      </c>
      <c r="H14" s="384" t="s">
        <v>834</v>
      </c>
      <c r="I14" s="384" t="s">
        <v>98</v>
      </c>
      <c r="J14" s="374" t="s">
        <v>88</v>
      </c>
      <c r="K14" s="374" t="s">
        <v>89</v>
      </c>
      <c r="L14" s="374" t="s">
        <v>520</v>
      </c>
      <c r="M14" s="377">
        <v>45659</v>
      </c>
      <c r="N14" s="377">
        <v>46022</v>
      </c>
      <c r="O14" s="60" t="s">
        <v>91</v>
      </c>
      <c r="P14" s="53">
        <f>+(P15*Q14)</f>
        <v>0.125</v>
      </c>
      <c r="Q14" s="66">
        <f>SUM(R14:AD14)</f>
        <v>1</v>
      </c>
      <c r="R14" s="43">
        <v>0.25</v>
      </c>
      <c r="S14" s="43"/>
      <c r="T14" s="43"/>
      <c r="U14" s="43"/>
      <c r="V14" s="43"/>
      <c r="W14" s="43"/>
      <c r="X14" s="43">
        <v>0.25</v>
      </c>
      <c r="Y14" s="43"/>
      <c r="Z14" s="44"/>
      <c r="AA14" s="43">
        <v>0.25</v>
      </c>
      <c r="AB14" s="44"/>
      <c r="AC14" s="44">
        <v>0.25</v>
      </c>
      <c r="AD14" s="163"/>
      <c r="AE14" s="465" t="s">
        <v>92</v>
      </c>
      <c r="AF14" s="388" t="s">
        <v>93</v>
      </c>
      <c r="AG14" s="464" t="s">
        <v>94</v>
      </c>
      <c r="AH14" s="386" t="s">
        <v>95</v>
      </c>
    </row>
    <row r="15" spans="1:34" ht="53.65" customHeight="1" thickBot="1" x14ac:dyDescent="0.4">
      <c r="A15" s="398"/>
      <c r="B15" s="398"/>
      <c r="C15" s="398"/>
      <c r="D15" s="398"/>
      <c r="E15" s="398"/>
      <c r="F15" s="399"/>
      <c r="G15" s="398"/>
      <c r="H15" s="398"/>
      <c r="I15" s="385"/>
      <c r="J15" s="376"/>
      <c r="K15" s="376"/>
      <c r="L15" s="376"/>
      <c r="M15" s="378"/>
      <c r="N15" s="378"/>
      <c r="O15" s="60" t="s">
        <v>96</v>
      </c>
      <c r="P15" s="52">
        <f>100%/8</f>
        <v>0.125</v>
      </c>
      <c r="Q15" s="66">
        <f>SUM(R15:AD15)</f>
        <v>1</v>
      </c>
      <c r="R15" s="42"/>
      <c r="S15" s="42"/>
      <c r="T15" s="42"/>
      <c r="U15" s="42">
        <v>0.25</v>
      </c>
      <c r="V15" s="42"/>
      <c r="W15" s="42"/>
      <c r="X15" s="42">
        <v>0.25</v>
      </c>
      <c r="Y15" s="42"/>
      <c r="Z15" s="42"/>
      <c r="AA15" s="42">
        <v>0.25</v>
      </c>
      <c r="AB15" s="42"/>
      <c r="AC15" s="42"/>
      <c r="AD15" s="164">
        <v>0.25</v>
      </c>
      <c r="AE15" s="370"/>
      <c r="AF15" s="389"/>
      <c r="AG15" s="386"/>
      <c r="AH15" s="387"/>
    </row>
    <row r="16" spans="1:34" ht="37.4" customHeight="1" thickBot="1" x14ac:dyDescent="0.4">
      <c r="A16" s="384">
        <v>2</v>
      </c>
      <c r="B16" s="384" t="s">
        <v>510</v>
      </c>
      <c r="C16" s="384" t="s">
        <v>824</v>
      </c>
      <c r="D16" s="384" t="s">
        <v>533</v>
      </c>
      <c r="E16" s="384" t="s">
        <v>560</v>
      </c>
      <c r="F16" s="382"/>
      <c r="G16" s="384" t="s">
        <v>97</v>
      </c>
      <c r="H16" s="384" t="s">
        <v>835</v>
      </c>
      <c r="I16" s="384" t="s">
        <v>98</v>
      </c>
      <c r="J16" s="374" t="s">
        <v>99</v>
      </c>
      <c r="K16" s="374" t="s">
        <v>89</v>
      </c>
      <c r="L16" s="374" t="s">
        <v>520</v>
      </c>
      <c r="M16" s="377">
        <v>45659</v>
      </c>
      <c r="N16" s="377">
        <v>46022</v>
      </c>
      <c r="O16" s="60" t="s">
        <v>91</v>
      </c>
      <c r="P16" s="53">
        <f>+(P17*Q16)</f>
        <v>0.125</v>
      </c>
      <c r="Q16" s="66">
        <f t="shared" ref="Q16:Q29" si="0">SUM(R16:AD16)</f>
        <v>1</v>
      </c>
      <c r="R16" s="43"/>
      <c r="S16" s="43"/>
      <c r="T16" s="43">
        <v>0.25</v>
      </c>
      <c r="U16" s="43"/>
      <c r="V16" s="43"/>
      <c r="W16" s="43">
        <v>0.25</v>
      </c>
      <c r="X16" s="43"/>
      <c r="Y16" s="43"/>
      <c r="Z16" s="44"/>
      <c r="AA16" s="44">
        <v>0.25</v>
      </c>
      <c r="AB16" s="44"/>
      <c r="AC16" s="44">
        <v>0.25</v>
      </c>
      <c r="AD16" s="163"/>
      <c r="AE16" s="370" t="s">
        <v>100</v>
      </c>
      <c r="AF16" s="386" t="s">
        <v>101</v>
      </c>
      <c r="AG16" s="386" t="s">
        <v>102</v>
      </c>
      <c r="AH16" s="386" t="s">
        <v>103</v>
      </c>
    </row>
    <row r="17" spans="1:34" ht="63.65" customHeight="1" thickBot="1" x14ac:dyDescent="0.4">
      <c r="A17" s="398"/>
      <c r="B17" s="398"/>
      <c r="C17" s="385"/>
      <c r="D17" s="385"/>
      <c r="E17" s="385"/>
      <c r="F17" s="383"/>
      <c r="G17" s="385"/>
      <c r="H17" s="385"/>
      <c r="I17" s="385"/>
      <c r="J17" s="375"/>
      <c r="K17" s="375"/>
      <c r="L17" s="376"/>
      <c r="M17" s="378"/>
      <c r="N17" s="378"/>
      <c r="O17" s="60" t="s">
        <v>96</v>
      </c>
      <c r="P17" s="52">
        <f>100%/8</f>
        <v>0.125</v>
      </c>
      <c r="Q17" s="66">
        <f t="shared" si="0"/>
        <v>1</v>
      </c>
      <c r="R17" s="42"/>
      <c r="S17" s="42"/>
      <c r="T17" s="42"/>
      <c r="U17" s="42">
        <v>0.25</v>
      </c>
      <c r="V17" s="42"/>
      <c r="W17" s="42"/>
      <c r="X17" s="42">
        <v>0.25</v>
      </c>
      <c r="Y17" s="42"/>
      <c r="Z17" s="42"/>
      <c r="AA17" s="42">
        <v>0.25</v>
      </c>
      <c r="AB17" s="42"/>
      <c r="AC17" s="42"/>
      <c r="AD17" s="164">
        <v>0.25</v>
      </c>
      <c r="AE17" s="370"/>
      <c r="AF17" s="386"/>
      <c r="AG17" s="386"/>
      <c r="AH17" s="386"/>
    </row>
    <row r="18" spans="1:34" ht="46.5" customHeight="1" thickBot="1" x14ac:dyDescent="0.4">
      <c r="A18" s="384">
        <v>3</v>
      </c>
      <c r="B18" s="384" t="s">
        <v>526</v>
      </c>
      <c r="C18" s="384" t="s">
        <v>826</v>
      </c>
      <c r="D18" s="384" t="s">
        <v>539</v>
      </c>
      <c r="E18" s="384" t="s">
        <v>565</v>
      </c>
      <c r="F18" s="382"/>
      <c r="G18" s="384" t="s">
        <v>39</v>
      </c>
      <c r="H18" s="384" t="s">
        <v>836</v>
      </c>
      <c r="I18" s="384" t="s">
        <v>98</v>
      </c>
      <c r="J18" s="374" t="s">
        <v>88</v>
      </c>
      <c r="K18" s="374" t="s">
        <v>89</v>
      </c>
      <c r="L18" s="374" t="s">
        <v>520</v>
      </c>
      <c r="M18" s="377">
        <v>45659</v>
      </c>
      <c r="N18" s="377">
        <v>46022</v>
      </c>
      <c r="O18" s="60" t="s">
        <v>91</v>
      </c>
      <c r="P18" s="53">
        <f>+(P19*Q18)</f>
        <v>0.125</v>
      </c>
      <c r="Q18" s="66">
        <f t="shared" si="0"/>
        <v>1</v>
      </c>
      <c r="R18" s="43"/>
      <c r="S18" s="43"/>
      <c r="T18" s="43">
        <v>0.25</v>
      </c>
      <c r="U18" s="43"/>
      <c r="V18" s="43"/>
      <c r="W18" s="43">
        <v>0.25</v>
      </c>
      <c r="X18" s="43"/>
      <c r="Y18" s="44"/>
      <c r="Z18" s="44"/>
      <c r="AA18" s="44"/>
      <c r="AB18" s="44"/>
      <c r="AC18" s="44">
        <v>0.5</v>
      </c>
      <c r="AD18" s="163"/>
      <c r="AE18" s="370" t="s">
        <v>104</v>
      </c>
      <c r="AF18" s="389" t="s">
        <v>104</v>
      </c>
      <c r="AG18" s="386" t="s">
        <v>104</v>
      </c>
      <c r="AH18" s="446" t="s">
        <v>105</v>
      </c>
    </row>
    <row r="19" spans="1:34" ht="91.5" customHeight="1" thickBot="1" x14ac:dyDescent="0.4">
      <c r="A19" s="398"/>
      <c r="B19" s="398"/>
      <c r="C19" s="385"/>
      <c r="D19" s="385"/>
      <c r="E19" s="385"/>
      <c r="F19" s="383"/>
      <c r="G19" s="385"/>
      <c r="H19" s="385"/>
      <c r="I19" s="385"/>
      <c r="J19" s="375"/>
      <c r="K19" s="375"/>
      <c r="L19" s="376"/>
      <c r="M19" s="378"/>
      <c r="N19" s="378"/>
      <c r="O19" s="60" t="s">
        <v>96</v>
      </c>
      <c r="P19" s="52">
        <f>100%/8</f>
        <v>0.125</v>
      </c>
      <c r="Q19" s="66">
        <f t="shared" si="0"/>
        <v>1</v>
      </c>
      <c r="R19" s="42"/>
      <c r="S19" s="42"/>
      <c r="T19" s="42"/>
      <c r="U19" s="42">
        <v>0.25</v>
      </c>
      <c r="V19" s="42"/>
      <c r="W19" s="42"/>
      <c r="X19" s="42">
        <v>0.25</v>
      </c>
      <c r="Y19" s="42"/>
      <c r="Z19" s="42"/>
      <c r="AA19" s="42"/>
      <c r="AB19" s="42">
        <v>0.5</v>
      </c>
      <c r="AC19" s="42"/>
      <c r="AD19" s="164"/>
      <c r="AE19" s="370"/>
      <c r="AF19" s="389"/>
      <c r="AG19" s="386"/>
      <c r="AH19" s="446"/>
    </row>
    <row r="20" spans="1:34" ht="56.9" customHeight="1" thickBot="1" x14ac:dyDescent="0.4">
      <c r="A20" s="384">
        <v>4</v>
      </c>
      <c r="B20" s="384" t="s">
        <v>515</v>
      </c>
      <c r="C20" s="384" t="s">
        <v>822</v>
      </c>
      <c r="D20" s="384" t="s">
        <v>84</v>
      </c>
      <c r="E20" s="384" t="s">
        <v>123</v>
      </c>
      <c r="F20" s="382"/>
      <c r="G20" s="384" t="s">
        <v>124</v>
      </c>
      <c r="H20" s="384" t="s">
        <v>837</v>
      </c>
      <c r="I20" s="384" t="s">
        <v>98</v>
      </c>
      <c r="J20" s="374" t="s">
        <v>88</v>
      </c>
      <c r="K20" s="374" t="s">
        <v>89</v>
      </c>
      <c r="L20" s="374" t="s">
        <v>520</v>
      </c>
      <c r="M20" s="377">
        <v>45659</v>
      </c>
      <c r="N20" s="377">
        <v>46022</v>
      </c>
      <c r="O20" s="60" t="s">
        <v>91</v>
      </c>
      <c r="P20" s="53">
        <f>+(P21*Q20)</f>
        <v>0.125</v>
      </c>
      <c r="Q20" s="66">
        <f>SUM(R20:AD20)</f>
        <v>1</v>
      </c>
      <c r="R20" s="43"/>
      <c r="S20" s="43"/>
      <c r="T20" s="43"/>
      <c r="U20" s="43">
        <v>0.25</v>
      </c>
      <c r="V20" s="43"/>
      <c r="W20" s="43"/>
      <c r="X20" s="43">
        <v>0.25</v>
      </c>
      <c r="Y20" s="43"/>
      <c r="Z20" s="167">
        <v>0.25</v>
      </c>
      <c r="AA20" s="44"/>
      <c r="AB20" s="44"/>
      <c r="AC20" s="44">
        <v>0.25</v>
      </c>
      <c r="AD20" s="163"/>
      <c r="AE20" s="370" t="s">
        <v>109</v>
      </c>
      <c r="AF20" s="386" t="s">
        <v>110</v>
      </c>
      <c r="AG20" s="386" t="s">
        <v>111</v>
      </c>
      <c r="AH20" s="386" t="s">
        <v>95</v>
      </c>
    </row>
    <row r="21" spans="1:34" ht="37.4" customHeight="1" thickBot="1" x14ac:dyDescent="0.4">
      <c r="A21" s="398"/>
      <c r="B21" s="398"/>
      <c r="C21" s="385"/>
      <c r="D21" s="385"/>
      <c r="E21" s="385"/>
      <c r="F21" s="383"/>
      <c r="G21" s="385"/>
      <c r="H21" s="385"/>
      <c r="I21" s="385"/>
      <c r="J21" s="375"/>
      <c r="K21" s="375"/>
      <c r="L21" s="376"/>
      <c r="M21" s="378"/>
      <c r="N21" s="378"/>
      <c r="O21" s="60" t="s">
        <v>96</v>
      </c>
      <c r="P21" s="52">
        <f>100%/8</f>
        <v>0.125</v>
      </c>
      <c r="Q21" s="66">
        <f t="shared" si="0"/>
        <v>1</v>
      </c>
      <c r="R21" s="42"/>
      <c r="S21" s="42"/>
      <c r="T21" s="42"/>
      <c r="U21" s="42">
        <v>0.25</v>
      </c>
      <c r="V21" s="42"/>
      <c r="W21" s="42"/>
      <c r="X21" s="42">
        <v>0.25</v>
      </c>
      <c r="Y21" s="42"/>
      <c r="Z21" s="42"/>
      <c r="AA21" s="42">
        <v>0.25</v>
      </c>
      <c r="AB21" s="42"/>
      <c r="AC21" s="42"/>
      <c r="AD21" s="164">
        <v>0.25</v>
      </c>
      <c r="AE21" s="370"/>
      <c r="AF21" s="386"/>
      <c r="AG21" s="386"/>
      <c r="AH21" s="387"/>
    </row>
    <row r="22" spans="1:34" ht="56.9" customHeight="1" thickBot="1" x14ac:dyDescent="0.4">
      <c r="A22" s="384">
        <v>5</v>
      </c>
      <c r="B22" s="384" t="s">
        <v>531</v>
      </c>
      <c r="C22" s="384" t="s">
        <v>827</v>
      </c>
      <c r="D22" s="384" t="s">
        <v>84</v>
      </c>
      <c r="E22" s="384" t="s">
        <v>451</v>
      </c>
      <c r="F22" s="382"/>
      <c r="G22" s="384" t="s">
        <v>384</v>
      </c>
      <c r="H22" s="384" t="s">
        <v>839</v>
      </c>
      <c r="I22" s="384" t="s">
        <v>98</v>
      </c>
      <c r="J22" s="374" t="s">
        <v>88</v>
      </c>
      <c r="K22" s="374" t="s">
        <v>89</v>
      </c>
      <c r="L22" s="374" t="s">
        <v>520</v>
      </c>
      <c r="M22" s="377">
        <v>45659</v>
      </c>
      <c r="N22" s="377">
        <v>46022</v>
      </c>
      <c r="O22" s="60" t="s">
        <v>91</v>
      </c>
      <c r="P22" s="53">
        <f>+(P23*Q22)</f>
        <v>0.125</v>
      </c>
      <c r="Q22" s="66">
        <f>SUM(R22:AD22)</f>
        <v>1</v>
      </c>
      <c r="R22" s="43"/>
      <c r="S22" s="43"/>
      <c r="T22" s="43"/>
      <c r="U22" s="43">
        <v>0.25</v>
      </c>
      <c r="V22" s="43"/>
      <c r="W22" s="43"/>
      <c r="X22" s="43">
        <v>0.25</v>
      </c>
      <c r="Y22" s="43"/>
      <c r="Z22" s="167">
        <v>0.25</v>
      </c>
      <c r="AA22" s="44"/>
      <c r="AB22" s="44"/>
      <c r="AC22" s="44">
        <v>0.25</v>
      </c>
      <c r="AD22" s="163"/>
      <c r="AE22" s="370" t="s">
        <v>109</v>
      </c>
      <c r="AF22" s="386" t="s">
        <v>110</v>
      </c>
      <c r="AG22" s="386" t="s">
        <v>111</v>
      </c>
      <c r="AH22" s="386" t="s">
        <v>95</v>
      </c>
    </row>
    <row r="23" spans="1:34" ht="37.4" customHeight="1" thickBot="1" x14ac:dyDescent="0.4">
      <c r="A23" s="398"/>
      <c r="B23" s="398"/>
      <c r="C23" s="385"/>
      <c r="D23" s="385"/>
      <c r="E23" s="385"/>
      <c r="F23" s="383"/>
      <c r="G23" s="385"/>
      <c r="H23" s="385"/>
      <c r="I23" s="385"/>
      <c r="J23" s="375"/>
      <c r="K23" s="375"/>
      <c r="L23" s="376"/>
      <c r="M23" s="378"/>
      <c r="N23" s="378"/>
      <c r="O23" s="60" t="s">
        <v>96</v>
      </c>
      <c r="P23" s="52">
        <f>100%/8</f>
        <v>0.125</v>
      </c>
      <c r="Q23" s="66">
        <f t="shared" ref="Q23" si="1">SUM(R23:AD23)</f>
        <v>1</v>
      </c>
      <c r="R23" s="42"/>
      <c r="S23" s="42"/>
      <c r="T23" s="42"/>
      <c r="U23" s="42">
        <v>0.25</v>
      </c>
      <c r="V23" s="42"/>
      <c r="W23" s="42"/>
      <c r="X23" s="42">
        <v>0.25</v>
      </c>
      <c r="Y23" s="42"/>
      <c r="Z23" s="42"/>
      <c r="AA23" s="42">
        <v>0.25</v>
      </c>
      <c r="AB23" s="42"/>
      <c r="AC23" s="42"/>
      <c r="AD23" s="164">
        <v>0.25</v>
      </c>
      <c r="AE23" s="370"/>
      <c r="AF23" s="386"/>
      <c r="AG23" s="386"/>
      <c r="AH23" s="387"/>
    </row>
    <row r="24" spans="1:34" ht="143.15" customHeight="1" thickBot="1" x14ac:dyDescent="0.4">
      <c r="A24" s="384">
        <v>6</v>
      </c>
      <c r="B24" s="384" t="s">
        <v>510</v>
      </c>
      <c r="C24" s="384" t="s">
        <v>830</v>
      </c>
      <c r="D24" s="384" t="s">
        <v>118</v>
      </c>
      <c r="E24" s="384" t="s">
        <v>119</v>
      </c>
      <c r="F24" s="382"/>
      <c r="G24" s="400" t="s">
        <v>120</v>
      </c>
      <c r="H24" s="384" t="s">
        <v>831</v>
      </c>
      <c r="I24" s="384" t="s">
        <v>98</v>
      </c>
      <c r="J24" s="374" t="s">
        <v>88</v>
      </c>
      <c r="K24" s="374" t="s">
        <v>89</v>
      </c>
      <c r="L24" s="374" t="s">
        <v>520</v>
      </c>
      <c r="M24" s="377">
        <v>45659</v>
      </c>
      <c r="N24" s="377">
        <v>46022</v>
      </c>
      <c r="O24" s="60" t="s">
        <v>91</v>
      </c>
      <c r="P24" s="53">
        <f>+(P25*Q24)</f>
        <v>0.125</v>
      </c>
      <c r="Q24" s="66">
        <f t="shared" si="0"/>
        <v>1</v>
      </c>
      <c r="R24" s="45"/>
      <c r="S24" s="45"/>
      <c r="T24" s="45"/>
      <c r="U24" s="43">
        <v>0.25</v>
      </c>
      <c r="V24" s="43"/>
      <c r="W24" s="43"/>
      <c r="X24" s="43">
        <v>0.25</v>
      </c>
      <c r="Y24" s="43"/>
      <c r="Z24" s="44"/>
      <c r="AA24" s="44">
        <v>0.25</v>
      </c>
      <c r="AB24" s="44"/>
      <c r="AC24" s="44"/>
      <c r="AD24" s="163">
        <v>0.25</v>
      </c>
      <c r="AE24" s="370" t="s">
        <v>113</v>
      </c>
      <c r="AF24" s="386" t="s">
        <v>114</v>
      </c>
      <c r="AG24" s="386" t="s">
        <v>115</v>
      </c>
      <c r="AH24" s="446" t="s">
        <v>116</v>
      </c>
    </row>
    <row r="25" spans="1:34" ht="36.65" customHeight="1" thickBot="1" x14ac:dyDescent="0.4">
      <c r="A25" s="398"/>
      <c r="B25" s="398"/>
      <c r="C25" s="385"/>
      <c r="D25" s="385"/>
      <c r="E25" s="385"/>
      <c r="F25" s="383"/>
      <c r="G25" s="401"/>
      <c r="H25" s="385"/>
      <c r="I25" s="385"/>
      <c r="J25" s="375"/>
      <c r="K25" s="375"/>
      <c r="L25" s="376"/>
      <c r="M25" s="378"/>
      <c r="N25" s="378"/>
      <c r="O25" s="60" t="s">
        <v>96</v>
      </c>
      <c r="P25" s="52">
        <f>100%/8</f>
        <v>0.125</v>
      </c>
      <c r="Q25" s="66">
        <f t="shared" si="0"/>
        <v>1</v>
      </c>
      <c r="R25" s="42"/>
      <c r="S25" s="42"/>
      <c r="T25" s="42"/>
      <c r="U25" s="42">
        <v>0.25</v>
      </c>
      <c r="V25" s="42"/>
      <c r="W25" s="42"/>
      <c r="X25" s="42">
        <v>0.25</v>
      </c>
      <c r="Y25" s="42"/>
      <c r="Z25" s="42"/>
      <c r="AA25" s="42">
        <v>0.25</v>
      </c>
      <c r="AB25" s="42"/>
      <c r="AC25" s="42"/>
      <c r="AD25" s="164">
        <v>0.25</v>
      </c>
      <c r="AE25" s="370"/>
      <c r="AF25" s="386"/>
      <c r="AG25" s="386"/>
      <c r="AH25" s="446"/>
    </row>
    <row r="26" spans="1:34" ht="37.4" customHeight="1" thickBot="1" x14ac:dyDescent="0.4">
      <c r="A26" s="384">
        <v>7</v>
      </c>
      <c r="B26" s="384" t="s">
        <v>515</v>
      </c>
      <c r="C26" s="384" t="s">
        <v>822</v>
      </c>
      <c r="D26" s="384" t="s">
        <v>84</v>
      </c>
      <c r="E26" s="384" t="s">
        <v>123</v>
      </c>
      <c r="F26" s="382"/>
      <c r="G26" s="384" t="s">
        <v>583</v>
      </c>
      <c r="H26" s="384" t="s">
        <v>832</v>
      </c>
      <c r="I26" s="384" t="s">
        <v>98</v>
      </c>
      <c r="J26" s="374" t="s">
        <v>88</v>
      </c>
      <c r="K26" s="374" t="s">
        <v>89</v>
      </c>
      <c r="L26" s="374" t="s">
        <v>520</v>
      </c>
      <c r="M26" s="377">
        <v>45659</v>
      </c>
      <c r="N26" s="377">
        <v>46022</v>
      </c>
      <c r="O26" s="60" t="s">
        <v>91</v>
      </c>
      <c r="P26" s="53">
        <f>+(P27*Q26)</f>
        <v>0.125</v>
      </c>
      <c r="Q26" s="66">
        <f t="shared" si="0"/>
        <v>1</v>
      </c>
      <c r="R26" s="59"/>
      <c r="S26" s="59"/>
      <c r="T26" s="91">
        <v>0.25</v>
      </c>
      <c r="U26" s="43"/>
      <c r="V26" s="43"/>
      <c r="W26" s="43"/>
      <c r="X26" s="43">
        <v>0.25</v>
      </c>
      <c r="Y26" s="43"/>
      <c r="Z26" s="44"/>
      <c r="AA26" s="44">
        <v>0.25</v>
      </c>
      <c r="AB26" s="44"/>
      <c r="AC26" s="44">
        <v>0.25</v>
      </c>
      <c r="AD26" s="163"/>
      <c r="AE26" s="466"/>
      <c r="AF26" s="386" t="s">
        <v>121</v>
      </c>
      <c r="AG26" s="386" t="s">
        <v>122</v>
      </c>
      <c r="AH26" s="386" t="s">
        <v>95</v>
      </c>
    </row>
    <row r="27" spans="1:34" ht="93.65" customHeight="1" thickBot="1" x14ac:dyDescent="0.4">
      <c r="A27" s="398"/>
      <c r="B27" s="398"/>
      <c r="C27" s="385"/>
      <c r="D27" s="385"/>
      <c r="E27" s="385"/>
      <c r="F27" s="383"/>
      <c r="G27" s="385"/>
      <c r="H27" s="385"/>
      <c r="I27" s="385"/>
      <c r="J27" s="375"/>
      <c r="K27" s="375"/>
      <c r="L27" s="376"/>
      <c r="M27" s="378"/>
      <c r="N27" s="378"/>
      <c r="O27" s="60" t="s">
        <v>96</v>
      </c>
      <c r="P27" s="52">
        <f>100%/8</f>
        <v>0.125</v>
      </c>
      <c r="Q27" s="66">
        <f t="shared" si="0"/>
        <v>1</v>
      </c>
      <c r="R27" s="42"/>
      <c r="S27" s="42"/>
      <c r="T27" s="42"/>
      <c r="U27" s="42">
        <v>0.25</v>
      </c>
      <c r="V27" s="42"/>
      <c r="W27" s="42"/>
      <c r="X27" s="42">
        <v>0.25</v>
      </c>
      <c r="Y27" s="42"/>
      <c r="Z27" s="42"/>
      <c r="AA27" s="42">
        <v>0.25</v>
      </c>
      <c r="AB27" s="42"/>
      <c r="AC27" s="42"/>
      <c r="AD27" s="164">
        <v>0.25</v>
      </c>
      <c r="AE27" s="466"/>
      <c r="AF27" s="386"/>
      <c r="AG27" s="386"/>
      <c r="AH27" s="387"/>
    </row>
    <row r="28" spans="1:34" ht="74.900000000000006" customHeight="1" thickBot="1" x14ac:dyDescent="0.4">
      <c r="A28" s="384">
        <v>8</v>
      </c>
      <c r="B28" s="384" t="s">
        <v>515</v>
      </c>
      <c r="C28" s="403" t="s">
        <v>828</v>
      </c>
      <c r="D28" s="403" t="s">
        <v>533</v>
      </c>
      <c r="E28" s="403" t="s">
        <v>107</v>
      </c>
      <c r="F28" s="404"/>
      <c r="G28" s="403" t="s">
        <v>108</v>
      </c>
      <c r="H28" s="403" t="s">
        <v>838</v>
      </c>
      <c r="I28" s="384" t="s">
        <v>98</v>
      </c>
      <c r="J28" s="402" t="s">
        <v>88</v>
      </c>
      <c r="K28" s="402" t="s">
        <v>89</v>
      </c>
      <c r="L28" s="374" t="s">
        <v>520</v>
      </c>
      <c r="M28" s="377">
        <v>45659</v>
      </c>
      <c r="N28" s="377">
        <v>46022</v>
      </c>
      <c r="O28" s="60" t="s">
        <v>91</v>
      </c>
      <c r="P28" s="53">
        <f>+(P29*Q28)</f>
        <v>0.125</v>
      </c>
      <c r="Q28" s="66">
        <f t="shared" si="0"/>
        <v>1</v>
      </c>
      <c r="R28" s="45"/>
      <c r="S28" s="45"/>
      <c r="T28" s="45"/>
      <c r="U28" s="45"/>
      <c r="V28" s="45"/>
      <c r="W28" s="45"/>
      <c r="X28" s="45">
        <v>0.5</v>
      </c>
      <c r="Y28" s="45"/>
      <c r="Z28" s="45"/>
      <c r="AA28" s="45"/>
      <c r="AB28" s="45"/>
      <c r="AC28" s="45">
        <v>0.5</v>
      </c>
      <c r="AD28" s="165"/>
      <c r="AE28" s="467" t="s">
        <v>126</v>
      </c>
      <c r="AF28" s="386" t="s">
        <v>127</v>
      </c>
      <c r="AG28" s="386" t="s">
        <v>128</v>
      </c>
      <c r="AH28" s="386" t="s">
        <v>95</v>
      </c>
    </row>
    <row r="29" spans="1:34" ht="37.4" customHeight="1" thickBot="1" x14ac:dyDescent="0.4">
      <c r="A29" s="398"/>
      <c r="B29" s="398"/>
      <c r="C29" s="403"/>
      <c r="D29" s="403"/>
      <c r="E29" s="403"/>
      <c r="F29" s="404"/>
      <c r="G29" s="403"/>
      <c r="H29" s="403"/>
      <c r="I29" s="385"/>
      <c r="J29" s="402"/>
      <c r="K29" s="402"/>
      <c r="L29" s="376"/>
      <c r="M29" s="378"/>
      <c r="N29" s="378"/>
      <c r="O29" s="60" t="s">
        <v>96</v>
      </c>
      <c r="P29" s="52">
        <f>100%/8</f>
        <v>0.125</v>
      </c>
      <c r="Q29" s="66">
        <f t="shared" si="0"/>
        <v>1</v>
      </c>
      <c r="R29" s="42"/>
      <c r="S29" s="42"/>
      <c r="T29" s="42"/>
      <c r="U29" s="42"/>
      <c r="V29" s="42"/>
      <c r="W29" s="42"/>
      <c r="X29" s="42">
        <v>0.5</v>
      </c>
      <c r="Y29" s="42"/>
      <c r="Z29" s="42"/>
      <c r="AA29" s="42"/>
      <c r="AB29" s="42"/>
      <c r="AC29" s="42"/>
      <c r="AD29" s="164">
        <v>0.5</v>
      </c>
      <c r="AE29" s="468"/>
      <c r="AF29" s="387"/>
      <c r="AG29" s="387"/>
      <c r="AH29" s="387"/>
    </row>
    <row r="30" spans="1:34" ht="37.4" customHeight="1" thickBot="1" x14ac:dyDescent="0.4">
      <c r="A30" s="403">
        <v>9</v>
      </c>
      <c r="B30" s="403" t="s">
        <v>515</v>
      </c>
      <c r="C30" s="403" t="s">
        <v>822</v>
      </c>
      <c r="D30" s="403" t="s">
        <v>84</v>
      </c>
      <c r="E30" s="403" t="s">
        <v>150</v>
      </c>
      <c r="F30" s="404"/>
      <c r="G30" s="403" t="s">
        <v>426</v>
      </c>
      <c r="H30" s="403" t="s">
        <v>833</v>
      </c>
      <c r="I30" s="384" t="s">
        <v>98</v>
      </c>
      <c r="J30" s="402" t="s">
        <v>88</v>
      </c>
      <c r="K30" s="402" t="s">
        <v>89</v>
      </c>
      <c r="L30" s="402" t="s">
        <v>520</v>
      </c>
      <c r="M30" s="377">
        <v>45659</v>
      </c>
      <c r="N30" s="377">
        <v>46022</v>
      </c>
      <c r="O30" s="60" t="s">
        <v>91</v>
      </c>
      <c r="P30" s="53">
        <f>+(P31*Q30)</f>
        <v>0.125</v>
      </c>
      <c r="Q30" s="66">
        <f>SUM(R30:AD30)</f>
        <v>1</v>
      </c>
      <c r="R30" s="45"/>
      <c r="S30" s="45"/>
      <c r="T30" s="45"/>
      <c r="U30" s="45"/>
      <c r="V30" s="45"/>
      <c r="W30" s="45"/>
      <c r="X30" s="45"/>
      <c r="Y30" s="45"/>
      <c r="Z30" s="45"/>
      <c r="AA30" s="45"/>
      <c r="AB30" s="45"/>
      <c r="AC30" s="45">
        <v>1</v>
      </c>
      <c r="AD30" s="165"/>
      <c r="AE30" s="467" t="s">
        <v>129</v>
      </c>
      <c r="AF30" s="467" t="s">
        <v>129</v>
      </c>
      <c r="AG30" s="467" t="s">
        <v>129</v>
      </c>
      <c r="AH30" s="386" t="s">
        <v>95</v>
      </c>
    </row>
    <row r="31" spans="1:34" ht="64" customHeight="1" thickBot="1" x14ac:dyDescent="0.4">
      <c r="A31" s="403"/>
      <c r="B31" s="403"/>
      <c r="C31" s="403"/>
      <c r="D31" s="403"/>
      <c r="E31" s="403"/>
      <c r="F31" s="404"/>
      <c r="G31" s="403"/>
      <c r="H31" s="403"/>
      <c r="I31" s="385"/>
      <c r="J31" s="402"/>
      <c r="K31" s="402"/>
      <c r="L31" s="402"/>
      <c r="M31" s="378"/>
      <c r="N31" s="378"/>
      <c r="O31" s="60" t="s">
        <v>96</v>
      </c>
      <c r="P31" s="52">
        <f>100%/8</f>
        <v>0.125</v>
      </c>
      <c r="Q31" s="66">
        <f>SUM(R31:AD31)</f>
        <v>1</v>
      </c>
      <c r="R31" s="42"/>
      <c r="S31" s="42"/>
      <c r="T31" s="42"/>
      <c r="U31" s="42"/>
      <c r="V31" s="42"/>
      <c r="W31" s="42"/>
      <c r="X31" s="42"/>
      <c r="Y31" s="42"/>
      <c r="Z31" s="42"/>
      <c r="AA31" s="42"/>
      <c r="AB31" s="42"/>
      <c r="AC31" s="42">
        <v>1</v>
      </c>
      <c r="AD31" s="164"/>
      <c r="AE31" s="468"/>
      <c r="AF31" s="468"/>
      <c r="AG31" s="468"/>
      <c r="AH31" s="387"/>
    </row>
    <row r="32" spans="1:34" ht="15" hidden="1" customHeight="1" x14ac:dyDescent="0.35"/>
    <row r="33" spans="4:30" s="13" customFormat="1" ht="30" hidden="1" customHeight="1" x14ac:dyDescent="0.35">
      <c r="D33" s="379" t="s">
        <v>42</v>
      </c>
      <c r="E33" s="379"/>
      <c r="F33" s="21">
        <v>1</v>
      </c>
      <c r="H33" s="22" t="s">
        <v>131</v>
      </c>
      <c r="I33" s="54" t="e">
        <f>SUM(N33:AC33)</f>
        <v>#REF!</v>
      </c>
      <c r="J33" s="33"/>
      <c r="K33" s="33"/>
      <c r="L33" s="33"/>
      <c r="M33" s="33"/>
      <c r="N33" s="33" t="e">
        <f>+(V14*$P$15)+(V16*$P$17)+(V18*$P$19)+(V20*$P$21)+(V24*$P$25)+(V27*$P$27)+(#REF!*$P$29)+(#REF!*#REF!)+(#REF!*#REF!)+(#REF!*#REF!)+(#REF!*#REF!)+(#REF!*#REF!)+(#REF!*#REF!)</f>
        <v>#REF!</v>
      </c>
      <c r="O33" s="33" t="e">
        <f>+(AC14*$P$15)+(AC16*$P$17)+(AC18*$P$19)+(AC20*$P$21)+(AC24*$P$25)+(AC27*$P$27)+(#REF!*$P$29)+(#REF!*#REF!)+(#REF!*#REF!)+(#REF!*#REF!)+(#REF!*#REF!)+(#REF!*#REF!)+(#REF!*#REF!)</f>
        <v>#REF!</v>
      </c>
      <c r="P33" s="36" t="e">
        <f>+(#REF!*$P$15)+(#REF!*$P$17)+(#REF!*$P$19)+(#REF!*$P$21)+(#REF!*$P$25)+(#REF!*$P$27)+(#REF!*$P$29)+(#REF!*#REF!)+(#REF!*#REF!)+(#REF!*#REF!)+(#REF!*#REF!)+(#REF!*#REF!)+(#REF!*#REF!)</f>
        <v>#REF!</v>
      </c>
      <c r="Q33" s="33" t="e">
        <f>+(#REF!*$P$15)+(#REF!*$P$17)+(#REF!*$P$19)+(#REF!*$P$21)+(#REF!*$P$25)+(#REF!*$P$27)+(#REF!*$P$29)+(#REF!*#REF!)+(#REF!*#REF!)+(#REF!*#REF!)+(#REF!*#REF!)+(#REF!*#REF!)+(#REF!*#REF!)</f>
        <v>#REF!</v>
      </c>
      <c r="R33" s="33" t="e">
        <f>+(#REF!*$P$15)+(#REF!*$P$17)+(#REF!*$P$19)+(#REF!*$P$21)+(#REF!*$P$25)+(#REF!*$P$27)+(#REF!*$P$29)+(#REF!*#REF!)+(#REF!*#REF!)+(#REF!*#REF!)+(#REF!*#REF!)+(#REF!*#REF!)+(#REF!*#REF!)</f>
        <v>#REF!</v>
      </c>
      <c r="S33" s="33" t="e">
        <f>+(#REF!*$P$15)+(#REF!*$P$17)+(#REF!*$P$19)+(#REF!*$P$21)+(#REF!*$P$25)+(#REF!*$P$27)+(#REF!*$P$29)+(#REF!*#REF!)+(#REF!*#REF!)+(#REF!*#REF!)+(#REF!*#REF!)+(#REF!*#REF!)+(#REF!*#REF!)</f>
        <v>#REF!</v>
      </c>
      <c r="T33" s="33" t="e">
        <f>+(#REF!*$P$15)+(#REF!*$P$17)+(#REF!*$P$19)+(#REF!*$P$21)+(#REF!*$P$25)+(#REF!*$P$27)+(S29*$P$29)+(#REF!*#REF!)+(#REF!*#REF!)+(#REF!*#REF!)+(#REF!*#REF!)+(#REF!*#REF!)+(#REF!*#REF!)</f>
        <v>#REF!</v>
      </c>
      <c r="U33" s="33" t="e">
        <f>+(#REF!*$P$15)+(#REF!*$P$17)+(#REF!*$P$19)+(#REF!*$P$21)+(#REF!*$P$25)+(#REF!*$P$27)+(T29*$P$29)+(#REF!*#REF!)+(#REF!*#REF!)+(#REF!*#REF!)+(#REF!*#REF!)+(#REF!*#REF!)+(#REF!*#REF!)</f>
        <v>#REF!</v>
      </c>
      <c r="V33" s="33" t="e">
        <f>+(#REF!*$P$15)+(#REF!*$P$17)+(#REF!*$P$19)+(#REF!*$P$21)+(#REF!*$P$25)+(#REF!*$P$27)+(U29*$P$29)+(#REF!*#REF!)+(#REF!*#REF!)+(#REF!*#REF!)+(#REF!*#REF!)+(#REF!*#REF!)+(#REF!*#REF!)</f>
        <v>#REF!</v>
      </c>
      <c r="W33" s="33" t="e">
        <f>+(#REF!*$P$15)+(#REF!*$P$17)+(#REF!*$P$19)+(#REF!*$P$21)+(#REF!*$P$25)+(#REF!*$P$27)+(V29*$P$29)+(#REF!*#REF!)+(#REF!*#REF!)+(#REF!*#REF!)+(#REF!*#REF!)+(#REF!*#REF!)+(#REF!*#REF!)</f>
        <v>#REF!</v>
      </c>
      <c r="X33" s="33" t="e">
        <f>+(#REF!*$P$15)+(#REF!*$P$17)+(#REF!*$P$19)+(#REF!*$P$21)+(#REF!*$P$25)+(#REF!*$P$27)+(W29*$P$29)+(#REF!*#REF!)+(#REF!*#REF!)+(#REF!*#REF!)+(#REF!*#REF!)+(#REF!*#REF!)+(#REF!*#REF!)</f>
        <v>#REF!</v>
      </c>
      <c r="Y33" s="33" t="e">
        <f>+(#REF!*$P$15)+(#REF!*$P$17)+(#REF!*$P$19)+(#REF!*$P$21)+(#REF!*$P$25)+(#REF!*$P$27)+(X29*$P$29)+(#REF!*#REF!)+(#REF!*#REF!)+(#REF!*#REF!)+(#REF!*#REF!)+(#REF!*#REF!)+(#REF!*#REF!)</f>
        <v>#REF!</v>
      </c>
      <c r="Z33" s="33" t="e">
        <f>+(#REF!*$P$15)+(#REF!*$P$17)+(#REF!*$P$19)+(#REF!*$P$21)+(#REF!*$P$25)+(#REF!*$P$27)+(Y29*$P$29)+(#REF!*#REF!)+(#REF!*#REF!)+(#REF!*#REF!)+(#REF!*#REF!)+(#REF!*#REF!)+(#REF!*#REF!)</f>
        <v>#REF!</v>
      </c>
      <c r="AA33" s="33" t="e">
        <f>+(#REF!*$P$15)+(#REF!*$P$17)+(#REF!*$P$19)+(#REF!*$P$21)+(#REF!*$P$25)+(#REF!*$P$27)+(Z29*$P$29)+(#REF!*#REF!)+(#REF!*#REF!)+(#REF!*#REF!)+(#REF!*#REF!)+(#REF!*#REF!)+(#REF!*#REF!)</f>
        <v>#REF!</v>
      </c>
      <c r="AB33" s="36" t="e">
        <f>+(#REF!*$P$15)+(#REF!*$P$17)+(#REF!*$P$19)+(#REF!*$P$21)+(#REF!*$P$25)+(#REF!*$P$27)+(AA29*$P$29)+(#REF!*#REF!)+(#REF!*#REF!)+(#REF!*#REF!)+(#REF!*#REF!)+(#REF!*#REF!)+(#REF!*#REF!)</f>
        <v>#REF!</v>
      </c>
      <c r="AC33" s="33" t="e">
        <f>+(#REF!*$P$15)+(#REF!*$P$17)+(#REF!*$P$19)+(#REF!*$P$21)+(#REF!*$P$25)+(#REF!*$P$27)+(AB29*$P$29)+(#REF!*#REF!)+(#REF!*#REF!)+(#REF!*#REF!)+(#REF!*#REF!)+(#REF!*#REF!)+(#REF!*#REF!)</f>
        <v>#REF!</v>
      </c>
      <c r="AD33" s="61"/>
    </row>
    <row r="34" spans="4:30" s="13" customFormat="1" ht="30" hidden="1" customHeight="1" x14ac:dyDescent="0.35">
      <c r="D34" s="379"/>
      <c r="E34" s="379"/>
      <c r="F34" s="21"/>
      <c r="H34" s="15" t="s">
        <v>132</v>
      </c>
      <c r="I34" s="17"/>
      <c r="J34" s="34"/>
      <c r="K34" s="34"/>
      <c r="L34" s="34"/>
      <c r="M34" s="34"/>
      <c r="N34" s="34"/>
      <c r="O34" s="34" t="e">
        <f>SUM(O33:O33)</f>
        <v>#REF!</v>
      </c>
      <c r="P34" s="37"/>
      <c r="Q34" s="34"/>
      <c r="R34" s="34"/>
      <c r="S34" s="27" t="e">
        <f>SUM(P33:S33)</f>
        <v>#REF!</v>
      </c>
      <c r="T34" s="27"/>
      <c r="U34" s="27"/>
      <c r="V34" s="27"/>
      <c r="W34" s="27" t="e">
        <f>SUM(T33:W33)</f>
        <v>#REF!</v>
      </c>
      <c r="X34" s="27"/>
      <c r="Y34" s="27"/>
      <c r="Z34" s="27"/>
      <c r="AA34" s="27" t="e">
        <f>SUM(X33:AA33)</f>
        <v>#REF!</v>
      </c>
      <c r="AB34" s="39"/>
      <c r="AC34" s="27"/>
      <c r="AD34" s="62"/>
    </row>
    <row r="35" spans="4:30" s="13" customFormat="1" ht="30" hidden="1" customHeight="1" x14ac:dyDescent="0.35">
      <c r="H35" s="15" t="s">
        <v>133</v>
      </c>
      <c r="I35" s="14"/>
      <c r="J35" s="34"/>
      <c r="K35" s="34"/>
      <c r="L35" s="34"/>
      <c r="M35" s="34"/>
      <c r="N35" s="34"/>
      <c r="O35" s="34" t="e">
        <f>+#REF!+O34</f>
        <v>#REF!</v>
      </c>
      <c r="P35" s="37"/>
      <c r="Q35" s="34"/>
      <c r="R35" s="34"/>
      <c r="S35" s="26"/>
      <c r="T35" s="27"/>
      <c r="U35" s="27"/>
      <c r="V35" s="27"/>
      <c r="W35" s="27"/>
      <c r="X35" s="27"/>
      <c r="Y35" s="27"/>
      <c r="Z35" s="27"/>
      <c r="AA35" s="27" t="e">
        <f>+S34+W34+AA34</f>
        <v>#REF!</v>
      </c>
      <c r="AB35" s="39"/>
      <c r="AC35" s="27"/>
      <c r="AD35" s="62"/>
    </row>
    <row r="36" spans="4:30" s="13" customFormat="1" ht="30" hidden="1" customHeight="1" thickBot="1" x14ac:dyDescent="0.4">
      <c r="H36" s="18" t="s">
        <v>134</v>
      </c>
      <c r="I36" s="19"/>
      <c r="J36" s="35"/>
      <c r="K36" s="35"/>
      <c r="L36" s="35"/>
      <c r="M36" s="35"/>
      <c r="N36" s="35"/>
      <c r="O36" s="35"/>
      <c r="P36" s="38"/>
      <c r="Q36" s="35"/>
      <c r="R36" s="35"/>
      <c r="S36" s="28"/>
      <c r="T36" s="29"/>
      <c r="U36" s="29"/>
      <c r="V36" s="29"/>
      <c r="W36" s="29"/>
      <c r="X36" s="29"/>
      <c r="Y36" s="29"/>
      <c r="Z36" s="29"/>
      <c r="AA36" s="29" t="e">
        <f>+O35+AA35</f>
        <v>#REF!</v>
      </c>
      <c r="AB36" s="40"/>
      <c r="AC36" s="29"/>
      <c r="AD36" s="62"/>
    </row>
    <row r="37" spans="4:30" s="13" customFormat="1" ht="30" hidden="1" customHeight="1" x14ac:dyDescent="0.35">
      <c r="H37" s="15" t="s">
        <v>136</v>
      </c>
      <c r="I37" s="23" t="e">
        <f>SUM(N37:AC37)</f>
        <v>#REF!</v>
      </c>
      <c r="J37" s="34"/>
      <c r="K37" s="34"/>
      <c r="L37" s="34"/>
      <c r="M37" s="34"/>
      <c r="N37" s="34" t="e">
        <f>+(V15*$P$15)+(V17*$P$17)+(#REF!*$P$19)+(V21*$P$21)+(#REF!*$P$25)+(V28*$P$27)+(#REF!*$P$29)+(#REF!*#REF!)+(#REF!*#REF!)+(#REF!*#REF!)+(#REF!*#REF!)+(#REF!*#REF!)+(#REF!*#REF!)</f>
        <v>#REF!</v>
      </c>
      <c r="O37" s="34" t="e">
        <f>+(AC15*$P$15)+(AC17*$P$17)+(AC19*$P$19)+(AC21*$P$21)+(#REF!*$P$25)+(AC28*$P$27)+(#REF!*$P$29)+(#REF!*#REF!)+(#REF!*#REF!)+(#REF!*#REF!)+(#REF!*#REF!)+(#REF!*#REF!)+(#REF!*#REF!)</f>
        <v>#REF!</v>
      </c>
      <c r="P37" s="37" t="e">
        <f>+(#REF!*$P$15)+(#REF!*$P$17)+(#REF!*$P$19)+(#REF!*$P$21)+(#REF!*$P$25)+(#REF!*$P$27)+(#REF!*$P$29)+(#REF!*#REF!)+(#REF!*#REF!)+(#REF!*#REF!)+(#REF!*#REF!)+(#REF!*#REF!)+(#REF!*#REF!)</f>
        <v>#REF!</v>
      </c>
      <c r="Q37" s="34" t="e">
        <f>+(#REF!*$P$15)+(#REF!*$P$17)+(#REF!*$P$19)+(#REF!*$P$21)+(#REF!*$P$25)+(#REF!*$P$27)+(#REF!*$P$29)+(#REF!*#REF!)+(#REF!*#REF!)+(#REF!*#REF!)+(#REF!*#REF!)+(#REF!*#REF!)+(#REF!*#REF!)</f>
        <v>#REF!</v>
      </c>
      <c r="R37" s="34" t="e">
        <f>+(#REF!*$P$15)+(#REF!*$P$17)+(#REF!*$P$19)+(#REF!*$P$21)+(#REF!*$P$25)+(#REF!*$P$27)+(#REF!*$P$29)+(#REF!*#REF!)+(#REF!*#REF!)+(#REF!*#REF!)+(#REF!*#REF!)+(#REF!*#REF!)+(#REF!*#REF!)</f>
        <v>#REF!</v>
      </c>
      <c r="S37" s="34" t="e">
        <f>+(#REF!*$P$15)+(#REF!*$P$17)+(#REF!*$P$19)+(#REF!*$P$21)+(#REF!*$P$25)+(#REF!*$P$27)+(R28*$P$29)+(#REF!*#REF!)+(#REF!*#REF!)+(#REF!*#REF!)+(#REF!*#REF!)+(#REF!*#REF!)+(#REF!*#REF!)</f>
        <v>#REF!</v>
      </c>
      <c r="T37" s="34" t="e">
        <f>+(#REF!*$P$15)+(#REF!*$P$17)+(#REF!*$P$19)+(#REF!*$P$21)+(#REF!*$P$25)+(#REF!*$P$27)+(#REF!*$P$29)+(#REF!*#REF!)+(#REF!*#REF!)+(#REF!*#REF!)+(#REF!*#REF!)+(#REF!*#REF!)+(#REF!*#REF!)</f>
        <v>#REF!</v>
      </c>
      <c r="U37" s="34" t="e">
        <f>+(#REF!*$P$15)+(#REF!*$P$17)+(#REF!*$P$19)+(#REF!*$P$21)+(#REF!*$P$25)+(#REF!*$P$27)+(#REF!*$P$29)+(#REF!*#REF!)+(#REF!*#REF!)+(#REF!*#REF!)+(#REF!*#REF!)+(#REF!*#REF!)+(#REF!*#REF!)</f>
        <v>#REF!</v>
      </c>
      <c r="V37" s="34" t="e">
        <f>+(#REF!*$P$15)+(#REF!*$P$17)+(#REF!*$P$19)+(#REF!*$P$21)+(#REF!*$P$25)+(#REF!*$P$27)+(#REF!*$P$29)+(#REF!*#REF!)+(#REF!*#REF!)+(#REF!*#REF!)+(#REF!*#REF!)+(#REF!*#REF!)+(#REF!*#REF!)</f>
        <v>#REF!</v>
      </c>
      <c r="W37" s="34" t="e">
        <f>+(#REF!*$P$15)+(#REF!*$P$17)+(#REF!*$P$19)+(#REF!*$P$21)+(#REF!*$P$25)+(#REF!*$P$27)+(#REF!*$P$29)+(#REF!*#REF!)+(#REF!*#REF!)+(#REF!*#REF!)+(#REF!*#REF!)+(#REF!*#REF!)+(#REF!*#REF!)</f>
        <v>#REF!</v>
      </c>
      <c r="X37" s="34" t="e">
        <f>+(#REF!*$P$15)+(#REF!*$P$17)+(#REF!*$P$19)+(#REF!*$P$21)+(#REF!*$P$25)+(#REF!*$P$27)+(#REF!*$P$29)+(#REF!*#REF!)+(#REF!*#REF!)+(#REF!*#REF!)+(#REF!*#REF!)+(#REF!*#REF!)+(#REF!*#REF!)</f>
        <v>#REF!</v>
      </c>
      <c r="Y37" s="34" t="e">
        <f>+(#REF!*$P$15)+(#REF!*$P$17)+(#REF!*$P$19)+(#REF!*$P$21)+(#REF!*$P$25)+(#REF!*$P$27)+(#REF!*$P$29)+(#REF!*#REF!)+(#REF!*#REF!)+(#REF!*#REF!)+(#REF!*#REF!)+(#REF!*#REF!)+(#REF!*#REF!)</f>
        <v>#REF!</v>
      </c>
      <c r="Z37" s="34" t="e">
        <f>+(#REF!*$P$15)+(#REF!*$P$17)+(#REF!*$P$19)+(#REF!*$P$21)+(#REF!*$P$25)+(#REF!*$P$27)+(#REF!*$P$29)+(#REF!*#REF!)+(#REF!*#REF!)+(#REF!*#REF!)+(#REF!*#REF!)+(#REF!*#REF!)+(#REF!*#REF!)</f>
        <v>#REF!</v>
      </c>
      <c r="AA37" s="34" t="e">
        <f>+(#REF!*$P$15)+(#REF!*$P$17)+(#REF!*$P$19)+(#REF!*$P$21)+(#REF!*$P$25)+(#REF!*$P$27)+(#REF!*$P$29)+(#REF!*#REF!)+(#REF!*#REF!)+(#REF!*#REF!)+(#REF!*#REF!)+(#REF!*#REF!)+(#REF!*#REF!)</f>
        <v>#REF!</v>
      </c>
      <c r="AB37" s="37" t="e">
        <f>+(#REF!*$P$15)+(#REF!*$P$17)+(#REF!*$P$19)+(#REF!*$P$21)+(#REF!*$P$25)+(#REF!*$P$27)+(#REF!*$P$29)+(#REF!*#REF!)+(#REF!*#REF!)+(#REF!*#REF!)+(#REF!*#REF!)+(#REF!*#REF!)+(#REF!*#REF!)</f>
        <v>#REF!</v>
      </c>
      <c r="AC37" s="34" t="e">
        <f>+(#REF!*$P$15)+(#REF!*$P$17)+(#REF!*$P$19)+(#REF!*$P$21)+(#REF!*$P$25)+(#REF!*$P$27)+(#REF!*$P$29)+(#REF!*#REF!)+(#REF!*#REF!)+(#REF!*#REF!)+(#REF!*#REF!)+(#REF!*#REF!)+(#REF!*#REF!)</f>
        <v>#REF!</v>
      </c>
      <c r="AD37" s="61"/>
    </row>
    <row r="38" spans="4:30" s="13" customFormat="1" ht="30" hidden="1" customHeight="1" x14ac:dyDescent="0.35">
      <c r="H38" s="15" t="s">
        <v>137</v>
      </c>
      <c r="I38" s="16"/>
      <c r="J38" s="34"/>
      <c r="K38" s="34"/>
      <c r="L38" s="34"/>
      <c r="M38" s="34"/>
      <c r="N38" s="34"/>
      <c r="O38" s="34" t="e">
        <f>SUM(O37:O37)</f>
        <v>#REF!</v>
      </c>
      <c r="P38" s="37"/>
      <c r="Q38" s="34"/>
      <c r="R38" s="34"/>
      <c r="S38" s="34" t="e">
        <f>SUM(P37:S37)</f>
        <v>#REF!</v>
      </c>
      <c r="T38" s="34"/>
      <c r="U38" s="34"/>
      <c r="V38" s="34"/>
      <c r="W38" s="34" t="e">
        <f>SUM(T37:W37)</f>
        <v>#REF!</v>
      </c>
      <c r="X38" s="34"/>
      <c r="Y38" s="34"/>
      <c r="Z38" s="34"/>
      <c r="AA38" s="34" t="e">
        <f>SUM(X37:AA37)</f>
        <v>#REF!</v>
      </c>
      <c r="AB38" s="37"/>
      <c r="AC38" s="34"/>
      <c r="AD38" s="61"/>
    </row>
    <row r="39" spans="4:30" s="13" customFormat="1" ht="30" hidden="1" customHeight="1" x14ac:dyDescent="0.35">
      <c r="H39" s="15" t="s">
        <v>138</v>
      </c>
      <c r="I39" s="14"/>
      <c r="J39" s="34"/>
      <c r="K39" s="34"/>
      <c r="L39" s="34"/>
      <c r="M39" s="34"/>
      <c r="N39" s="34"/>
      <c r="O39" s="34" t="e">
        <f>+#REF!+O38</f>
        <v>#REF!</v>
      </c>
      <c r="P39" s="37"/>
      <c r="Q39" s="34"/>
      <c r="R39" s="34"/>
      <c r="S39" s="26"/>
      <c r="T39" s="27"/>
      <c r="U39" s="27"/>
      <c r="V39" s="27"/>
      <c r="W39" s="27"/>
      <c r="X39" s="27"/>
      <c r="Y39" s="27"/>
      <c r="Z39" s="27"/>
      <c r="AA39" s="27" t="e">
        <f>+S38+W38+AA38</f>
        <v>#REF!</v>
      </c>
      <c r="AB39" s="39"/>
      <c r="AC39" s="27"/>
      <c r="AD39" s="62"/>
    </row>
    <row r="40" spans="4:30" s="13" customFormat="1" ht="30" hidden="1" customHeight="1" thickBot="1" x14ac:dyDescent="0.4">
      <c r="H40" s="20" t="s">
        <v>139</v>
      </c>
      <c r="I40" s="19"/>
      <c r="J40" s="35"/>
      <c r="K40" s="35"/>
      <c r="L40" s="35"/>
      <c r="M40" s="35"/>
      <c r="N40" s="35"/>
      <c r="O40" s="35"/>
      <c r="P40" s="38"/>
      <c r="Q40" s="35"/>
      <c r="R40" s="35"/>
      <c r="S40" s="28"/>
      <c r="T40" s="29"/>
      <c r="U40" s="29"/>
      <c r="V40" s="29"/>
      <c r="W40" s="29"/>
      <c r="X40" s="29"/>
      <c r="Y40" s="29"/>
      <c r="Z40" s="29"/>
      <c r="AA40" s="29" t="e">
        <f>+O39+AA39</f>
        <v>#REF!</v>
      </c>
      <c r="AB40" s="40"/>
      <c r="AC40" s="41"/>
      <c r="AD40" s="62"/>
    </row>
    <row r="41" spans="4:30" ht="30" hidden="1" customHeight="1" x14ac:dyDescent="0.35">
      <c r="H41" s="380" t="s">
        <v>140</v>
      </c>
      <c r="I41" s="380"/>
      <c r="J41" s="46"/>
      <c r="K41" s="46"/>
      <c r="L41" s="46"/>
      <c r="M41" s="46"/>
      <c r="N41" s="46" t="e">
        <f>+N33/N37</f>
        <v>#REF!</v>
      </c>
      <c r="O41" s="47" t="e">
        <f>+(N33+#REF!+#REF!+#REF!+#REF!+#REF!+#REF!+O33)/(N37+#REF!+#REF!+#REF!+#REF!+#REF!+#REF!+O37)</f>
        <v>#REF!</v>
      </c>
      <c r="P41" s="48" t="e">
        <f>+(N33+#REF!+#REF!+#REF!+#REF!+#REF!+#REF!+O33+P33)/(N37+#REF!+#REF!+#REF!+#REF!+#REF!+#REF!+O37+P37)</f>
        <v>#REF!</v>
      </c>
      <c r="Q41" s="46" t="e">
        <f>+(N33+#REF!+#REF!+#REF!+#REF!+#REF!+#REF!+O33+P33+Q33)/(N37+#REF!+#REF!+#REF!+#REF!+#REF!+#REF!+O37+P37+Q37)</f>
        <v>#REF!</v>
      </c>
      <c r="R41" s="46" t="e">
        <f>+(N33+#REF!+#REF!+#REF!+#REF!+#REF!+#REF!+O33+P33+Q33+R33)/(N37+#REF!+#REF!+#REF!+#REF!+#REF!+#REF!+O37+P37+Q37+R37)</f>
        <v>#REF!</v>
      </c>
      <c r="S41" s="47" t="e">
        <f>+(N33+#REF!+#REF!+#REF!+#REF!+#REF!+#REF!+O33+P33+Q33+R33+S33)/(N37+#REF!+#REF!+#REF!+#REF!+#REF!+#REF!+O37+P37+Q37+R37+S37)</f>
        <v>#REF!</v>
      </c>
      <c r="T41" s="46" t="e">
        <f>+(N33+#REF!+#REF!+#REF!+#REF!+#REF!+#REF!+O33+P33+Q33+R33+S33+T33)/(N37+#REF!+#REF!+#REF!+#REF!+#REF!+#REF!+O37+P37+Q37+R37+S37+T37)</f>
        <v>#REF!</v>
      </c>
      <c r="U41" s="46" t="e">
        <f>+(N33+#REF!+#REF!+#REF!+#REF!+#REF!+#REF!+O33+P33+Q33+R33+S33+T33+U33)/(N37+#REF!+#REF!+#REF!+#REF!+#REF!+#REF!+O37+P37+Q37+R37+S37+T37+U37)</f>
        <v>#REF!</v>
      </c>
      <c r="V41" s="46" t="e">
        <f>+(N33+#REF!+#REF!+#REF!+#REF!+#REF!+#REF!+O33+P33+Q33+R33+S33+T33+U33+V33)/(N37+#REF!+#REF!+#REF!+#REF!+#REF!+#REF!+O37+P37+Q37+R37+S37+T37+U37+V37)</f>
        <v>#REF!</v>
      </c>
      <c r="W41" s="47" t="e">
        <f>+(N33+#REF!+#REF!+#REF!+#REF!+#REF!+#REF!+O33+P33+Q33+R33+S33+T33+U33+V33+W33)/(N37+#REF!+#REF!+#REF!+#REF!+#REF!+#REF!+O37+P37+Q37+R37+S37+T37+U37+V37+W37)</f>
        <v>#REF!</v>
      </c>
      <c r="X41" s="46" t="e">
        <f>+(N33+#REF!+#REF!+#REF!+#REF!+#REF!+#REF!+O33+P33+Q33+R33+S33+T33+U33+V33+W33+X33)/(N37+#REF!+#REF!+#REF!+#REF!+#REF!+#REF!+O37+P37+Q37+R37+S37+T37+U37+V37+W37+X37)</f>
        <v>#REF!</v>
      </c>
      <c r="Y41" s="46" t="e">
        <f>+(N33+#REF!+#REF!+#REF!+#REF!+#REF!+#REF!+O33+P33+Q33+R33+S33+T33+U33+V33+W33+X33+Y33)/(N37+#REF!+#REF!+#REF!+#REF!+#REF!+#REF!+O37+P37+Q37+R37+S37+T37+U37+V37+W37+X37+Y37)</f>
        <v>#REF!</v>
      </c>
      <c r="Z41" s="46" t="e">
        <f>+(N33+#REF!+#REF!+#REF!+#REF!+#REF!+#REF!+O33+P33+Q33+R33+S33+T33+U33+V33+W33+X33+Y33+Z33)/(N37+#REF!+#REF!+#REF!+#REF!+#REF!+#REF!+O37+P37+Q37+R37+S37+T37+U37+V37+W37+X37+Y37+Z37)</f>
        <v>#REF!</v>
      </c>
      <c r="AA41" s="47" t="e">
        <f>+(N33+#REF!+#REF!+#REF!+#REF!+#REF!+#REF!+O33+P33+Q33+R33+S33+T33+U33+V33+W33+X33+Y33+Z33+AA33)/(N37+#REF!+#REF!+#REF!+#REF!+#REF!+#REF!+O37+P37+Q37+R37+S37+T37+U37+V37+W37+X37+Y37+Z37+AA37)</f>
        <v>#REF!</v>
      </c>
      <c r="AB41" s="48" t="e">
        <f>+(N33+#REF!+#REF!+#REF!+#REF!+#REF!+#REF!+O33+P33+Q33+R33+S33+T33+U33+V33+W33+X33+Y33+Z33+AA33+AB33)/(N37+#REF!+#REF!+#REF!+#REF!+#REF!+#REF!+O37+P37+Q37+R37+S37+T37+U37+V37+W37+X37+Y37+Z37+AA37+AB37)</f>
        <v>#REF!</v>
      </c>
      <c r="AC41" s="46" t="e">
        <f>+(N33+#REF!+#REF!+#REF!+#REF!+#REF!+#REF!+O33+P33+Q33+R33+S33+T33+U33+V33+W33+X33+Y33+Z33+AA33+AB33+AC33)/(N37+#REF!+#REF!+#REF!+#REF!+#REF!+#REF!+O37+P37+Q37+R37+S37+T37+U37+V37+W37+X37+Y37+Z37+AA37+AB37+AC37)</f>
        <v>#REF!</v>
      </c>
      <c r="AD41" s="63"/>
    </row>
    <row r="42" spans="4:30" ht="30" hidden="1" customHeight="1" x14ac:dyDescent="0.35">
      <c r="H42" s="381" t="s">
        <v>141</v>
      </c>
      <c r="I42" s="381"/>
      <c r="J42" s="47"/>
      <c r="K42" s="47"/>
      <c r="L42" s="47"/>
      <c r="M42" s="47"/>
      <c r="N42" s="47" t="e">
        <f>+N33/$F$33</f>
        <v>#REF!</v>
      </c>
      <c r="O42" s="47" t="e">
        <f>+(N33+#REF!+#REF!+#REF!+#REF!+#REF!+#REF!+O33)/$F$33</f>
        <v>#REF!</v>
      </c>
      <c r="P42" s="49" t="e">
        <f>+(N33+#REF!+#REF!+#REF!+#REF!+#REF!+#REF!+O33+P33)/$F$33</f>
        <v>#REF!</v>
      </c>
      <c r="Q42" s="47" t="e">
        <f>+(N33+#REF!+#REF!+#REF!+#REF!+#REF!+#REF!+O33+P33+Q33)/$F$33</f>
        <v>#REF!</v>
      </c>
      <c r="R42" s="47" t="e">
        <f>+(N33+#REF!+#REF!+#REF!+#REF!+#REF!+#REF!+O33+P33+Q33+R33)/$F$33</f>
        <v>#REF!</v>
      </c>
      <c r="S42" s="47" t="e">
        <f>+(N33+#REF!+#REF!+#REF!+#REF!+#REF!+#REF!+O33+P33+Q33+R33+S33)/$F$33</f>
        <v>#REF!</v>
      </c>
      <c r="T42" s="47" t="e">
        <f>+(N33+#REF!+#REF!+#REF!+#REF!+#REF!+#REF!+O33+P33+Q33+R33+S33+T33)/$F$33</f>
        <v>#REF!</v>
      </c>
      <c r="U42" s="47" t="e">
        <f>+(N33+#REF!+#REF!+#REF!+#REF!+#REF!+#REF!+O33+P33+Q33+R33+S33+T33+U33)/$F$33</f>
        <v>#REF!</v>
      </c>
      <c r="V42" s="47" t="e">
        <f>+(N33+#REF!+#REF!+#REF!+#REF!+#REF!+#REF!+O33+P33+Q33+R33+S33+T33+U33+V33)/$F$33</f>
        <v>#REF!</v>
      </c>
      <c r="W42" s="47" t="e">
        <f>+(N33+#REF!+#REF!+#REF!+#REF!+#REF!+#REF!+O33+P33+Q33+R33+S33+T33+U33+V33+W33)/$F$33</f>
        <v>#REF!</v>
      </c>
      <c r="X42" s="47" t="e">
        <f>+(N33+#REF!+#REF!+#REF!+#REF!+#REF!+#REF!+O33+P33+Q33+R33+S33+T33+U33+V33+W33+X33)/$F$33</f>
        <v>#REF!</v>
      </c>
      <c r="Y42" s="47" t="e">
        <f>+(N33+#REF!+#REF!+#REF!+#REF!+#REF!+#REF!+O33+P33+Q33+R33+S33+T33+U33+V33+W33+X33+Y33)/$F$33</f>
        <v>#REF!</v>
      </c>
      <c r="Z42" s="47" t="e">
        <f>+(N33+#REF!+#REF!+#REF!+#REF!+#REF!+#REF!+O33+P33+Q33+R33+S33+T33+U33+V33+W33+X33+Y33+Z33)/$F$33</f>
        <v>#REF!</v>
      </c>
      <c r="AA42" s="47" t="e">
        <f>+(N33+#REF!+#REF!+#REF!+#REF!+#REF!+#REF!+O33+P33+Q33+R33+S33+T33+U33+V33+W33+X33+Y33+Z33+AA33)/$F$33</f>
        <v>#REF!</v>
      </c>
      <c r="AB42" s="49" t="e">
        <f>+(N33+#REF!+#REF!+#REF!+#REF!+#REF!+#REF!+O33+P33+Q33+R33+S33+T33+U33+V33+W33+X33+Y33+Z33+AA33+AB33)/$F$33</f>
        <v>#REF!</v>
      </c>
      <c r="AC42" s="47" t="e">
        <f>+(N33+#REF!+#REF!+#REF!+#REF!+#REF!+#REF!+O33+P33+Q33+R33+S33+T33+U33+V33+W33+X33+Y33+Z33+AA33+AB33+AC33)/$F$33</f>
        <v>#REF!</v>
      </c>
      <c r="AD42" s="64"/>
    </row>
    <row r="43" spans="4:30" ht="30" hidden="1" customHeight="1" x14ac:dyDescent="0.35">
      <c r="H43" s="380" t="s">
        <v>142</v>
      </c>
      <c r="I43" s="380"/>
      <c r="J43" s="50"/>
      <c r="K43" s="50"/>
      <c r="L43" s="50"/>
      <c r="M43" s="50"/>
      <c r="N43" s="50"/>
      <c r="O43" s="47" t="e">
        <f>+O34/O38</f>
        <v>#REF!</v>
      </c>
      <c r="P43" s="51"/>
      <c r="Q43" s="50"/>
      <c r="R43" s="50"/>
      <c r="S43" s="47" t="e">
        <f>+S34/S38</f>
        <v>#REF!</v>
      </c>
      <c r="T43" s="50"/>
      <c r="U43" s="50"/>
      <c r="V43" s="50"/>
      <c r="W43" s="47" t="e">
        <f>+W34/W38</f>
        <v>#REF!</v>
      </c>
      <c r="X43" s="50"/>
      <c r="Y43" s="50"/>
      <c r="Z43" s="50"/>
      <c r="AA43" s="47" t="e">
        <f>+AA34/AA38</f>
        <v>#REF!</v>
      </c>
      <c r="AB43" s="51"/>
      <c r="AC43" s="50"/>
      <c r="AD43" s="65"/>
    </row>
    <row r="44" spans="4:30" ht="30" hidden="1" customHeight="1" x14ac:dyDescent="0.35">
      <c r="H44" s="381" t="s">
        <v>143</v>
      </c>
      <c r="I44" s="381"/>
      <c r="J44" s="50"/>
      <c r="K44" s="50"/>
      <c r="L44" s="50"/>
      <c r="M44" s="50"/>
      <c r="N44" s="50"/>
      <c r="O44" s="47" t="e">
        <f>+(#REF!+O34)/$F$33</f>
        <v>#REF!</v>
      </c>
      <c r="P44" s="51"/>
      <c r="Q44" s="50"/>
      <c r="R44" s="50"/>
      <c r="S44" s="47" t="e">
        <f>+(#REF!+O34+S34)/$F$33</f>
        <v>#REF!</v>
      </c>
      <c r="T44" s="50"/>
      <c r="U44" s="50"/>
      <c r="V44" s="50"/>
      <c r="W44" s="47" t="e">
        <f>+(#REF!+O34+S34+W34)/$F$33</f>
        <v>#REF!</v>
      </c>
      <c r="X44" s="50"/>
      <c r="Y44" s="50"/>
      <c r="Z44" s="50"/>
      <c r="AA44" s="47" t="e">
        <f>+(#REF!+O34+S34+W34+AA34)/$F$33</f>
        <v>#REF!</v>
      </c>
      <c r="AB44" s="51"/>
      <c r="AC44" s="50"/>
      <c r="AD44" s="65"/>
    </row>
    <row r="45" spans="4:30" ht="30" hidden="1" customHeight="1" x14ac:dyDescent="0.35">
      <c r="H45" s="380" t="s">
        <v>144</v>
      </c>
      <c r="I45" s="380"/>
      <c r="J45" s="50"/>
      <c r="K45" s="50"/>
      <c r="L45" s="50"/>
      <c r="M45" s="50"/>
      <c r="N45" s="50"/>
      <c r="O45" s="47" t="e">
        <f>+(#REF!+O34)/(#REF!+O38)</f>
        <v>#REF!</v>
      </c>
      <c r="P45" s="51"/>
      <c r="Q45" s="50"/>
      <c r="R45" s="50"/>
      <c r="S45" s="50"/>
      <c r="T45" s="50"/>
      <c r="U45" s="50"/>
      <c r="V45" s="50"/>
      <c r="W45" s="50"/>
      <c r="X45" s="50"/>
      <c r="Y45" s="50"/>
      <c r="Z45" s="50"/>
      <c r="AA45" s="47" t="e">
        <f>+(#REF!+O34+S34+W34+AA34)/(#REF!+O38+S38+W38+AA38)</f>
        <v>#REF!</v>
      </c>
      <c r="AB45" s="51"/>
      <c r="AC45" s="50"/>
      <c r="AD45" s="65"/>
    </row>
    <row r="46" spans="4:30" ht="30" hidden="1" customHeight="1" x14ac:dyDescent="0.35">
      <c r="H46" s="380" t="s">
        <v>145</v>
      </c>
      <c r="I46" s="380"/>
      <c r="J46" s="50"/>
      <c r="K46" s="50"/>
      <c r="L46" s="50"/>
      <c r="M46" s="50"/>
      <c r="N46" s="50"/>
      <c r="O46" s="47" t="e">
        <f>+(#REF!+O34)/$F$33</f>
        <v>#REF!</v>
      </c>
      <c r="P46" s="51"/>
      <c r="Q46" s="50"/>
      <c r="R46" s="50"/>
      <c r="S46" s="50"/>
      <c r="T46" s="50"/>
      <c r="U46" s="50"/>
      <c r="V46" s="50"/>
      <c r="W46" s="50"/>
      <c r="X46" s="50"/>
      <c r="Y46" s="50"/>
      <c r="Z46" s="50"/>
      <c r="AA46" s="47" t="e">
        <f>+(+#REF!+O34+S34+W34+AA34)/$F$33</f>
        <v>#REF!</v>
      </c>
      <c r="AB46" s="51"/>
      <c r="AC46" s="50"/>
      <c r="AD46" s="65"/>
    </row>
    <row r="47" spans="4:30" ht="15" hidden="1" customHeight="1" x14ac:dyDescent="0.35"/>
    <row r="48" spans="4:30" ht="35.15" hidden="1" customHeight="1" x14ac:dyDescent="0.35">
      <c r="H48" s="179"/>
      <c r="I48" s="30" t="e">
        <f>+#REF!</f>
        <v>#REF!</v>
      </c>
      <c r="J48" s="32"/>
      <c r="K48" s="32"/>
      <c r="L48" s="32"/>
      <c r="M48" s="32"/>
      <c r="N48" s="32"/>
    </row>
    <row r="49" spans="2:14" ht="35.15" hidden="1" customHeight="1" thickBot="1" x14ac:dyDescent="0.4">
      <c r="H49" s="179"/>
      <c r="I49" s="25">
        <f>+F33</f>
        <v>1</v>
      </c>
      <c r="J49" s="32"/>
      <c r="K49" s="32"/>
      <c r="L49" s="32"/>
      <c r="M49" s="32"/>
      <c r="N49" s="32"/>
    </row>
    <row r="50" spans="2:14" ht="35.15" hidden="1" customHeight="1" thickBot="1" x14ac:dyDescent="0.4">
      <c r="H50" s="179"/>
      <c r="I50" s="31" t="e">
        <f>+I48/I49</f>
        <v>#REF!</v>
      </c>
      <c r="J50" s="32"/>
      <c r="K50" s="32"/>
      <c r="L50" s="32"/>
      <c r="M50" s="32"/>
      <c r="N50" s="32"/>
    </row>
    <row r="51" spans="2:14" ht="15" hidden="1" customHeight="1" x14ac:dyDescent="0.35">
      <c r="J51" s="32"/>
      <c r="K51" s="32"/>
      <c r="L51" s="32"/>
      <c r="M51" s="32"/>
      <c r="N51" s="32"/>
    </row>
    <row r="52" spans="2:14" ht="15" hidden="1" customHeight="1" x14ac:dyDescent="0.35">
      <c r="B52" s="371" t="s">
        <v>51</v>
      </c>
      <c r="C52" s="371" t="s">
        <v>52</v>
      </c>
      <c r="D52" s="371" t="s">
        <v>53</v>
      </c>
      <c r="E52" s="371" t="s">
        <v>54</v>
      </c>
      <c r="F52" s="371" t="s">
        <v>30</v>
      </c>
      <c r="G52" s="373" t="s">
        <v>55</v>
      </c>
      <c r="M52" s="373" t="s">
        <v>509</v>
      </c>
    </row>
    <row r="53" spans="2:14" ht="15" hidden="1" customHeight="1" x14ac:dyDescent="0.35">
      <c r="B53" s="372"/>
      <c r="C53" s="372"/>
      <c r="D53" s="372"/>
      <c r="E53" s="372"/>
      <c r="F53" s="372"/>
      <c r="G53" s="372"/>
      <c r="M53" s="372"/>
    </row>
    <row r="54" spans="2:14" ht="15" hidden="1" customHeight="1" x14ac:dyDescent="0.35">
      <c r="B54" s="1" t="s">
        <v>510</v>
      </c>
      <c r="C54" s="13" t="s">
        <v>829</v>
      </c>
      <c r="D54" s="1" t="s">
        <v>118</v>
      </c>
      <c r="E54" s="1" t="s">
        <v>119</v>
      </c>
      <c r="F54" s="1" t="s">
        <v>512</v>
      </c>
      <c r="G54" s="1" t="s">
        <v>513</v>
      </c>
      <c r="M54" s="13" t="s">
        <v>514</v>
      </c>
    </row>
    <row r="55" spans="2:14" ht="15" hidden="1" customHeight="1" x14ac:dyDescent="0.35">
      <c r="B55" s="1" t="s">
        <v>515</v>
      </c>
      <c r="C55" s="13" t="s">
        <v>830</v>
      </c>
      <c r="D55" s="1" t="s">
        <v>254</v>
      </c>
      <c r="E55" s="1" t="s">
        <v>517</v>
      </c>
      <c r="F55" s="1" t="s">
        <v>518</v>
      </c>
      <c r="G55" s="1" t="s">
        <v>519</v>
      </c>
      <c r="M55" s="13" t="s">
        <v>520</v>
      </c>
    </row>
    <row r="56" spans="2:14" ht="15" hidden="1" customHeight="1" x14ac:dyDescent="0.35">
      <c r="B56" s="1" t="s">
        <v>521</v>
      </c>
      <c r="C56" s="13" t="s">
        <v>826</v>
      </c>
      <c r="D56" s="1" t="s">
        <v>84</v>
      </c>
      <c r="E56" s="1" t="s">
        <v>255</v>
      </c>
      <c r="F56" s="1" t="s">
        <v>523</v>
      </c>
      <c r="G56" s="1" t="s">
        <v>524</v>
      </c>
      <c r="M56" s="13" t="s">
        <v>525</v>
      </c>
    </row>
    <row r="57" spans="2:14" ht="15" hidden="1" customHeight="1" x14ac:dyDescent="0.35">
      <c r="B57" s="1" t="s">
        <v>526</v>
      </c>
      <c r="C57" s="13" t="s">
        <v>827</v>
      </c>
      <c r="D57" s="1" t="s">
        <v>157</v>
      </c>
      <c r="E57" s="1" t="s">
        <v>528</v>
      </c>
      <c r="F57" s="1" t="s">
        <v>529</v>
      </c>
      <c r="G57" s="1" t="s">
        <v>530</v>
      </c>
    </row>
    <row r="58" spans="2:14" ht="15" hidden="1" customHeight="1" x14ac:dyDescent="0.35">
      <c r="B58" s="1" t="s">
        <v>531</v>
      </c>
      <c r="C58" s="13" t="s">
        <v>828</v>
      </c>
      <c r="D58" s="1" t="s">
        <v>533</v>
      </c>
      <c r="E58" s="1" t="s">
        <v>534</v>
      </c>
      <c r="F58" s="1" t="s">
        <v>535</v>
      </c>
      <c r="G58" s="1" t="s">
        <v>536</v>
      </c>
    </row>
    <row r="59" spans="2:14" ht="15" hidden="1" customHeight="1" x14ac:dyDescent="0.35">
      <c r="B59" s="1" t="s">
        <v>537</v>
      </c>
      <c r="C59" s="13" t="s">
        <v>825</v>
      </c>
      <c r="D59" s="1" t="s">
        <v>539</v>
      </c>
      <c r="E59" s="1" t="s">
        <v>150</v>
      </c>
      <c r="F59" s="1" t="s">
        <v>244</v>
      </c>
      <c r="G59" s="1" t="s">
        <v>384</v>
      </c>
    </row>
    <row r="60" spans="2:14" ht="15" hidden="1" customHeight="1" x14ac:dyDescent="0.35">
      <c r="B60" s="1" t="s">
        <v>540</v>
      </c>
      <c r="C60" s="13" t="s">
        <v>823</v>
      </c>
      <c r="D60" s="1" t="s">
        <v>542</v>
      </c>
      <c r="E60" s="1" t="s">
        <v>112</v>
      </c>
      <c r="F60" s="1" t="s">
        <v>543</v>
      </c>
      <c r="G60" s="1" t="s">
        <v>544</v>
      </c>
    </row>
    <row r="61" spans="2:14" ht="15" hidden="1" customHeight="1" x14ac:dyDescent="0.35">
      <c r="B61" s="1" t="s">
        <v>545</v>
      </c>
      <c r="C61" s="13" t="s">
        <v>821</v>
      </c>
      <c r="E61" s="1" t="s">
        <v>451</v>
      </c>
      <c r="F61" s="1" t="s">
        <v>547</v>
      </c>
      <c r="G61" s="1" t="s">
        <v>426</v>
      </c>
    </row>
    <row r="62" spans="2:14" ht="15" hidden="1" customHeight="1" x14ac:dyDescent="0.35">
      <c r="C62" s="13" t="s">
        <v>822</v>
      </c>
      <c r="E62" s="1" t="s">
        <v>123</v>
      </c>
      <c r="F62" s="1" t="s">
        <v>549</v>
      </c>
      <c r="G62" s="1" t="s">
        <v>97</v>
      </c>
    </row>
    <row r="63" spans="2:14" ht="15" hidden="1" customHeight="1" x14ac:dyDescent="0.35">
      <c r="C63" s="13" t="s">
        <v>824</v>
      </c>
      <c r="E63" s="1" t="s">
        <v>551</v>
      </c>
      <c r="F63" s="1" t="s">
        <v>552</v>
      </c>
      <c r="G63" s="1" t="s">
        <v>120</v>
      </c>
    </row>
    <row r="64" spans="2:14" ht="15" hidden="1" customHeight="1" x14ac:dyDescent="0.35">
      <c r="E64" s="1" t="s">
        <v>85</v>
      </c>
      <c r="F64" s="1" t="s">
        <v>553</v>
      </c>
      <c r="G64" s="1" t="s">
        <v>108</v>
      </c>
    </row>
    <row r="65" spans="5:7" ht="15" hidden="1" customHeight="1" x14ac:dyDescent="0.35">
      <c r="E65" s="1" t="s">
        <v>554</v>
      </c>
      <c r="F65" s="1" t="s">
        <v>555</v>
      </c>
      <c r="G65" s="1" t="s">
        <v>556</v>
      </c>
    </row>
    <row r="66" spans="5:7" ht="15" hidden="1" customHeight="1" x14ac:dyDescent="0.35">
      <c r="E66" s="1" t="s">
        <v>154</v>
      </c>
      <c r="G66" s="1" t="s">
        <v>557</v>
      </c>
    </row>
    <row r="67" spans="5:7" ht="15" hidden="1" customHeight="1" x14ac:dyDescent="0.35">
      <c r="E67" s="1" t="s">
        <v>558</v>
      </c>
      <c r="G67" s="1" t="s">
        <v>559</v>
      </c>
    </row>
    <row r="68" spans="5:7" ht="15" hidden="1" customHeight="1" x14ac:dyDescent="0.35">
      <c r="E68" s="1" t="s">
        <v>560</v>
      </c>
      <c r="G68" s="1" t="s">
        <v>561</v>
      </c>
    </row>
    <row r="69" spans="5:7" ht="15" hidden="1" customHeight="1" x14ac:dyDescent="0.35">
      <c r="E69" s="1" t="s">
        <v>107</v>
      </c>
      <c r="G69" s="1" t="s">
        <v>562</v>
      </c>
    </row>
    <row r="70" spans="5:7" ht="15" hidden="1" customHeight="1" x14ac:dyDescent="0.35">
      <c r="E70" s="1" t="s">
        <v>563</v>
      </c>
      <c r="G70" s="1" t="s">
        <v>564</v>
      </c>
    </row>
    <row r="71" spans="5:7" ht="15" hidden="1" customHeight="1" x14ac:dyDescent="0.35">
      <c r="E71" s="1" t="s">
        <v>565</v>
      </c>
      <c r="G71" s="1" t="s">
        <v>566</v>
      </c>
    </row>
    <row r="72" spans="5:7" ht="15" hidden="1" customHeight="1" x14ac:dyDescent="0.35">
      <c r="E72" s="1" t="s">
        <v>567</v>
      </c>
      <c r="G72" s="1" t="s">
        <v>568</v>
      </c>
    </row>
    <row r="73" spans="5:7" ht="15" hidden="1" customHeight="1" x14ac:dyDescent="0.35">
      <c r="G73" s="1" t="s">
        <v>569</v>
      </c>
    </row>
    <row r="74" spans="5:7" ht="15" hidden="1" customHeight="1" x14ac:dyDescent="0.35">
      <c r="G74" s="1" t="s">
        <v>570</v>
      </c>
    </row>
    <row r="75" spans="5:7" ht="15" hidden="1" customHeight="1" x14ac:dyDescent="0.35">
      <c r="G75" s="1" t="s">
        <v>571</v>
      </c>
    </row>
    <row r="76" spans="5:7" ht="15" hidden="1" customHeight="1" x14ac:dyDescent="0.35">
      <c r="G76" s="1" t="s">
        <v>572</v>
      </c>
    </row>
    <row r="77" spans="5:7" ht="15" hidden="1" customHeight="1" x14ac:dyDescent="0.35">
      <c r="G77" s="1" t="s">
        <v>573</v>
      </c>
    </row>
    <row r="78" spans="5:7" ht="15" hidden="1" customHeight="1" x14ac:dyDescent="0.35">
      <c r="G78" s="1" t="s">
        <v>574</v>
      </c>
    </row>
    <row r="79" spans="5:7" ht="15" hidden="1" customHeight="1" x14ac:dyDescent="0.35">
      <c r="G79" s="1" t="s">
        <v>575</v>
      </c>
    </row>
    <row r="80" spans="5:7" ht="15" hidden="1" customHeight="1" x14ac:dyDescent="0.35">
      <c r="G80" s="1" t="s">
        <v>576</v>
      </c>
    </row>
    <row r="81" spans="7:7" ht="15" hidden="1" customHeight="1" x14ac:dyDescent="0.35">
      <c r="G81" s="1" t="s">
        <v>577</v>
      </c>
    </row>
    <row r="82" spans="7:7" ht="15" hidden="1" customHeight="1" x14ac:dyDescent="0.35">
      <c r="G82" s="1" t="s">
        <v>578</v>
      </c>
    </row>
    <row r="83" spans="7:7" ht="15" hidden="1" customHeight="1" x14ac:dyDescent="0.35">
      <c r="G83" s="1" t="s">
        <v>579</v>
      </c>
    </row>
    <row r="84" spans="7:7" ht="15" hidden="1" customHeight="1" x14ac:dyDescent="0.35">
      <c r="G84" s="1" t="s">
        <v>580</v>
      </c>
    </row>
    <row r="85" spans="7:7" ht="15" hidden="1" customHeight="1" x14ac:dyDescent="0.35">
      <c r="G85" s="1" t="s">
        <v>581</v>
      </c>
    </row>
    <row r="86" spans="7:7" ht="15" hidden="1" customHeight="1" x14ac:dyDescent="0.35">
      <c r="G86" s="1" t="s">
        <v>582</v>
      </c>
    </row>
    <row r="87" spans="7:7" ht="15" hidden="1" customHeight="1" x14ac:dyDescent="0.35">
      <c r="G87" s="1" t="s">
        <v>124</v>
      </c>
    </row>
    <row r="88" spans="7:7" ht="15" hidden="1" customHeight="1" x14ac:dyDescent="0.35">
      <c r="G88" s="1" t="s">
        <v>583</v>
      </c>
    </row>
    <row r="89" spans="7:7" ht="15" hidden="1" customHeight="1" x14ac:dyDescent="0.35">
      <c r="G89" s="1" t="s">
        <v>584</v>
      </c>
    </row>
    <row r="90" spans="7:7" ht="15" hidden="1" customHeight="1" x14ac:dyDescent="0.35">
      <c r="G90" s="1" t="s">
        <v>585</v>
      </c>
    </row>
    <row r="91" spans="7:7" ht="15" hidden="1" customHeight="1" x14ac:dyDescent="0.35">
      <c r="G91" s="1" t="s">
        <v>586</v>
      </c>
    </row>
    <row r="92" spans="7:7" ht="15" hidden="1" customHeight="1" x14ac:dyDescent="0.35">
      <c r="G92" s="1" t="s">
        <v>87</v>
      </c>
    </row>
    <row r="93" spans="7:7" ht="15" hidden="1" customHeight="1" x14ac:dyDescent="0.35">
      <c r="G93" s="1" t="s">
        <v>587</v>
      </c>
    </row>
    <row r="94" spans="7:7" ht="15" hidden="1" customHeight="1" x14ac:dyDescent="0.35">
      <c r="G94" s="1" t="s">
        <v>588</v>
      </c>
    </row>
    <row r="95" spans="7:7" ht="15" hidden="1" customHeight="1" x14ac:dyDescent="0.35">
      <c r="G95" s="1" t="s">
        <v>261</v>
      </c>
    </row>
    <row r="96" spans="7:7" ht="15" hidden="1" customHeight="1" x14ac:dyDescent="0.35">
      <c r="G96" s="1" t="s">
        <v>589</v>
      </c>
    </row>
    <row r="97" spans="7:7" ht="15" hidden="1" customHeight="1" x14ac:dyDescent="0.35">
      <c r="G97" s="1" t="s">
        <v>590</v>
      </c>
    </row>
    <row r="98" spans="7:7" ht="15" hidden="1" customHeight="1" x14ac:dyDescent="0.35">
      <c r="G98" s="1" t="s">
        <v>591</v>
      </c>
    </row>
    <row r="99" spans="7:7" ht="15" hidden="1" customHeight="1" x14ac:dyDescent="0.35">
      <c r="G99" s="1" t="s">
        <v>592</v>
      </c>
    </row>
    <row r="100" spans="7:7" ht="15" hidden="1" customHeight="1" x14ac:dyDescent="0.35">
      <c r="G100" s="1" t="s">
        <v>593</v>
      </c>
    </row>
    <row r="101" spans="7:7" ht="15" hidden="1" customHeight="1" x14ac:dyDescent="0.35">
      <c r="G101" s="1" t="s">
        <v>594</v>
      </c>
    </row>
    <row r="102" spans="7:7" ht="15" hidden="1" customHeight="1" x14ac:dyDescent="0.35">
      <c r="G102" s="1" t="s">
        <v>595</v>
      </c>
    </row>
    <row r="103" spans="7:7" ht="15" hidden="1" customHeight="1" x14ac:dyDescent="0.35">
      <c r="G103" s="1" t="s">
        <v>596</v>
      </c>
    </row>
    <row r="104" spans="7:7" ht="15" hidden="1" customHeight="1" x14ac:dyDescent="0.35">
      <c r="G104" s="1" t="s">
        <v>597</v>
      </c>
    </row>
    <row r="105" spans="7:7" ht="15" hidden="1" customHeight="1" x14ac:dyDescent="0.35">
      <c r="G105" s="1" t="s">
        <v>259</v>
      </c>
    </row>
    <row r="106" spans="7:7" ht="15" hidden="1" customHeight="1" x14ac:dyDescent="0.35">
      <c r="G106" s="1" t="s">
        <v>39</v>
      </c>
    </row>
    <row r="107" spans="7:7" ht="15" hidden="1" customHeight="1" x14ac:dyDescent="0.35">
      <c r="G107" s="1" t="s">
        <v>153</v>
      </c>
    </row>
    <row r="108" spans="7:7" ht="15" hidden="1" customHeight="1" x14ac:dyDescent="0.35">
      <c r="G108" s="1" t="s">
        <v>598</v>
      </c>
    </row>
    <row r="109" spans="7:7" ht="15" hidden="1" customHeight="1" x14ac:dyDescent="0.35">
      <c r="G109" s="1" t="s">
        <v>599</v>
      </c>
    </row>
    <row r="110" spans="7:7" ht="15" hidden="1" customHeight="1" x14ac:dyDescent="0.35">
      <c r="G110" s="1" t="s">
        <v>600</v>
      </c>
    </row>
    <row r="111" spans="7:7" ht="15" hidden="1" customHeight="1" x14ac:dyDescent="0.35">
      <c r="G111" s="1" t="s">
        <v>601</v>
      </c>
    </row>
    <row r="112" spans="7:7" ht="15" hidden="1" customHeight="1" x14ac:dyDescent="0.35">
      <c r="G112" s="1" t="s">
        <v>602</v>
      </c>
    </row>
    <row r="113" spans="7:7" ht="15" hidden="1" customHeight="1" x14ac:dyDescent="0.35">
      <c r="G113" s="1" t="s">
        <v>603</v>
      </c>
    </row>
  </sheetData>
  <sheetProtection formatCells="0" formatColumns="0" formatRows="0" insertColumns="0" insertRows="0" insertHyperlinks="0" deleteColumns="0" deleteRows="0" sort="0" autoFilter="0" pivotTables="0"/>
  <autoFilter ref="A12:AH29" xr:uid="{00000000-0001-0000-0100-000000000000}"/>
  <mergeCells count="235">
    <mergeCell ref="A30:A31"/>
    <mergeCell ref="B30:B31"/>
    <mergeCell ref="C30:C31"/>
    <mergeCell ref="D30:D31"/>
    <mergeCell ref="E30:E31"/>
    <mergeCell ref="F30:F31"/>
    <mergeCell ref="G30:G31"/>
    <mergeCell ref="H30:H31"/>
    <mergeCell ref="AH30:AH31"/>
    <mergeCell ref="I30:I31"/>
    <mergeCell ref="J30:J31"/>
    <mergeCell ref="K30:K31"/>
    <mergeCell ref="L30:L31"/>
    <mergeCell ref="M30:M31"/>
    <mergeCell ref="N30:N31"/>
    <mergeCell ref="AE30:AE31"/>
    <mergeCell ref="AF30:AF31"/>
    <mergeCell ref="AG30:AG31"/>
    <mergeCell ref="D1:AH3"/>
    <mergeCell ref="AD6:AE10"/>
    <mergeCell ref="AF6:AF10"/>
    <mergeCell ref="AG6:AG10"/>
    <mergeCell ref="AG14:AG15"/>
    <mergeCell ref="AH14:AH15"/>
    <mergeCell ref="AE14:AE15"/>
    <mergeCell ref="AE26:AE27"/>
    <mergeCell ref="AE28:AE29"/>
    <mergeCell ref="AF16:AF17"/>
    <mergeCell ref="AF18:AF19"/>
    <mergeCell ref="AF20:AF21"/>
    <mergeCell ref="AF24:AF25"/>
    <mergeCell ref="AF26:AF27"/>
    <mergeCell ref="AF28:AF29"/>
    <mergeCell ref="AG16:AG17"/>
    <mergeCell ref="AG18:AG19"/>
    <mergeCell ref="AG20:AG21"/>
    <mergeCell ref="AG24:AG25"/>
    <mergeCell ref="AG26:AG27"/>
    <mergeCell ref="AG28:AG29"/>
    <mergeCell ref="AH16:AH17"/>
    <mergeCell ref="AH18:AH19"/>
    <mergeCell ref="AH20:AH21"/>
    <mergeCell ref="AH24:AH25"/>
    <mergeCell ref="AH26:AH27"/>
    <mergeCell ref="AH28:AH29"/>
    <mergeCell ref="AG12:AG13"/>
    <mergeCell ref="AH12:AH13"/>
    <mergeCell ref="O11:AD11"/>
    <mergeCell ref="AE11:AH11"/>
    <mergeCell ref="AD12:AD13"/>
    <mergeCell ref="AE12:AE13"/>
    <mergeCell ref="AF12:AF13"/>
    <mergeCell ref="X12:X13"/>
    <mergeCell ref="Y12:Y13"/>
    <mergeCell ref="Z12:Z13"/>
    <mergeCell ref="AA12:AA13"/>
    <mergeCell ref="AB12:AB13"/>
    <mergeCell ref="AC12:AC13"/>
    <mergeCell ref="O12:O13"/>
    <mergeCell ref="P12:P13"/>
    <mergeCell ref="Q12:Q13"/>
    <mergeCell ref="R12:R13"/>
    <mergeCell ref="S12:S13"/>
    <mergeCell ref="T12:T13"/>
    <mergeCell ref="U12:U13"/>
    <mergeCell ref="V12:V13"/>
    <mergeCell ref="W12:W13"/>
    <mergeCell ref="R6:U10"/>
    <mergeCell ref="V6:Y10"/>
    <mergeCell ref="Z6:AC10"/>
    <mergeCell ref="G6:G10"/>
    <mergeCell ref="H6:H10"/>
    <mergeCell ref="I6:I10"/>
    <mergeCell ref="L6:L10"/>
    <mergeCell ref="O6:Q10"/>
    <mergeCell ref="G4:G5"/>
    <mergeCell ref="J6:K10"/>
    <mergeCell ref="A4:A5"/>
    <mergeCell ref="M6:N10"/>
    <mergeCell ref="A1:C3"/>
    <mergeCell ref="A6:B10"/>
    <mergeCell ref="C6:D10"/>
    <mergeCell ref="E6:F10"/>
    <mergeCell ref="I26:I27"/>
    <mergeCell ref="J26:J27"/>
    <mergeCell ref="K26:K27"/>
    <mergeCell ref="L26:L27"/>
    <mergeCell ref="M26:M27"/>
    <mergeCell ref="N26:N27"/>
    <mergeCell ref="I20:I21"/>
    <mergeCell ref="J20:J21"/>
    <mergeCell ref="K20:K21"/>
    <mergeCell ref="L20:L21"/>
    <mergeCell ref="M20:M21"/>
    <mergeCell ref="N20:N21"/>
    <mergeCell ref="A24:A25"/>
    <mergeCell ref="B24:B25"/>
    <mergeCell ref="C24:C25"/>
    <mergeCell ref="D24:D25"/>
    <mergeCell ref="I28:I29"/>
    <mergeCell ref="J28:J29"/>
    <mergeCell ref="K28:K29"/>
    <mergeCell ref="L28:L29"/>
    <mergeCell ref="M28:M29"/>
    <mergeCell ref="N28:N29"/>
    <mergeCell ref="A26:A27"/>
    <mergeCell ref="B26:B27"/>
    <mergeCell ref="C26:C27"/>
    <mergeCell ref="D26:D27"/>
    <mergeCell ref="E26:E27"/>
    <mergeCell ref="F26:F27"/>
    <mergeCell ref="G26:G27"/>
    <mergeCell ref="H26:H27"/>
    <mergeCell ref="A28:A29"/>
    <mergeCell ref="B28:B29"/>
    <mergeCell ref="C28:C29"/>
    <mergeCell ref="D28:D29"/>
    <mergeCell ref="E28:E29"/>
    <mergeCell ref="F28:F29"/>
    <mergeCell ref="G28:G29"/>
    <mergeCell ref="H28:H29"/>
    <mergeCell ref="M24:M25"/>
    <mergeCell ref="N24:N25"/>
    <mergeCell ref="A20:A21"/>
    <mergeCell ref="B20:B21"/>
    <mergeCell ref="C20:C21"/>
    <mergeCell ref="D20:D21"/>
    <mergeCell ref="E20:E21"/>
    <mergeCell ref="F20:F21"/>
    <mergeCell ref="G20:G21"/>
    <mergeCell ref="H20:H21"/>
    <mergeCell ref="E24:E25"/>
    <mergeCell ref="F24:F25"/>
    <mergeCell ref="G24:G25"/>
    <mergeCell ref="H22:H23"/>
    <mergeCell ref="H24:H25"/>
    <mergeCell ref="I24:I25"/>
    <mergeCell ref="J24:J25"/>
    <mergeCell ref="K24:K25"/>
    <mergeCell ref="L24:L25"/>
    <mergeCell ref="A22:A23"/>
    <mergeCell ref="B22:B23"/>
    <mergeCell ref="C22:C23"/>
    <mergeCell ref="D22:D23"/>
    <mergeCell ref="E22:E23"/>
    <mergeCell ref="A18:A19"/>
    <mergeCell ref="B18:B19"/>
    <mergeCell ref="C18:C19"/>
    <mergeCell ref="D18:D19"/>
    <mergeCell ref="E18:E19"/>
    <mergeCell ref="F18:F19"/>
    <mergeCell ref="G18:G19"/>
    <mergeCell ref="H18:H19"/>
    <mergeCell ref="L18:L19"/>
    <mergeCell ref="D14:D15"/>
    <mergeCell ref="E14:E15"/>
    <mergeCell ref="F14:F15"/>
    <mergeCell ref="G14:G15"/>
    <mergeCell ref="H14:H15"/>
    <mergeCell ref="A16:A17"/>
    <mergeCell ref="B16:B17"/>
    <mergeCell ref="C16:C17"/>
    <mergeCell ref="D16:D17"/>
    <mergeCell ref="N18:N19"/>
    <mergeCell ref="A11:F11"/>
    <mergeCell ref="G11:N11"/>
    <mergeCell ref="A12:A13"/>
    <mergeCell ref="B12:B13"/>
    <mergeCell ref="C12:C13"/>
    <mergeCell ref="D12:D13"/>
    <mergeCell ref="E12:E13"/>
    <mergeCell ref="F12:F13"/>
    <mergeCell ref="G12:G13"/>
    <mergeCell ref="H12:H13"/>
    <mergeCell ref="I12:I13"/>
    <mergeCell ref="J12:J13"/>
    <mergeCell ref="K12:K13"/>
    <mergeCell ref="L12:L13"/>
    <mergeCell ref="M12:M13"/>
    <mergeCell ref="N12:N13"/>
    <mergeCell ref="E16:E17"/>
    <mergeCell ref="F16:F17"/>
    <mergeCell ref="G16:G17"/>
    <mergeCell ref="H16:H17"/>
    <mergeCell ref="A14:A15"/>
    <mergeCell ref="B14:B15"/>
    <mergeCell ref="C14:C15"/>
    <mergeCell ref="AE22:AE23"/>
    <mergeCell ref="AF22:AF23"/>
    <mergeCell ref="AG22:AG23"/>
    <mergeCell ref="AH22:AH23"/>
    <mergeCell ref="AE20:AE21"/>
    <mergeCell ref="AE18:AE19"/>
    <mergeCell ref="AF14:AF15"/>
    <mergeCell ref="I14:I15"/>
    <mergeCell ref="J14:J15"/>
    <mergeCell ref="K14:K15"/>
    <mergeCell ref="L14:L15"/>
    <mergeCell ref="M14:M15"/>
    <mergeCell ref="N14:N15"/>
    <mergeCell ref="I16:I17"/>
    <mergeCell ref="AE16:AE17"/>
    <mergeCell ref="J16:J17"/>
    <mergeCell ref="K16:K17"/>
    <mergeCell ref="L16:L17"/>
    <mergeCell ref="M16:M17"/>
    <mergeCell ref="N16:N17"/>
    <mergeCell ref="I18:I19"/>
    <mergeCell ref="J18:J19"/>
    <mergeCell ref="K18:K19"/>
    <mergeCell ref="M18:M19"/>
    <mergeCell ref="AE24:AE25"/>
    <mergeCell ref="B52:B53"/>
    <mergeCell ref="C52:C53"/>
    <mergeCell ref="D52:D53"/>
    <mergeCell ref="E52:E53"/>
    <mergeCell ref="F52:F53"/>
    <mergeCell ref="G52:G53"/>
    <mergeCell ref="M52:M53"/>
    <mergeCell ref="K22:K23"/>
    <mergeCell ref="L22:L23"/>
    <mergeCell ref="M22:M23"/>
    <mergeCell ref="D34:E34"/>
    <mergeCell ref="D33:E33"/>
    <mergeCell ref="H46:I46"/>
    <mergeCell ref="H45:I45"/>
    <mergeCell ref="H42:I42"/>
    <mergeCell ref="H43:I43"/>
    <mergeCell ref="H44:I44"/>
    <mergeCell ref="H41:I41"/>
    <mergeCell ref="F22:F23"/>
    <mergeCell ref="G22:G23"/>
    <mergeCell ref="I22:I23"/>
    <mergeCell ref="J22:J23"/>
    <mergeCell ref="N22:N23"/>
  </mergeCells>
  <phoneticPr fontId="14" type="noConversion"/>
  <conditionalFormatting sqref="H4">
    <cfRule type="cellIs" dxfId="187" priority="97" operator="lessThanOrEqual">
      <formula>$C$4</formula>
    </cfRule>
  </conditionalFormatting>
  <conditionalFormatting sqref="I6">
    <cfRule type="cellIs" dxfId="186" priority="105" operator="greaterThanOrEqual">
      <formula>$C$5</formula>
    </cfRule>
    <cfRule type="cellIs" dxfId="185" priority="106" operator="lessThanOrEqual">
      <formula>$C$4</formula>
    </cfRule>
    <cfRule type="cellIs" dxfId="184" priority="107" operator="between">
      <formula>$C$5</formula>
      <formula>$C$4</formula>
    </cfRule>
  </conditionalFormatting>
  <conditionalFormatting sqref="O6">
    <cfRule type="cellIs" dxfId="183" priority="93" operator="greaterThanOrEqual">
      <formula>$H$5</formula>
    </cfRule>
    <cfRule type="cellIs" dxfId="182" priority="94" operator="lessThanOrEqual">
      <formula>$H$4</formula>
    </cfRule>
    <cfRule type="cellIs" dxfId="181" priority="95" operator="between">
      <formula>$H$5</formula>
      <formula>$H$4</formula>
    </cfRule>
  </conditionalFormatting>
  <conditionalFormatting sqref="Q14:Q31">
    <cfRule type="cellIs" dxfId="180" priority="10" operator="greaterThanOrEqual">
      <formula>$C$5</formula>
    </cfRule>
    <cfRule type="cellIs" dxfId="179" priority="11" operator="lessThanOrEqual">
      <formula>$C$4</formula>
    </cfRule>
    <cfRule type="cellIs" dxfId="178" priority="12" operator="between">
      <formula>$C$5</formula>
      <formula>$C$4</formula>
    </cfRule>
  </conditionalFormatting>
  <conditionalFormatting sqref="S41:S44 W41:W44 O41:O46 AA41:AA46 J42:AD42 I50">
    <cfRule type="cellIs" dxfId="177" priority="619" operator="greaterThanOrEqual">
      <formula>$D$9</formula>
    </cfRule>
    <cfRule type="cellIs" dxfId="176" priority="620" operator="lessThanOrEqual">
      <formula>$C$6</formula>
    </cfRule>
    <cfRule type="cellIs" dxfId="175" priority="621" operator="between">
      <formula>$C$6</formula>
      <formula>$D$9</formula>
    </cfRule>
  </conditionalFormatting>
  <conditionalFormatting sqref="V6">
    <cfRule type="cellIs" dxfId="174" priority="7" operator="greaterThanOrEqual">
      <formula>$H$5</formula>
    </cfRule>
    <cfRule type="cellIs" dxfId="173" priority="8" operator="lessThanOrEqual">
      <formula>$H$4</formula>
    </cfRule>
    <cfRule type="cellIs" dxfId="172" priority="9" operator="between">
      <formula>$H$5</formula>
      <formula>$H$4</formula>
    </cfRule>
  </conditionalFormatting>
  <conditionalFormatting sqref="AD6">
    <cfRule type="cellIs" dxfId="171" priority="4" operator="greaterThanOrEqual">
      <formula>$H$5</formula>
    </cfRule>
    <cfRule type="cellIs" dxfId="170" priority="5" operator="lessThanOrEqual">
      <formula>$H$4</formula>
    </cfRule>
    <cfRule type="cellIs" dxfId="169" priority="6" operator="between">
      <formula>$H$5</formula>
      <formula>$H$4</formula>
    </cfRule>
  </conditionalFormatting>
  <conditionalFormatting sqref="AG6">
    <cfRule type="cellIs" dxfId="168" priority="1" operator="greaterThanOrEqual">
      <formula>$H$5</formula>
    </cfRule>
    <cfRule type="cellIs" dxfId="167" priority="2" operator="lessThanOrEqual">
      <formula>$H$4</formula>
    </cfRule>
    <cfRule type="cellIs" dxfId="166" priority="3" operator="between">
      <formula>$H$5</formula>
      <formula>$H$4</formula>
    </cfRule>
  </conditionalFormatting>
  <dataValidations xWindow="1526" yWindow="674" count="10">
    <dataValidation type="decimal" allowBlank="1" showInputMessage="1" showErrorMessage="1" prompt="valor porcentual de la activida - Indique el peso porcentual de la actividad dentro del proyecto" sqref="P14 P26 P20 P18 P24 P16 P28 P30 P22" xr:uid="{00000000-0002-0000-0100-000003000000}">
      <formula1>0</formula1>
      <formula2>1</formula2>
    </dataValidation>
    <dataValidation type="decimal" allowBlank="1" showInputMessage="1" showErrorMessage="1" prompt="campo calculado  - indica el % de avance  que aporta la activadad a todo el proyecto" sqref="P27 P25 P31 P15 P19 P17 P29 P21 P23" xr:uid="{00000000-0002-0000-0100-000006000000}">
      <formula1>0</formula1>
      <formula2>1</formula2>
    </dataValidation>
    <dataValidation type="decimal" allowBlank="1" showInputMessage="1" showErrorMessage="1" prompt="% de avance en la actividad - indique el % programado de avance durante esta semana_x000a_" sqref="R27:T31 U14:AD31 R14:T25" xr:uid="{00000000-0002-0000-0100-000007000000}">
      <formula1>0</formula1>
      <formula2>1</formula2>
    </dataValidation>
    <dataValidation allowBlank="1" showErrorMessage="1" sqref="Q14:Q31" xr:uid="{EC83102E-B98D-4DA6-8816-AD063C239582}"/>
    <dataValidation type="list" allowBlank="1" showInputMessage="1" showErrorMessage="1" sqref="B14:B31" xr:uid="{36C7D9C6-1496-4AF3-80BA-381CB1FADA19}">
      <formula1>$B$54:$B$61</formula1>
    </dataValidation>
    <dataValidation type="list" allowBlank="1" showInputMessage="1" showErrorMessage="1" sqref="C14:C31" xr:uid="{9D0FBB9D-5134-4E46-A284-E90EC66F1590}">
      <formula1>$C$54:$C$63</formula1>
    </dataValidation>
    <dataValidation type="list" allowBlank="1" showInputMessage="1" showErrorMessage="1" sqref="D14:D31" xr:uid="{7C44A76E-B132-4C0C-8DDE-B326A56979CC}">
      <formula1>$D$54:$D$60</formula1>
    </dataValidation>
    <dataValidation type="list" allowBlank="1" showInputMessage="1" showErrorMessage="1" sqref="E14:E31" xr:uid="{A5014C1E-5B40-45D1-8213-330C9CC867E6}">
      <formula1>$E$54:$E$72</formula1>
    </dataValidation>
    <dataValidation type="list" allowBlank="1" showInputMessage="1" showErrorMessage="1" sqref="G14:G31" xr:uid="{938B7091-B5CA-49EC-93DE-1826C5877314}">
      <formula1>$G$54:$G$113</formula1>
    </dataValidation>
    <dataValidation type="list" allowBlank="1" showInputMessage="1" showErrorMessage="1" sqref="L14:L31" xr:uid="{3EE73124-3A5C-438F-BBA5-2766222AC12B}">
      <formula1>$M$54:$M$56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0F22-B3B3-4045-8856-ACFFB1302C97}">
  <dimension ref="A1:AJ116"/>
  <sheetViews>
    <sheetView showGridLines="0" view="pageBreakPreview" topLeftCell="A37" zoomScale="50" zoomScaleNormal="53" zoomScaleSheetLayoutView="50" zoomScalePageLayoutView="48" workbookViewId="0">
      <selection activeCell="H40" sqref="H40:H41"/>
    </sheetView>
  </sheetViews>
  <sheetFormatPr baseColWidth="10" defaultColWidth="12.54296875" defaultRowHeight="15" customHeight="1" x14ac:dyDescent="0.35"/>
  <cols>
    <col min="1" max="1" width="7.26953125" style="1" customWidth="1"/>
    <col min="2" max="2" width="28.54296875" style="1" customWidth="1"/>
    <col min="3" max="3" width="42.7265625" style="1" customWidth="1"/>
    <col min="4" max="4" width="28.54296875" style="1" customWidth="1"/>
    <col min="5" max="5" width="36.453125" style="1" customWidth="1"/>
    <col min="6" max="6" width="28.54296875" style="1" hidden="1" customWidth="1"/>
    <col min="7" max="11" width="28.54296875" style="1" customWidth="1"/>
    <col min="12" max="13" width="19.54296875" style="1" customWidth="1"/>
    <col min="14" max="14" width="28.54296875" style="1" customWidth="1"/>
    <col min="15" max="16" width="18.26953125" style="1" customWidth="1"/>
    <col min="17" max="17" width="17.6328125" style="1" hidden="1" customWidth="1"/>
    <col min="18" max="19" width="13.7265625" style="1" hidden="1" customWidth="1"/>
    <col min="20" max="32" width="9.54296875" style="1" hidden="1" customWidth="1"/>
    <col min="33" max="36" width="56.54296875" style="1" hidden="1" customWidth="1"/>
    <col min="37" max="37" width="2.54296875" style="1" customWidth="1"/>
    <col min="38" max="16384" width="12.54296875" style="1"/>
  </cols>
  <sheetData>
    <row r="1" spans="1:36" s="56" customFormat="1" ht="15" customHeight="1" x14ac:dyDescent="0.35">
      <c r="A1" s="407"/>
      <c r="B1" s="408"/>
      <c r="C1" s="409"/>
      <c r="D1" s="463" t="s">
        <v>809</v>
      </c>
      <c r="E1" s="463"/>
      <c r="F1" s="463"/>
      <c r="G1" s="463"/>
      <c r="H1" s="463"/>
      <c r="I1" s="463"/>
      <c r="J1" s="463"/>
      <c r="K1" s="463"/>
      <c r="L1" s="463"/>
      <c r="M1" s="463"/>
      <c r="N1" s="463"/>
      <c r="O1" s="463"/>
      <c r="P1" s="463"/>
      <c r="Q1" s="463"/>
      <c r="R1" s="463"/>
      <c r="S1" s="463"/>
      <c r="T1" s="463"/>
      <c r="U1" s="463"/>
      <c r="V1" s="463"/>
      <c r="W1" s="463"/>
      <c r="X1" s="463"/>
      <c r="Y1" s="463"/>
      <c r="Z1" s="463"/>
      <c r="AA1" s="463"/>
      <c r="AB1" s="463"/>
      <c r="AC1" s="463"/>
      <c r="AD1" s="463"/>
      <c r="AE1" s="463"/>
      <c r="AF1" s="463"/>
      <c r="AG1" s="463"/>
      <c r="AH1" s="463"/>
      <c r="AI1" s="463"/>
      <c r="AJ1" s="463"/>
    </row>
    <row r="2" spans="1:36" s="56" customFormat="1" ht="20.149999999999999" customHeight="1" x14ac:dyDescent="0.35">
      <c r="A2" s="410"/>
      <c r="B2" s="411"/>
      <c r="C2" s="412"/>
      <c r="D2" s="463"/>
      <c r="E2" s="463"/>
      <c r="F2" s="463"/>
      <c r="G2" s="463"/>
      <c r="H2" s="463"/>
      <c r="I2" s="463"/>
      <c r="J2" s="463"/>
      <c r="K2" s="463"/>
      <c r="L2" s="463"/>
      <c r="M2" s="463"/>
      <c r="N2" s="463"/>
      <c r="O2" s="463"/>
      <c r="P2" s="463"/>
      <c r="Q2" s="463"/>
      <c r="R2" s="463"/>
      <c r="S2" s="463"/>
      <c r="T2" s="463"/>
      <c r="U2" s="463"/>
      <c r="V2" s="463"/>
      <c r="W2" s="463"/>
      <c r="X2" s="463"/>
      <c r="Y2" s="463"/>
      <c r="Z2" s="463"/>
      <c r="AA2" s="463"/>
      <c r="AB2" s="463"/>
      <c r="AC2" s="463"/>
      <c r="AD2" s="463"/>
      <c r="AE2" s="463"/>
      <c r="AF2" s="463"/>
      <c r="AG2" s="463"/>
      <c r="AH2" s="463"/>
      <c r="AI2" s="463"/>
      <c r="AJ2" s="463"/>
    </row>
    <row r="3" spans="1:36" s="56" customFormat="1" ht="60" customHeight="1" thickBot="1" x14ac:dyDescent="0.4">
      <c r="A3" s="413"/>
      <c r="B3" s="414"/>
      <c r="C3" s="415"/>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row>
    <row r="4" spans="1:36" s="56" customFormat="1" ht="60" hidden="1" customHeight="1" x14ac:dyDescent="0.35">
      <c r="A4" s="405" t="s">
        <v>34</v>
      </c>
      <c r="B4" s="8" t="s">
        <v>35</v>
      </c>
      <c r="C4" s="10">
        <v>0.7</v>
      </c>
      <c r="D4" s="10"/>
      <c r="E4" s="10"/>
      <c r="F4" s="9"/>
      <c r="G4" s="405" t="s">
        <v>36</v>
      </c>
      <c r="H4" s="181"/>
      <c r="I4" s="8" t="s">
        <v>35</v>
      </c>
      <c r="J4" s="10">
        <v>0.7</v>
      </c>
      <c r="K4" s="57"/>
      <c r="L4" s="58"/>
      <c r="M4" s="58"/>
      <c r="N4" s="58"/>
      <c r="O4" s="58"/>
      <c r="P4" s="58"/>
      <c r="Q4" s="58"/>
      <c r="R4" s="58"/>
      <c r="S4" s="58"/>
      <c r="T4" s="58"/>
      <c r="U4" s="58"/>
      <c r="V4" s="58"/>
      <c r="W4" s="58"/>
      <c r="X4" s="58"/>
      <c r="Y4" s="58"/>
      <c r="Z4" s="58"/>
      <c r="AA4" s="58"/>
      <c r="AB4" s="58"/>
      <c r="AC4" s="58"/>
      <c r="AD4" s="58"/>
      <c r="AE4" s="58"/>
      <c r="AF4" s="58"/>
      <c r="AG4" s="58"/>
      <c r="AH4" s="58"/>
    </row>
    <row r="5" spans="1:36" s="56" customFormat="1" ht="60" hidden="1" customHeight="1" thickBot="1" x14ac:dyDescent="0.4">
      <c r="A5" s="405"/>
      <c r="B5" s="8" t="s">
        <v>37</v>
      </c>
      <c r="C5" s="11">
        <v>0.9</v>
      </c>
      <c r="D5" s="11"/>
      <c r="E5" s="11"/>
      <c r="F5" s="11">
        <v>1</v>
      </c>
      <c r="G5" s="405"/>
      <c r="H5" s="181"/>
      <c r="I5" s="8" t="s">
        <v>37</v>
      </c>
      <c r="J5" s="11">
        <v>0.95</v>
      </c>
      <c r="K5" s="57"/>
      <c r="L5" s="58"/>
      <c r="M5" s="58"/>
      <c r="N5" s="58"/>
      <c r="O5" s="58"/>
      <c r="P5" s="58"/>
      <c r="Q5" s="58"/>
      <c r="R5" s="58"/>
      <c r="S5" s="58"/>
      <c r="T5" s="58"/>
      <c r="U5" s="58"/>
      <c r="V5" s="58"/>
      <c r="W5" s="58"/>
      <c r="X5" s="58"/>
      <c r="Y5" s="58"/>
      <c r="Z5" s="58"/>
      <c r="AA5" s="58"/>
      <c r="AB5" s="58"/>
      <c r="AC5" s="58"/>
      <c r="AD5" s="58"/>
      <c r="AE5" s="58"/>
      <c r="AF5" s="58"/>
      <c r="AG5" s="58"/>
      <c r="AH5" s="58"/>
    </row>
    <row r="6" spans="1:36" ht="20.149999999999999" hidden="1" customHeight="1" x14ac:dyDescent="0.35">
      <c r="A6" s="406" t="s">
        <v>38</v>
      </c>
      <c r="B6" s="406"/>
      <c r="C6" s="512" t="s">
        <v>149</v>
      </c>
      <c r="D6" s="513"/>
      <c r="E6" s="514" t="s">
        <v>40</v>
      </c>
      <c r="F6" s="514"/>
      <c r="G6" s="515" t="e">
        <f>+R15+R37+R39+R41+#REF!+#REF!+#REF!+#REF!+#REF!+#REF!+#REF!</f>
        <v>#REF!</v>
      </c>
      <c r="H6" s="182"/>
      <c r="I6" s="514" t="s">
        <v>41</v>
      </c>
      <c r="J6" s="514"/>
      <c r="K6" s="440" t="e">
        <f>(R14+R36+R38+R40+#REF!+#REF!+#REF!+#REF!+#REF!+#REF!+#REF!)/N6</f>
        <v>#REF!</v>
      </c>
      <c r="L6" s="525" t="s">
        <v>42</v>
      </c>
      <c r="M6" s="526"/>
      <c r="N6" s="443">
        <v>0.95</v>
      </c>
      <c r="O6" s="406" t="s">
        <v>43</v>
      </c>
      <c r="P6" s="406"/>
      <c r="Q6" s="428" t="e">
        <f>(SUM(W14,W36,W38,W40,#REF!,#REF!,#REF!,#REF!)/SUM(W15,W37,W39,W41,#REF!,#REF!,#REF!,#REF!))/N6</f>
        <v>#REF!</v>
      </c>
      <c r="R6" s="429"/>
      <c r="S6" s="430"/>
      <c r="T6" s="419" t="s">
        <v>44</v>
      </c>
      <c r="U6" s="420"/>
      <c r="V6" s="420"/>
      <c r="W6" s="421"/>
      <c r="X6" s="428" t="e">
        <f>SUM(X14:Z14,X36:Z36,X38:Z38,X40:Z40,#REF!,#REF!,#REF!,#REF!,#REF!,#REF!,#REF!)/SUM(X15:Z15,X37:Z37,W39:Z39,X41:Z41,#REF!,#REF!,#REF!,#REF!,#REF!,#REF!,#REF!)/N6</f>
        <v>#REF!</v>
      </c>
      <c r="Y6" s="429"/>
      <c r="Z6" s="429"/>
      <c r="AA6" s="430"/>
      <c r="AB6" s="419" t="s">
        <v>45</v>
      </c>
      <c r="AC6" s="420"/>
      <c r="AD6" s="420"/>
      <c r="AE6" s="421"/>
      <c r="AF6" s="428" t="e">
        <f>SUM(AC14,AC36,AC38,AC40,#REF!,#REF!,#REF!,#REF!,#REF!)/SUM(AC15,AC37,AC39,AC41,#REF!,#REF!,#REF!,#REF!,#REF!)/N6</f>
        <v>#REF!</v>
      </c>
      <c r="AG6" s="430"/>
      <c r="AH6" s="419" t="s">
        <v>46</v>
      </c>
      <c r="AI6" s="428" t="e">
        <f>SUM(AF14,AF36,AF38,AF40,#REF!,#REF!,#REF!,#REF!,#REF!,#REF!,#REF!)/SUM(AF15,AF37,AF39,AF41,#REF!,#REF!,#REF!,#REF!,#REF!,#REF!,#REF!)/N6</f>
        <v>#REF!</v>
      </c>
    </row>
    <row r="7" spans="1:36" ht="15" hidden="1" customHeight="1" x14ac:dyDescent="0.35">
      <c r="A7" s="406"/>
      <c r="B7" s="406"/>
      <c r="C7" s="513"/>
      <c r="D7" s="513"/>
      <c r="E7" s="514"/>
      <c r="F7" s="514"/>
      <c r="G7" s="516"/>
      <c r="H7" s="183"/>
      <c r="I7" s="514"/>
      <c r="J7" s="514"/>
      <c r="K7" s="441"/>
      <c r="L7" s="527"/>
      <c r="M7" s="528"/>
      <c r="N7" s="444"/>
      <c r="O7" s="406"/>
      <c r="P7" s="406"/>
      <c r="Q7" s="431"/>
      <c r="R7" s="432"/>
      <c r="S7" s="433"/>
      <c r="T7" s="422"/>
      <c r="U7" s="423"/>
      <c r="V7" s="423"/>
      <c r="W7" s="424"/>
      <c r="X7" s="431"/>
      <c r="Y7" s="432"/>
      <c r="Z7" s="432"/>
      <c r="AA7" s="433"/>
      <c r="AB7" s="422"/>
      <c r="AC7" s="423"/>
      <c r="AD7" s="423"/>
      <c r="AE7" s="424"/>
      <c r="AF7" s="431"/>
      <c r="AG7" s="433"/>
      <c r="AH7" s="422"/>
      <c r="AI7" s="431"/>
    </row>
    <row r="8" spans="1:36" ht="25.4" hidden="1" customHeight="1" x14ac:dyDescent="0.35">
      <c r="A8" s="406"/>
      <c r="B8" s="406"/>
      <c r="C8" s="513"/>
      <c r="D8" s="513"/>
      <c r="E8" s="514"/>
      <c r="F8" s="514"/>
      <c r="G8" s="516"/>
      <c r="H8" s="183"/>
      <c r="I8" s="514"/>
      <c r="J8" s="514"/>
      <c r="K8" s="441"/>
      <c r="L8" s="527"/>
      <c r="M8" s="528"/>
      <c r="N8" s="444"/>
      <c r="O8" s="406"/>
      <c r="P8" s="406"/>
      <c r="Q8" s="431"/>
      <c r="R8" s="432"/>
      <c r="S8" s="433"/>
      <c r="T8" s="422"/>
      <c r="U8" s="423"/>
      <c r="V8" s="423"/>
      <c r="W8" s="424"/>
      <c r="X8" s="431"/>
      <c r="Y8" s="432"/>
      <c r="Z8" s="432"/>
      <c r="AA8" s="433"/>
      <c r="AB8" s="422"/>
      <c r="AC8" s="423"/>
      <c r="AD8" s="423"/>
      <c r="AE8" s="424"/>
      <c r="AF8" s="431"/>
      <c r="AG8" s="433"/>
      <c r="AH8" s="422"/>
      <c r="AI8" s="431"/>
    </row>
    <row r="9" spans="1:36" ht="25.4" hidden="1" customHeight="1" x14ac:dyDescent="0.35">
      <c r="A9" s="406"/>
      <c r="B9" s="406"/>
      <c r="C9" s="513"/>
      <c r="D9" s="513"/>
      <c r="E9" s="514"/>
      <c r="F9" s="514"/>
      <c r="G9" s="516"/>
      <c r="H9" s="183"/>
      <c r="I9" s="514"/>
      <c r="J9" s="514"/>
      <c r="K9" s="441"/>
      <c r="L9" s="527"/>
      <c r="M9" s="528"/>
      <c r="N9" s="444"/>
      <c r="O9" s="406"/>
      <c r="P9" s="406"/>
      <c r="Q9" s="431"/>
      <c r="R9" s="432"/>
      <c r="S9" s="433"/>
      <c r="T9" s="422"/>
      <c r="U9" s="423"/>
      <c r="V9" s="423"/>
      <c r="W9" s="424"/>
      <c r="X9" s="431"/>
      <c r="Y9" s="432"/>
      <c r="Z9" s="432"/>
      <c r="AA9" s="433"/>
      <c r="AB9" s="422"/>
      <c r="AC9" s="423"/>
      <c r="AD9" s="423"/>
      <c r="AE9" s="424"/>
      <c r="AF9" s="431"/>
      <c r="AG9" s="433"/>
      <c r="AH9" s="422"/>
      <c r="AI9" s="431"/>
    </row>
    <row r="10" spans="1:36" ht="15" hidden="1" customHeight="1" thickBot="1" x14ac:dyDescent="0.4">
      <c r="A10" s="406"/>
      <c r="B10" s="406"/>
      <c r="C10" s="513"/>
      <c r="D10" s="513"/>
      <c r="E10" s="514"/>
      <c r="F10" s="514"/>
      <c r="G10" s="516"/>
      <c r="H10" s="183"/>
      <c r="I10" s="517"/>
      <c r="J10" s="517"/>
      <c r="K10" s="442"/>
      <c r="L10" s="527"/>
      <c r="M10" s="528"/>
      <c r="N10" s="444"/>
      <c r="O10" s="520"/>
      <c r="P10" s="520"/>
      <c r="Q10" s="518"/>
      <c r="R10" s="521"/>
      <c r="S10" s="519"/>
      <c r="T10" s="422"/>
      <c r="U10" s="423"/>
      <c r="V10" s="423"/>
      <c r="W10" s="424"/>
      <c r="X10" s="518"/>
      <c r="Y10" s="521"/>
      <c r="Z10" s="521"/>
      <c r="AA10" s="519"/>
      <c r="AB10" s="422"/>
      <c r="AC10" s="423"/>
      <c r="AD10" s="423"/>
      <c r="AE10" s="424"/>
      <c r="AF10" s="518"/>
      <c r="AG10" s="519"/>
      <c r="AH10" s="422"/>
      <c r="AI10" s="518"/>
    </row>
    <row r="11" spans="1:36" s="12" customFormat="1" ht="40.4" customHeight="1" thickBot="1" x14ac:dyDescent="0.4">
      <c r="A11" s="488" t="s">
        <v>47</v>
      </c>
      <c r="B11" s="488"/>
      <c r="C11" s="488"/>
      <c r="D11" s="488"/>
      <c r="E11" s="488"/>
      <c r="F11" s="488"/>
      <c r="G11" s="489" t="s">
        <v>820</v>
      </c>
      <c r="H11" s="490"/>
      <c r="I11" s="490"/>
      <c r="J11" s="490"/>
      <c r="K11" s="490"/>
      <c r="L11" s="490"/>
      <c r="M11" s="490"/>
      <c r="N11" s="490"/>
      <c r="O11" s="491"/>
      <c r="P11" s="492"/>
      <c r="Q11" s="522" t="s">
        <v>48</v>
      </c>
      <c r="R11" s="523"/>
      <c r="S11" s="523"/>
      <c r="T11" s="523"/>
      <c r="U11" s="523"/>
      <c r="V11" s="523"/>
      <c r="W11" s="523"/>
      <c r="X11" s="523"/>
      <c r="Y11" s="523"/>
      <c r="Z11" s="523"/>
      <c r="AA11" s="523"/>
      <c r="AB11" s="523"/>
      <c r="AC11" s="523"/>
      <c r="AD11" s="523"/>
      <c r="AE11" s="523"/>
      <c r="AF11" s="524"/>
      <c r="AG11" s="522" t="s">
        <v>49</v>
      </c>
      <c r="AH11" s="523"/>
      <c r="AI11" s="523"/>
      <c r="AJ11" s="524"/>
    </row>
    <row r="12" spans="1:36" ht="39" customHeight="1" x14ac:dyDescent="0.35">
      <c r="A12" s="493" t="s">
        <v>50</v>
      </c>
      <c r="B12" s="531" t="s">
        <v>51</v>
      </c>
      <c r="C12" s="531" t="s">
        <v>52</v>
      </c>
      <c r="D12" s="531" t="s">
        <v>53</v>
      </c>
      <c r="E12" s="531" t="s">
        <v>54</v>
      </c>
      <c r="F12" s="531" t="s">
        <v>30</v>
      </c>
      <c r="G12" s="511" t="s">
        <v>55</v>
      </c>
      <c r="H12" s="493" t="s">
        <v>604</v>
      </c>
      <c r="I12" s="494" t="s">
        <v>56</v>
      </c>
      <c r="J12" s="511" t="s">
        <v>57</v>
      </c>
      <c r="K12" s="511" t="s">
        <v>58</v>
      </c>
      <c r="L12" s="511" t="s">
        <v>59</v>
      </c>
      <c r="M12" s="511" t="s">
        <v>60</v>
      </c>
      <c r="N12" s="511" t="s">
        <v>61</v>
      </c>
      <c r="O12" s="504" t="s">
        <v>62</v>
      </c>
      <c r="P12" s="504" t="s">
        <v>63</v>
      </c>
      <c r="Q12" s="505" t="s">
        <v>64</v>
      </c>
      <c r="R12" s="507" t="s">
        <v>65</v>
      </c>
      <c r="S12" s="509" t="s">
        <v>66</v>
      </c>
      <c r="T12" s="529" t="s">
        <v>67</v>
      </c>
      <c r="U12" s="529" t="s">
        <v>68</v>
      </c>
      <c r="V12" s="529" t="s">
        <v>69</v>
      </c>
      <c r="W12" s="529" t="s">
        <v>70</v>
      </c>
      <c r="X12" s="529" t="s">
        <v>71</v>
      </c>
      <c r="Y12" s="529" t="s">
        <v>72</v>
      </c>
      <c r="Z12" s="529" t="s">
        <v>73</v>
      </c>
      <c r="AA12" s="529" t="s">
        <v>74</v>
      </c>
      <c r="AB12" s="529" t="s">
        <v>75</v>
      </c>
      <c r="AC12" s="529" t="s">
        <v>76</v>
      </c>
      <c r="AD12" s="529" t="s">
        <v>77</v>
      </c>
      <c r="AE12" s="529" t="s">
        <v>78</v>
      </c>
      <c r="AF12" s="497" t="s">
        <v>79</v>
      </c>
      <c r="AG12" s="499" t="s">
        <v>80</v>
      </c>
      <c r="AH12" s="501" t="s">
        <v>81</v>
      </c>
      <c r="AI12" s="501" t="s">
        <v>82</v>
      </c>
      <c r="AJ12" s="501" t="s">
        <v>83</v>
      </c>
    </row>
    <row r="13" spans="1:36" ht="60" customHeight="1" x14ac:dyDescent="0.35">
      <c r="A13" s="494"/>
      <c r="B13" s="494"/>
      <c r="C13" s="494"/>
      <c r="D13" s="494"/>
      <c r="E13" s="494"/>
      <c r="F13" s="494"/>
      <c r="G13" s="494"/>
      <c r="H13" s="494"/>
      <c r="I13" s="504"/>
      <c r="J13" s="494"/>
      <c r="K13" s="494"/>
      <c r="L13" s="494"/>
      <c r="M13" s="494"/>
      <c r="N13" s="494"/>
      <c r="O13" s="504"/>
      <c r="P13" s="504"/>
      <c r="Q13" s="506"/>
      <c r="R13" s="508"/>
      <c r="S13" s="510"/>
      <c r="T13" s="530"/>
      <c r="U13" s="530"/>
      <c r="V13" s="530"/>
      <c r="W13" s="530"/>
      <c r="X13" s="530"/>
      <c r="Y13" s="530"/>
      <c r="Z13" s="530"/>
      <c r="AA13" s="530"/>
      <c r="AB13" s="530"/>
      <c r="AC13" s="530"/>
      <c r="AD13" s="530"/>
      <c r="AE13" s="530"/>
      <c r="AF13" s="498"/>
      <c r="AG13" s="500"/>
      <c r="AH13" s="502"/>
      <c r="AI13" s="502"/>
      <c r="AJ13" s="502"/>
    </row>
    <row r="14" spans="1:36" ht="88.5" customHeight="1" x14ac:dyDescent="0.35">
      <c r="A14" s="384">
        <v>1</v>
      </c>
      <c r="B14" s="403" t="s">
        <v>510</v>
      </c>
      <c r="C14" s="403" t="s">
        <v>822</v>
      </c>
      <c r="D14" s="403" t="s">
        <v>157</v>
      </c>
      <c r="E14" s="403" t="s">
        <v>558</v>
      </c>
      <c r="F14" s="470" t="s">
        <v>151</v>
      </c>
      <c r="G14" s="495" t="s">
        <v>155</v>
      </c>
      <c r="H14" s="495" t="s">
        <v>596</v>
      </c>
      <c r="I14" s="495" t="s">
        <v>840</v>
      </c>
      <c r="J14" s="495" t="s">
        <v>841</v>
      </c>
      <c r="K14" s="495" t="s">
        <v>842</v>
      </c>
      <c r="L14" s="374" t="s">
        <v>843</v>
      </c>
      <c r="M14" s="374" t="s">
        <v>152</v>
      </c>
      <c r="N14" s="534" t="s">
        <v>520</v>
      </c>
      <c r="O14" s="477">
        <v>45658</v>
      </c>
      <c r="P14" s="477">
        <v>46022</v>
      </c>
      <c r="Q14" s="60" t="s">
        <v>91</v>
      </c>
      <c r="R14" s="53">
        <f>+(R15*S14)</f>
        <v>0</v>
      </c>
      <c r="S14" s="151">
        <f t="shared" ref="S14:S41" si="0">SUM(T14:AF14)</f>
        <v>0</v>
      </c>
      <c r="T14" s="43"/>
      <c r="U14" s="43"/>
      <c r="V14" s="43"/>
      <c r="W14" s="90"/>
      <c r="X14" s="43"/>
      <c r="Y14" s="168"/>
      <c r="Z14" s="43"/>
      <c r="AA14" s="43"/>
      <c r="AB14" s="44"/>
      <c r="AC14" s="174"/>
      <c r="AD14" s="44"/>
      <c r="AE14" s="44"/>
      <c r="AF14" s="174"/>
      <c r="AG14" s="478"/>
      <c r="AH14" s="478"/>
      <c r="AI14" s="532"/>
      <c r="AJ14" s="532"/>
    </row>
    <row r="15" spans="1:36" ht="88.5" customHeight="1" x14ac:dyDescent="0.35">
      <c r="A15" s="398"/>
      <c r="B15" s="403"/>
      <c r="C15" s="403"/>
      <c r="D15" s="403"/>
      <c r="E15" s="403"/>
      <c r="F15" s="470"/>
      <c r="G15" s="503"/>
      <c r="H15" s="496"/>
      <c r="I15" s="503"/>
      <c r="J15" s="503"/>
      <c r="K15" s="503"/>
      <c r="L15" s="376"/>
      <c r="M15" s="376"/>
      <c r="N15" s="534"/>
      <c r="O15" s="477"/>
      <c r="P15" s="477"/>
      <c r="Q15" s="60" t="s">
        <v>96</v>
      </c>
      <c r="R15" s="52">
        <f>100%/11</f>
        <v>9.0909090909090912E-2</v>
      </c>
      <c r="S15" s="151">
        <f t="shared" si="0"/>
        <v>0</v>
      </c>
      <c r="T15" s="42"/>
      <c r="U15" s="42"/>
      <c r="V15" s="42"/>
      <c r="W15" s="42"/>
      <c r="X15" s="42"/>
      <c r="Y15" s="42"/>
      <c r="Z15" s="42"/>
      <c r="AA15" s="42"/>
      <c r="AB15" s="42"/>
      <c r="AC15" s="42"/>
      <c r="AD15" s="42"/>
      <c r="AE15" s="42"/>
      <c r="AF15" s="42"/>
      <c r="AG15" s="479"/>
      <c r="AH15" s="479"/>
      <c r="AI15" s="533"/>
      <c r="AJ15" s="533"/>
    </row>
    <row r="16" spans="1:36" ht="88.5" customHeight="1" x14ac:dyDescent="0.35">
      <c r="A16" s="384">
        <v>2</v>
      </c>
      <c r="B16" s="403" t="s">
        <v>510</v>
      </c>
      <c r="C16" s="403" t="s">
        <v>827</v>
      </c>
      <c r="D16" s="403" t="s">
        <v>84</v>
      </c>
      <c r="E16" s="403" t="s">
        <v>112</v>
      </c>
      <c r="F16" s="470" t="s">
        <v>151</v>
      </c>
      <c r="G16" s="402" t="s">
        <v>155</v>
      </c>
      <c r="H16" s="374" t="s">
        <v>259</v>
      </c>
      <c r="I16" s="402" t="s">
        <v>844</v>
      </c>
      <c r="J16" s="402" t="s">
        <v>845</v>
      </c>
      <c r="K16" s="402" t="s">
        <v>846</v>
      </c>
      <c r="L16" s="402" t="s">
        <v>843</v>
      </c>
      <c r="M16" s="402" t="s">
        <v>152</v>
      </c>
      <c r="N16" s="402" t="s">
        <v>525</v>
      </c>
      <c r="O16" s="477">
        <v>45658</v>
      </c>
      <c r="P16" s="477">
        <v>46022</v>
      </c>
      <c r="Q16" s="60" t="s">
        <v>91</v>
      </c>
      <c r="R16" s="53">
        <f>+(R17*S16)</f>
        <v>0</v>
      </c>
      <c r="S16" s="151">
        <f t="shared" ref="S16:S17" si="1">SUM(T16:AF16)</f>
        <v>0</v>
      </c>
      <c r="T16" s="43"/>
      <c r="U16" s="43"/>
      <c r="V16" s="43"/>
      <c r="W16" s="90"/>
      <c r="X16" s="43"/>
      <c r="Y16" s="168"/>
      <c r="Z16" s="43"/>
      <c r="AA16" s="43"/>
      <c r="AB16" s="44"/>
      <c r="AC16" s="174"/>
      <c r="AD16" s="44"/>
      <c r="AE16" s="44"/>
      <c r="AF16" s="174"/>
      <c r="AG16" s="478"/>
      <c r="AH16" s="478"/>
      <c r="AI16" s="532"/>
      <c r="AJ16" s="532"/>
    </row>
    <row r="17" spans="1:36" ht="88.5" customHeight="1" x14ac:dyDescent="0.35">
      <c r="A17" s="398"/>
      <c r="B17" s="403"/>
      <c r="C17" s="403"/>
      <c r="D17" s="403"/>
      <c r="E17" s="403"/>
      <c r="F17" s="470"/>
      <c r="G17" s="402"/>
      <c r="H17" s="375"/>
      <c r="I17" s="402"/>
      <c r="J17" s="402"/>
      <c r="K17" s="402"/>
      <c r="L17" s="402"/>
      <c r="M17" s="402"/>
      <c r="N17" s="402"/>
      <c r="O17" s="477"/>
      <c r="P17" s="477"/>
      <c r="Q17" s="60" t="s">
        <v>96</v>
      </c>
      <c r="R17" s="52">
        <f>100%/11</f>
        <v>9.0909090909090912E-2</v>
      </c>
      <c r="S17" s="151">
        <f t="shared" si="1"/>
        <v>0</v>
      </c>
      <c r="T17" s="42"/>
      <c r="U17" s="42"/>
      <c r="V17" s="42"/>
      <c r="W17" s="42"/>
      <c r="X17" s="42"/>
      <c r="Y17" s="42"/>
      <c r="Z17" s="42"/>
      <c r="AA17" s="42"/>
      <c r="AB17" s="42"/>
      <c r="AC17" s="42"/>
      <c r="AD17" s="42"/>
      <c r="AE17" s="42"/>
      <c r="AF17" s="42"/>
      <c r="AG17" s="479"/>
      <c r="AH17" s="479"/>
      <c r="AI17" s="533"/>
      <c r="AJ17" s="533"/>
    </row>
    <row r="18" spans="1:36" ht="88.5" customHeight="1" x14ac:dyDescent="0.35">
      <c r="A18" s="384">
        <v>3</v>
      </c>
      <c r="B18" s="403" t="s">
        <v>510</v>
      </c>
      <c r="C18" s="403" t="s">
        <v>829</v>
      </c>
      <c r="D18" s="403" t="s">
        <v>533</v>
      </c>
      <c r="E18" s="403" t="s">
        <v>563</v>
      </c>
      <c r="F18" s="67"/>
      <c r="G18" s="402" t="s">
        <v>155</v>
      </c>
      <c r="H18" s="374" t="s">
        <v>259</v>
      </c>
      <c r="I18" s="374" t="s">
        <v>847</v>
      </c>
      <c r="J18" s="374" t="s">
        <v>847</v>
      </c>
      <c r="K18" s="374" t="s">
        <v>848</v>
      </c>
      <c r="L18" s="402" t="s">
        <v>843</v>
      </c>
      <c r="M18" s="402" t="s">
        <v>152</v>
      </c>
      <c r="N18" s="402" t="s">
        <v>520</v>
      </c>
      <c r="O18" s="477">
        <v>45658</v>
      </c>
      <c r="P18" s="477">
        <v>46022</v>
      </c>
      <c r="Q18" s="60"/>
      <c r="R18" s="52"/>
      <c r="S18" s="151"/>
      <c r="T18" s="42"/>
      <c r="U18" s="42"/>
      <c r="V18" s="42"/>
      <c r="W18" s="42"/>
      <c r="X18" s="42"/>
      <c r="Y18" s="42"/>
      <c r="Z18" s="42"/>
      <c r="AA18" s="42"/>
      <c r="AB18" s="42"/>
      <c r="AC18" s="42"/>
      <c r="AD18" s="42"/>
      <c r="AE18" s="42"/>
      <c r="AF18" s="42"/>
      <c r="AG18" s="189"/>
      <c r="AH18" s="189"/>
      <c r="AI18" s="190"/>
      <c r="AJ18" s="190"/>
    </row>
    <row r="19" spans="1:36" ht="88.5" customHeight="1" x14ac:dyDescent="0.35">
      <c r="A19" s="398"/>
      <c r="B19" s="403"/>
      <c r="C19" s="403"/>
      <c r="D19" s="403"/>
      <c r="E19" s="403"/>
      <c r="F19" s="67"/>
      <c r="G19" s="402"/>
      <c r="H19" s="375"/>
      <c r="I19" s="376"/>
      <c r="J19" s="376"/>
      <c r="K19" s="376"/>
      <c r="L19" s="402"/>
      <c r="M19" s="402"/>
      <c r="N19" s="402"/>
      <c r="O19" s="477"/>
      <c r="P19" s="477"/>
      <c r="Q19" s="60"/>
      <c r="R19" s="52"/>
      <c r="S19" s="151"/>
      <c r="T19" s="42"/>
      <c r="U19" s="42"/>
      <c r="V19" s="42"/>
      <c r="W19" s="42"/>
      <c r="X19" s="42"/>
      <c r="Y19" s="42"/>
      <c r="Z19" s="42"/>
      <c r="AA19" s="42"/>
      <c r="AB19" s="42"/>
      <c r="AC19" s="42"/>
      <c r="AD19" s="42"/>
      <c r="AE19" s="42"/>
      <c r="AF19" s="42"/>
      <c r="AG19" s="189"/>
      <c r="AH19" s="189"/>
      <c r="AI19" s="190"/>
      <c r="AJ19" s="190"/>
    </row>
    <row r="20" spans="1:36" ht="88.5" customHeight="1" x14ac:dyDescent="0.35">
      <c r="A20" s="384">
        <v>4</v>
      </c>
      <c r="B20" s="384" t="s">
        <v>515</v>
      </c>
      <c r="C20" s="403" t="s">
        <v>829</v>
      </c>
      <c r="D20" s="403" t="s">
        <v>533</v>
      </c>
      <c r="E20" s="403" t="s">
        <v>563</v>
      </c>
      <c r="F20" s="384"/>
      <c r="G20" s="384" t="s">
        <v>259</v>
      </c>
      <c r="H20" s="180" t="s">
        <v>597</v>
      </c>
      <c r="I20" s="483" t="s">
        <v>864</v>
      </c>
      <c r="J20" s="483" t="s">
        <v>865</v>
      </c>
      <c r="K20" s="483" t="s">
        <v>866</v>
      </c>
      <c r="L20" s="485" t="s">
        <v>867</v>
      </c>
      <c r="M20" s="384" t="s">
        <v>792</v>
      </c>
      <c r="N20" s="402" t="s">
        <v>514</v>
      </c>
      <c r="O20" s="487">
        <v>45658</v>
      </c>
      <c r="P20" s="487">
        <v>45688</v>
      </c>
      <c r="Q20" s="60"/>
      <c r="R20" s="52"/>
      <c r="S20" s="151"/>
      <c r="T20" s="42"/>
      <c r="U20" s="42"/>
      <c r="V20" s="42"/>
      <c r="W20" s="42"/>
      <c r="X20" s="42"/>
      <c r="Y20" s="42"/>
      <c r="Z20" s="42"/>
      <c r="AA20" s="42"/>
      <c r="AB20" s="42"/>
      <c r="AC20" s="42"/>
      <c r="AD20" s="42"/>
      <c r="AE20" s="42"/>
      <c r="AF20" s="42"/>
      <c r="AG20" s="189"/>
      <c r="AH20" s="189"/>
      <c r="AI20" s="190"/>
      <c r="AJ20" s="190"/>
    </row>
    <row r="21" spans="1:36" ht="88.5" customHeight="1" x14ac:dyDescent="0.35">
      <c r="A21" s="398"/>
      <c r="B21" s="385"/>
      <c r="C21" s="403"/>
      <c r="D21" s="403"/>
      <c r="E21" s="403"/>
      <c r="F21" s="385"/>
      <c r="G21" s="398"/>
      <c r="H21" s="180" t="s">
        <v>602</v>
      </c>
      <c r="I21" s="536"/>
      <c r="J21" s="536"/>
      <c r="K21" s="484"/>
      <c r="L21" s="486"/>
      <c r="M21" s="398"/>
      <c r="N21" s="402"/>
      <c r="O21" s="487"/>
      <c r="P21" s="487"/>
      <c r="Q21" s="60"/>
      <c r="R21" s="52"/>
      <c r="S21" s="151"/>
      <c r="T21" s="42"/>
      <c r="U21" s="42"/>
      <c r="V21" s="42"/>
      <c r="W21" s="42"/>
      <c r="X21" s="42"/>
      <c r="Y21" s="42"/>
      <c r="Z21" s="42"/>
      <c r="AA21" s="42"/>
      <c r="AB21" s="42"/>
      <c r="AC21" s="42"/>
      <c r="AD21" s="42"/>
      <c r="AE21" s="42"/>
      <c r="AF21" s="42"/>
      <c r="AG21" s="189"/>
      <c r="AH21" s="189"/>
      <c r="AI21" s="190"/>
      <c r="AJ21" s="190"/>
    </row>
    <row r="22" spans="1:36" ht="88.5" customHeight="1" x14ac:dyDescent="0.35">
      <c r="A22" s="384">
        <v>5</v>
      </c>
      <c r="B22" s="384" t="s">
        <v>515</v>
      </c>
      <c r="C22" s="403" t="s">
        <v>829</v>
      </c>
      <c r="D22" s="403" t="s">
        <v>533</v>
      </c>
      <c r="E22" s="403" t="s">
        <v>563</v>
      </c>
      <c r="F22" s="384"/>
      <c r="G22" s="384" t="s">
        <v>259</v>
      </c>
      <c r="H22" s="180" t="s">
        <v>597</v>
      </c>
      <c r="I22" s="384" t="s">
        <v>868</v>
      </c>
      <c r="J22" s="483" t="s">
        <v>869</v>
      </c>
      <c r="K22" s="483" t="s">
        <v>866</v>
      </c>
      <c r="L22" s="485" t="s">
        <v>867</v>
      </c>
      <c r="M22" s="384" t="s">
        <v>792</v>
      </c>
      <c r="N22" s="402" t="s">
        <v>514</v>
      </c>
      <c r="O22" s="487">
        <v>45658</v>
      </c>
      <c r="P22" s="487">
        <v>45688</v>
      </c>
      <c r="Q22" s="60"/>
      <c r="R22" s="52"/>
      <c r="S22" s="151"/>
      <c r="T22" s="42"/>
      <c r="U22" s="42"/>
      <c r="V22" s="42"/>
      <c r="W22" s="42"/>
      <c r="X22" s="42"/>
      <c r="Y22" s="42"/>
      <c r="Z22" s="42"/>
      <c r="AA22" s="42"/>
      <c r="AB22" s="42"/>
      <c r="AC22" s="42"/>
      <c r="AD22" s="42"/>
      <c r="AE22" s="42"/>
      <c r="AF22" s="42"/>
      <c r="AG22" s="189"/>
      <c r="AH22" s="189"/>
      <c r="AI22" s="190"/>
      <c r="AJ22" s="190"/>
    </row>
    <row r="23" spans="1:36" ht="88.5" customHeight="1" x14ac:dyDescent="0.35">
      <c r="A23" s="398"/>
      <c r="B23" s="385"/>
      <c r="C23" s="403"/>
      <c r="D23" s="403"/>
      <c r="E23" s="403"/>
      <c r="F23" s="385"/>
      <c r="G23" s="398"/>
      <c r="H23" s="180" t="s">
        <v>602</v>
      </c>
      <c r="I23" s="398"/>
      <c r="J23" s="536"/>
      <c r="K23" s="484"/>
      <c r="L23" s="486"/>
      <c r="M23" s="398"/>
      <c r="N23" s="402"/>
      <c r="O23" s="487"/>
      <c r="P23" s="487"/>
      <c r="Q23" s="60"/>
      <c r="R23" s="52"/>
      <c r="S23" s="151"/>
      <c r="T23" s="42"/>
      <c r="U23" s="42"/>
      <c r="V23" s="42"/>
      <c r="W23" s="42"/>
      <c r="X23" s="42"/>
      <c r="Y23" s="42"/>
      <c r="Z23" s="42"/>
      <c r="AA23" s="42"/>
      <c r="AB23" s="42"/>
      <c r="AC23" s="42"/>
      <c r="AD23" s="42"/>
      <c r="AE23" s="42"/>
      <c r="AF23" s="42"/>
      <c r="AG23" s="189"/>
      <c r="AH23" s="189"/>
      <c r="AI23" s="190"/>
      <c r="AJ23" s="190"/>
    </row>
    <row r="24" spans="1:36" ht="88.5" customHeight="1" x14ac:dyDescent="0.35">
      <c r="A24" s="384">
        <v>6</v>
      </c>
      <c r="B24" s="384" t="s">
        <v>515</v>
      </c>
      <c r="C24" s="403" t="s">
        <v>829</v>
      </c>
      <c r="D24" s="403" t="s">
        <v>533</v>
      </c>
      <c r="E24" s="403" t="s">
        <v>563</v>
      </c>
      <c r="F24" s="384"/>
      <c r="G24" s="384" t="s">
        <v>259</v>
      </c>
      <c r="H24" s="180" t="s">
        <v>597</v>
      </c>
      <c r="I24" s="384" t="s">
        <v>870</v>
      </c>
      <c r="J24" s="384" t="s">
        <v>871</v>
      </c>
      <c r="K24" s="483" t="s">
        <v>866</v>
      </c>
      <c r="L24" s="485" t="s">
        <v>867</v>
      </c>
      <c r="M24" s="384" t="s">
        <v>792</v>
      </c>
      <c r="N24" s="402" t="s">
        <v>514</v>
      </c>
      <c r="O24" s="487">
        <v>45677</v>
      </c>
      <c r="P24" s="487">
        <v>45768</v>
      </c>
      <c r="Q24" s="60"/>
      <c r="R24" s="52"/>
      <c r="S24" s="151"/>
      <c r="T24" s="42"/>
      <c r="U24" s="42"/>
      <c r="V24" s="42"/>
      <c r="W24" s="42"/>
      <c r="X24" s="42"/>
      <c r="Y24" s="42"/>
      <c r="Z24" s="42"/>
      <c r="AA24" s="42"/>
      <c r="AB24" s="42"/>
      <c r="AC24" s="42"/>
      <c r="AD24" s="42"/>
      <c r="AE24" s="42"/>
      <c r="AF24" s="42"/>
      <c r="AG24" s="189"/>
      <c r="AH24" s="189"/>
      <c r="AI24" s="190"/>
      <c r="AJ24" s="190"/>
    </row>
    <row r="25" spans="1:36" ht="88.5" customHeight="1" x14ac:dyDescent="0.35">
      <c r="A25" s="398"/>
      <c r="B25" s="385"/>
      <c r="C25" s="403"/>
      <c r="D25" s="403"/>
      <c r="E25" s="403"/>
      <c r="F25" s="385"/>
      <c r="G25" s="398"/>
      <c r="H25" s="180" t="s">
        <v>602</v>
      </c>
      <c r="I25" s="385"/>
      <c r="J25" s="385"/>
      <c r="K25" s="484"/>
      <c r="L25" s="486"/>
      <c r="M25" s="398"/>
      <c r="N25" s="402"/>
      <c r="O25" s="487"/>
      <c r="P25" s="487"/>
      <c r="Q25" s="60"/>
      <c r="R25" s="52"/>
      <c r="S25" s="151"/>
      <c r="T25" s="42"/>
      <c r="U25" s="42"/>
      <c r="V25" s="42"/>
      <c r="W25" s="42"/>
      <c r="X25" s="42"/>
      <c r="Y25" s="42"/>
      <c r="Z25" s="42"/>
      <c r="AA25" s="42"/>
      <c r="AB25" s="42"/>
      <c r="AC25" s="42"/>
      <c r="AD25" s="42"/>
      <c r="AE25" s="42"/>
      <c r="AF25" s="42"/>
      <c r="AG25" s="189"/>
      <c r="AH25" s="189"/>
      <c r="AI25" s="190"/>
      <c r="AJ25" s="190"/>
    </row>
    <row r="26" spans="1:36" ht="88.5" customHeight="1" x14ac:dyDescent="0.35">
      <c r="A26" s="384">
        <v>7</v>
      </c>
      <c r="B26" s="384" t="s">
        <v>515</v>
      </c>
      <c r="C26" s="403" t="s">
        <v>829</v>
      </c>
      <c r="D26" s="403" t="s">
        <v>533</v>
      </c>
      <c r="E26" s="403" t="s">
        <v>563</v>
      </c>
      <c r="F26" s="384"/>
      <c r="G26" s="384" t="s">
        <v>259</v>
      </c>
      <c r="H26" s="180" t="s">
        <v>597</v>
      </c>
      <c r="I26" s="384" t="s">
        <v>872</v>
      </c>
      <c r="J26" s="384" t="s">
        <v>873</v>
      </c>
      <c r="K26" s="483" t="s">
        <v>866</v>
      </c>
      <c r="L26" s="485" t="s">
        <v>867</v>
      </c>
      <c r="M26" s="384" t="s">
        <v>792</v>
      </c>
      <c r="N26" s="402" t="s">
        <v>514</v>
      </c>
      <c r="O26" s="487">
        <v>45769</v>
      </c>
      <c r="P26" s="487">
        <v>45821</v>
      </c>
      <c r="Q26" s="60"/>
      <c r="R26" s="52"/>
      <c r="S26" s="151"/>
      <c r="T26" s="42"/>
      <c r="U26" s="42"/>
      <c r="V26" s="42"/>
      <c r="W26" s="42"/>
      <c r="X26" s="42"/>
      <c r="Y26" s="42"/>
      <c r="Z26" s="42"/>
      <c r="AA26" s="42"/>
      <c r="AB26" s="42"/>
      <c r="AC26" s="42"/>
      <c r="AD26" s="42"/>
      <c r="AE26" s="42"/>
      <c r="AF26" s="42"/>
      <c r="AG26" s="189"/>
      <c r="AH26" s="189"/>
      <c r="AI26" s="190"/>
      <c r="AJ26" s="190"/>
    </row>
    <row r="27" spans="1:36" ht="88.5" customHeight="1" x14ac:dyDescent="0.35">
      <c r="A27" s="398"/>
      <c r="B27" s="385"/>
      <c r="C27" s="403"/>
      <c r="D27" s="403"/>
      <c r="E27" s="403"/>
      <c r="F27" s="385"/>
      <c r="G27" s="398"/>
      <c r="H27" s="180" t="s">
        <v>602</v>
      </c>
      <c r="I27" s="398"/>
      <c r="J27" s="398"/>
      <c r="K27" s="484"/>
      <c r="L27" s="486"/>
      <c r="M27" s="398"/>
      <c r="N27" s="402"/>
      <c r="O27" s="487"/>
      <c r="P27" s="487"/>
      <c r="Q27" s="60"/>
      <c r="R27" s="52"/>
      <c r="S27" s="151"/>
      <c r="T27" s="42"/>
      <c r="U27" s="42"/>
      <c r="V27" s="42"/>
      <c r="W27" s="42"/>
      <c r="X27" s="42"/>
      <c r="Y27" s="42"/>
      <c r="Z27" s="42"/>
      <c r="AA27" s="42"/>
      <c r="AB27" s="42"/>
      <c r="AC27" s="42"/>
      <c r="AD27" s="42"/>
      <c r="AE27" s="42"/>
      <c r="AF27" s="42"/>
      <c r="AG27" s="189"/>
      <c r="AH27" s="189"/>
      <c r="AI27" s="190"/>
      <c r="AJ27" s="190"/>
    </row>
    <row r="28" spans="1:36" ht="88.5" customHeight="1" x14ac:dyDescent="0.35">
      <c r="A28" s="384">
        <v>8</v>
      </c>
      <c r="B28" s="384" t="s">
        <v>515</v>
      </c>
      <c r="C28" s="403" t="s">
        <v>829</v>
      </c>
      <c r="D28" s="403" t="s">
        <v>533</v>
      </c>
      <c r="E28" s="403" t="s">
        <v>563</v>
      </c>
      <c r="F28" s="384"/>
      <c r="G28" s="384" t="s">
        <v>259</v>
      </c>
      <c r="H28" s="180" t="s">
        <v>597</v>
      </c>
      <c r="I28" s="384" t="s">
        <v>874</v>
      </c>
      <c r="J28" s="384" t="s">
        <v>875</v>
      </c>
      <c r="K28" s="483" t="s">
        <v>866</v>
      </c>
      <c r="L28" s="485" t="s">
        <v>867</v>
      </c>
      <c r="M28" s="384" t="s">
        <v>792</v>
      </c>
      <c r="N28" s="402" t="s">
        <v>514</v>
      </c>
      <c r="O28" s="487">
        <v>45799</v>
      </c>
      <c r="P28" s="487">
        <v>45873</v>
      </c>
      <c r="Q28" s="60"/>
      <c r="R28" s="52"/>
      <c r="S28" s="151"/>
      <c r="T28" s="42"/>
      <c r="U28" s="42"/>
      <c r="V28" s="42"/>
      <c r="W28" s="42"/>
      <c r="X28" s="42"/>
      <c r="Y28" s="42"/>
      <c r="Z28" s="42"/>
      <c r="AA28" s="42"/>
      <c r="AB28" s="42"/>
      <c r="AC28" s="42"/>
      <c r="AD28" s="42"/>
      <c r="AE28" s="42"/>
      <c r="AF28" s="42"/>
      <c r="AG28" s="189"/>
      <c r="AH28" s="189"/>
      <c r="AI28" s="190"/>
      <c r="AJ28" s="190"/>
    </row>
    <row r="29" spans="1:36" ht="88.5" customHeight="1" x14ac:dyDescent="0.35">
      <c r="A29" s="398"/>
      <c r="B29" s="385"/>
      <c r="C29" s="403"/>
      <c r="D29" s="403"/>
      <c r="E29" s="403"/>
      <c r="F29" s="385"/>
      <c r="G29" s="398"/>
      <c r="H29" s="180" t="s">
        <v>602</v>
      </c>
      <c r="I29" s="398"/>
      <c r="J29" s="398"/>
      <c r="K29" s="484"/>
      <c r="L29" s="486"/>
      <c r="M29" s="398"/>
      <c r="N29" s="402"/>
      <c r="O29" s="487"/>
      <c r="P29" s="487"/>
      <c r="Q29" s="60"/>
      <c r="R29" s="52"/>
      <c r="S29" s="151"/>
      <c r="T29" s="42"/>
      <c r="U29" s="42"/>
      <c r="V29" s="42"/>
      <c r="W29" s="42"/>
      <c r="X29" s="42"/>
      <c r="Y29" s="42"/>
      <c r="Z29" s="42"/>
      <c r="AA29" s="42"/>
      <c r="AB29" s="42"/>
      <c r="AC29" s="42"/>
      <c r="AD29" s="42"/>
      <c r="AE29" s="42"/>
      <c r="AF29" s="42"/>
      <c r="AG29" s="189"/>
      <c r="AH29" s="189"/>
      <c r="AI29" s="190"/>
      <c r="AJ29" s="190"/>
    </row>
    <row r="30" spans="1:36" ht="88.5" customHeight="1" x14ac:dyDescent="0.35">
      <c r="A30" s="384">
        <v>9</v>
      </c>
      <c r="B30" s="384" t="s">
        <v>515</v>
      </c>
      <c r="C30" s="403" t="s">
        <v>829</v>
      </c>
      <c r="D30" s="403" t="s">
        <v>533</v>
      </c>
      <c r="E30" s="403" t="s">
        <v>563</v>
      </c>
      <c r="F30" s="384"/>
      <c r="G30" s="384" t="s">
        <v>259</v>
      </c>
      <c r="H30" s="180" t="s">
        <v>597</v>
      </c>
      <c r="I30" s="384" t="s">
        <v>876</v>
      </c>
      <c r="J30" s="384" t="s">
        <v>877</v>
      </c>
      <c r="K30" s="483" t="s">
        <v>866</v>
      </c>
      <c r="L30" s="485" t="s">
        <v>867</v>
      </c>
      <c r="M30" s="384" t="s">
        <v>792</v>
      </c>
      <c r="N30" s="402" t="s">
        <v>514</v>
      </c>
      <c r="O30" s="487">
        <v>45824</v>
      </c>
      <c r="P30" s="487">
        <v>45847</v>
      </c>
      <c r="Q30" s="60"/>
      <c r="R30" s="52"/>
      <c r="S30" s="151"/>
      <c r="T30" s="42"/>
      <c r="U30" s="42"/>
      <c r="V30" s="42"/>
      <c r="W30" s="42"/>
      <c r="X30" s="42"/>
      <c r="Y30" s="42"/>
      <c r="Z30" s="42"/>
      <c r="AA30" s="42"/>
      <c r="AB30" s="42"/>
      <c r="AC30" s="42"/>
      <c r="AD30" s="42"/>
      <c r="AE30" s="42"/>
      <c r="AF30" s="42"/>
      <c r="AG30" s="189"/>
      <c r="AH30" s="189"/>
      <c r="AI30" s="190"/>
      <c r="AJ30" s="190"/>
    </row>
    <row r="31" spans="1:36" ht="88.5" customHeight="1" x14ac:dyDescent="0.35">
      <c r="A31" s="398"/>
      <c r="B31" s="385"/>
      <c r="C31" s="403"/>
      <c r="D31" s="403"/>
      <c r="E31" s="403"/>
      <c r="F31" s="385"/>
      <c r="G31" s="398"/>
      <c r="H31" s="180" t="s">
        <v>600</v>
      </c>
      <c r="I31" s="385"/>
      <c r="J31" s="385"/>
      <c r="K31" s="484"/>
      <c r="L31" s="486"/>
      <c r="M31" s="398"/>
      <c r="N31" s="402"/>
      <c r="O31" s="487"/>
      <c r="P31" s="487"/>
      <c r="Q31" s="60"/>
      <c r="R31" s="52"/>
      <c r="S31" s="151"/>
      <c r="T31" s="42"/>
      <c r="U31" s="42"/>
      <c r="V31" s="42"/>
      <c r="W31" s="42"/>
      <c r="X31" s="42"/>
      <c r="Y31" s="42"/>
      <c r="Z31" s="42"/>
      <c r="AA31" s="42"/>
      <c r="AB31" s="42"/>
      <c r="AC31" s="42"/>
      <c r="AD31" s="42"/>
      <c r="AE31" s="42"/>
      <c r="AF31" s="42"/>
      <c r="AG31" s="189"/>
      <c r="AH31" s="189"/>
      <c r="AI31" s="190"/>
      <c r="AJ31" s="190"/>
    </row>
    <row r="32" spans="1:36" ht="88.5" customHeight="1" x14ac:dyDescent="0.35">
      <c r="A32" s="384">
        <v>10</v>
      </c>
      <c r="B32" s="384" t="s">
        <v>515</v>
      </c>
      <c r="C32" s="403" t="s">
        <v>829</v>
      </c>
      <c r="D32" s="403" t="s">
        <v>533</v>
      </c>
      <c r="E32" s="403" t="s">
        <v>563</v>
      </c>
      <c r="F32" s="384"/>
      <c r="G32" s="384" t="s">
        <v>259</v>
      </c>
      <c r="H32" s="384" t="s">
        <v>597</v>
      </c>
      <c r="I32" s="403" t="s">
        <v>878</v>
      </c>
      <c r="J32" s="403" t="s">
        <v>879</v>
      </c>
      <c r="K32" s="483" t="s">
        <v>866</v>
      </c>
      <c r="L32" s="485" t="s">
        <v>867</v>
      </c>
      <c r="M32" s="384" t="s">
        <v>792</v>
      </c>
      <c r="N32" s="402" t="s">
        <v>514</v>
      </c>
      <c r="O32" s="487">
        <v>45839</v>
      </c>
      <c r="P32" s="487">
        <v>45973</v>
      </c>
      <c r="Q32" s="60"/>
      <c r="R32" s="52"/>
      <c r="S32" s="151"/>
      <c r="T32" s="42"/>
      <c r="U32" s="42"/>
      <c r="V32" s="42"/>
      <c r="W32" s="42"/>
      <c r="X32" s="42"/>
      <c r="Y32" s="42"/>
      <c r="Z32" s="42"/>
      <c r="AA32" s="42"/>
      <c r="AB32" s="42"/>
      <c r="AC32" s="42"/>
      <c r="AD32" s="42"/>
      <c r="AE32" s="42"/>
      <c r="AF32" s="42"/>
      <c r="AG32" s="189"/>
      <c r="AH32" s="189"/>
      <c r="AI32" s="190"/>
      <c r="AJ32" s="190"/>
    </row>
    <row r="33" spans="1:36" ht="88.5" customHeight="1" x14ac:dyDescent="0.35">
      <c r="A33" s="398"/>
      <c r="B33" s="385"/>
      <c r="C33" s="403"/>
      <c r="D33" s="403"/>
      <c r="E33" s="403"/>
      <c r="F33" s="385"/>
      <c r="G33" s="398"/>
      <c r="H33" s="385"/>
      <c r="I33" s="403"/>
      <c r="J33" s="403"/>
      <c r="K33" s="484"/>
      <c r="L33" s="486"/>
      <c r="M33" s="398"/>
      <c r="N33" s="402"/>
      <c r="O33" s="487"/>
      <c r="P33" s="487"/>
      <c r="Q33" s="60"/>
      <c r="R33" s="52"/>
      <c r="S33" s="151"/>
      <c r="T33" s="42"/>
      <c r="U33" s="42"/>
      <c r="V33" s="42"/>
      <c r="W33" s="42"/>
      <c r="X33" s="42"/>
      <c r="Y33" s="42"/>
      <c r="Z33" s="42"/>
      <c r="AA33" s="42"/>
      <c r="AB33" s="42"/>
      <c r="AC33" s="42"/>
      <c r="AD33" s="42"/>
      <c r="AE33" s="42"/>
      <c r="AF33" s="42"/>
      <c r="AG33" s="189"/>
      <c r="AH33" s="189"/>
      <c r="AI33" s="190"/>
      <c r="AJ33" s="190"/>
    </row>
    <row r="34" spans="1:36" ht="88.5" customHeight="1" x14ac:dyDescent="0.35">
      <c r="A34" s="384">
        <v>11</v>
      </c>
      <c r="B34" s="384" t="s">
        <v>515</v>
      </c>
      <c r="C34" s="403" t="s">
        <v>829</v>
      </c>
      <c r="D34" s="403" t="s">
        <v>533</v>
      </c>
      <c r="E34" s="403" t="s">
        <v>563</v>
      </c>
      <c r="F34" s="384"/>
      <c r="G34" s="384" t="s">
        <v>259</v>
      </c>
      <c r="H34" s="384"/>
      <c r="I34" s="384" t="s">
        <v>880</v>
      </c>
      <c r="J34" s="384" t="s">
        <v>881</v>
      </c>
      <c r="K34" s="483" t="s">
        <v>866</v>
      </c>
      <c r="L34" s="485" t="s">
        <v>867</v>
      </c>
      <c r="M34" s="384" t="s">
        <v>792</v>
      </c>
      <c r="N34" s="402" t="s">
        <v>514</v>
      </c>
      <c r="O34" s="487">
        <v>45658</v>
      </c>
      <c r="P34" s="487">
        <v>45944</v>
      </c>
      <c r="Q34" s="60"/>
      <c r="R34" s="52"/>
      <c r="S34" s="151"/>
      <c r="T34" s="42"/>
      <c r="U34" s="42"/>
      <c r="V34" s="42"/>
      <c r="W34" s="42"/>
      <c r="X34" s="42"/>
      <c r="Y34" s="42"/>
      <c r="Z34" s="42"/>
      <c r="AA34" s="42"/>
      <c r="AB34" s="42"/>
      <c r="AC34" s="42"/>
      <c r="AD34" s="42"/>
      <c r="AE34" s="42"/>
      <c r="AF34" s="42"/>
      <c r="AG34" s="189"/>
      <c r="AH34" s="189"/>
      <c r="AI34" s="190"/>
      <c r="AJ34" s="190"/>
    </row>
    <row r="35" spans="1:36" ht="88.5" customHeight="1" x14ac:dyDescent="0.35">
      <c r="A35" s="398"/>
      <c r="B35" s="385"/>
      <c r="C35" s="403"/>
      <c r="D35" s="403"/>
      <c r="E35" s="403"/>
      <c r="F35" s="385"/>
      <c r="G35" s="398"/>
      <c r="H35" s="385"/>
      <c r="I35" s="398"/>
      <c r="J35" s="398"/>
      <c r="K35" s="484"/>
      <c r="L35" s="486"/>
      <c r="M35" s="398"/>
      <c r="N35" s="402"/>
      <c r="O35" s="487"/>
      <c r="P35" s="487"/>
      <c r="Q35" s="60"/>
      <c r="R35" s="52"/>
      <c r="S35" s="151"/>
      <c r="T35" s="42"/>
      <c r="U35" s="42"/>
      <c r="V35" s="42"/>
      <c r="W35" s="42"/>
      <c r="X35" s="42"/>
      <c r="Y35" s="42"/>
      <c r="Z35" s="42"/>
      <c r="AA35" s="42"/>
      <c r="AB35" s="42"/>
      <c r="AC35" s="42"/>
      <c r="AD35" s="42"/>
      <c r="AE35" s="42"/>
      <c r="AF35" s="42"/>
      <c r="AG35" s="189"/>
      <c r="AH35" s="189"/>
      <c r="AI35" s="190"/>
      <c r="AJ35" s="190"/>
    </row>
    <row r="36" spans="1:36" ht="88.5" customHeight="1" x14ac:dyDescent="0.35">
      <c r="A36" s="384">
        <v>12</v>
      </c>
      <c r="B36" s="403" t="s">
        <v>515</v>
      </c>
      <c r="C36" s="403" t="s">
        <v>822</v>
      </c>
      <c r="D36" s="403" t="s">
        <v>254</v>
      </c>
      <c r="E36" s="403" t="s">
        <v>255</v>
      </c>
      <c r="F36" s="470" t="s">
        <v>151</v>
      </c>
      <c r="G36" s="374" t="s">
        <v>384</v>
      </c>
      <c r="H36" s="374" t="s">
        <v>576</v>
      </c>
      <c r="I36" s="374" t="s">
        <v>606</v>
      </c>
      <c r="J36" s="374" t="s">
        <v>606</v>
      </c>
      <c r="K36" s="374" t="s">
        <v>607</v>
      </c>
      <c r="L36" s="374" t="s">
        <v>605</v>
      </c>
      <c r="M36" s="374" t="s">
        <v>152</v>
      </c>
      <c r="N36" s="402" t="s">
        <v>525</v>
      </c>
      <c r="O36" s="477">
        <v>45658</v>
      </c>
      <c r="P36" s="477">
        <v>46022</v>
      </c>
      <c r="Q36" s="60" t="s">
        <v>91</v>
      </c>
      <c r="R36" s="53">
        <f>+(R37*S36)</f>
        <v>0</v>
      </c>
      <c r="S36" s="151">
        <f t="shared" si="0"/>
        <v>0</v>
      </c>
      <c r="T36" s="43"/>
      <c r="U36" s="43"/>
      <c r="V36" s="43"/>
      <c r="W36" s="43"/>
      <c r="X36" s="43"/>
      <c r="Y36" s="43"/>
      <c r="Z36" s="43"/>
      <c r="AA36" s="43"/>
      <c r="AB36" s="44"/>
      <c r="AC36" s="44"/>
      <c r="AD36" s="44"/>
      <c r="AE36" s="44"/>
      <c r="AF36" s="44"/>
      <c r="AG36" s="478"/>
      <c r="AH36" s="478"/>
      <c r="AI36" s="478"/>
      <c r="AJ36" s="478"/>
    </row>
    <row r="37" spans="1:36" ht="244.5" customHeight="1" x14ac:dyDescent="0.35">
      <c r="A37" s="398"/>
      <c r="B37" s="403"/>
      <c r="C37" s="403"/>
      <c r="D37" s="403"/>
      <c r="E37" s="403"/>
      <c r="F37" s="470"/>
      <c r="G37" s="375"/>
      <c r="H37" s="375"/>
      <c r="I37" s="376"/>
      <c r="J37" s="376"/>
      <c r="K37" s="376"/>
      <c r="L37" s="375"/>
      <c r="M37" s="376"/>
      <c r="N37" s="402"/>
      <c r="O37" s="477"/>
      <c r="P37" s="477"/>
      <c r="Q37" s="60" t="s">
        <v>96</v>
      </c>
      <c r="R37" s="52">
        <f>100%/11</f>
        <v>9.0909090909090912E-2</v>
      </c>
      <c r="S37" s="151">
        <f t="shared" si="0"/>
        <v>0</v>
      </c>
      <c r="T37" s="42"/>
      <c r="U37" s="42"/>
      <c r="V37" s="42"/>
      <c r="W37" s="42"/>
      <c r="X37" s="42"/>
      <c r="Y37" s="42"/>
      <c r="Z37" s="42"/>
      <c r="AA37" s="42"/>
      <c r="AB37" s="42"/>
      <c r="AC37" s="42"/>
      <c r="AD37" s="42"/>
      <c r="AE37" s="42"/>
      <c r="AF37" s="42"/>
      <c r="AG37" s="481"/>
      <c r="AH37" s="481"/>
      <c r="AI37" s="481"/>
      <c r="AJ37" s="479"/>
    </row>
    <row r="38" spans="1:36" ht="88.5" customHeight="1" x14ac:dyDescent="0.35">
      <c r="A38" s="384">
        <v>13</v>
      </c>
      <c r="B38" s="403" t="s">
        <v>515</v>
      </c>
      <c r="C38" s="403" t="s">
        <v>821</v>
      </c>
      <c r="D38" s="403" t="s">
        <v>254</v>
      </c>
      <c r="E38" s="403" t="s">
        <v>528</v>
      </c>
      <c r="F38" s="67" t="s">
        <v>151</v>
      </c>
      <c r="G38" s="402" t="s">
        <v>579</v>
      </c>
      <c r="H38" s="374" t="s">
        <v>575</v>
      </c>
      <c r="I38" s="402" t="s">
        <v>608</v>
      </c>
      <c r="J38" s="402" t="s">
        <v>608</v>
      </c>
      <c r="K38" s="402" t="s">
        <v>609</v>
      </c>
      <c r="L38" s="374" t="s">
        <v>605</v>
      </c>
      <c r="M38" s="374" t="s">
        <v>152</v>
      </c>
      <c r="N38" s="402" t="s">
        <v>520</v>
      </c>
      <c r="O38" s="477">
        <v>45658</v>
      </c>
      <c r="P38" s="477">
        <v>46022</v>
      </c>
      <c r="Q38" s="60" t="s">
        <v>91</v>
      </c>
      <c r="R38" s="53">
        <f>+(R39*S38)</f>
        <v>0</v>
      </c>
      <c r="S38" s="151">
        <f t="shared" si="0"/>
        <v>0</v>
      </c>
      <c r="T38" s="43"/>
      <c r="U38" s="43"/>
      <c r="V38" s="43"/>
      <c r="W38" s="43"/>
      <c r="X38" s="43"/>
      <c r="Y38" s="43"/>
      <c r="Z38" s="43"/>
      <c r="AA38" s="43"/>
      <c r="AB38" s="44"/>
      <c r="AC38" s="44"/>
      <c r="AD38" s="44"/>
      <c r="AE38" s="44"/>
      <c r="AF38" s="44"/>
      <c r="AG38" s="478"/>
      <c r="AH38" s="478"/>
      <c r="AI38" s="478"/>
      <c r="AJ38" s="535"/>
    </row>
    <row r="39" spans="1:36" ht="88.5" customHeight="1" x14ac:dyDescent="0.35">
      <c r="A39" s="398"/>
      <c r="B39" s="403"/>
      <c r="C39" s="403"/>
      <c r="D39" s="403"/>
      <c r="E39" s="403"/>
      <c r="F39" s="67"/>
      <c r="G39" s="402"/>
      <c r="H39" s="375"/>
      <c r="I39" s="402"/>
      <c r="J39" s="402"/>
      <c r="K39" s="402"/>
      <c r="L39" s="375"/>
      <c r="M39" s="376"/>
      <c r="N39" s="402"/>
      <c r="O39" s="477"/>
      <c r="P39" s="477"/>
      <c r="Q39" s="60" t="s">
        <v>96</v>
      </c>
      <c r="R39" s="52">
        <f>100%/11</f>
        <v>9.0909090909090912E-2</v>
      </c>
      <c r="S39" s="151">
        <f t="shared" si="0"/>
        <v>0</v>
      </c>
      <c r="T39" s="42"/>
      <c r="U39" s="42"/>
      <c r="V39" s="42"/>
      <c r="W39" s="42"/>
      <c r="X39" s="42"/>
      <c r="Y39" s="42"/>
      <c r="Z39" s="42"/>
      <c r="AA39" s="42"/>
      <c r="AB39" s="42"/>
      <c r="AC39" s="42"/>
      <c r="AD39" s="42"/>
      <c r="AE39" s="42"/>
      <c r="AF39" s="42"/>
      <c r="AG39" s="479"/>
      <c r="AH39" s="479"/>
      <c r="AI39" s="479"/>
      <c r="AJ39" s="479"/>
    </row>
    <row r="40" spans="1:36" ht="88.5" customHeight="1" x14ac:dyDescent="0.35">
      <c r="A40" s="384">
        <v>14</v>
      </c>
      <c r="B40" s="403" t="s">
        <v>515</v>
      </c>
      <c r="C40" s="403" t="s">
        <v>548</v>
      </c>
      <c r="D40" s="403" t="s">
        <v>254</v>
      </c>
      <c r="E40" s="403" t="s">
        <v>534</v>
      </c>
      <c r="F40" s="470" t="s">
        <v>151</v>
      </c>
      <c r="G40" s="374" t="s">
        <v>87</v>
      </c>
      <c r="H40" s="374" t="s">
        <v>261</v>
      </c>
      <c r="I40" s="374" t="s">
        <v>849</v>
      </c>
      <c r="J40" s="374" t="s">
        <v>850</v>
      </c>
      <c r="K40" s="374" t="s">
        <v>851</v>
      </c>
      <c r="L40" s="374" t="s">
        <v>852</v>
      </c>
      <c r="M40" s="374" t="s">
        <v>853</v>
      </c>
      <c r="N40" s="402" t="s">
        <v>520</v>
      </c>
      <c r="O40" s="477">
        <v>45658</v>
      </c>
      <c r="P40" s="477">
        <v>46022</v>
      </c>
      <c r="Q40" s="60" t="s">
        <v>91</v>
      </c>
      <c r="R40" s="53">
        <f>+(R41*S40)</f>
        <v>0</v>
      </c>
      <c r="S40" s="151">
        <f t="shared" si="0"/>
        <v>0</v>
      </c>
      <c r="T40" s="43"/>
      <c r="U40" s="43"/>
      <c r="V40" s="43"/>
      <c r="W40" s="43"/>
      <c r="X40" s="43"/>
      <c r="Y40" s="43"/>
      <c r="Z40" s="43"/>
      <c r="AA40" s="43"/>
      <c r="AB40" s="44"/>
      <c r="AC40" s="44"/>
      <c r="AD40" s="44"/>
      <c r="AE40" s="44"/>
      <c r="AF40" s="44"/>
      <c r="AG40" s="478"/>
      <c r="AH40" s="480"/>
      <c r="AI40" s="480"/>
      <c r="AJ40" s="480"/>
    </row>
    <row r="41" spans="1:36" ht="88.5" customHeight="1" x14ac:dyDescent="0.35">
      <c r="A41" s="398"/>
      <c r="B41" s="403"/>
      <c r="C41" s="403"/>
      <c r="D41" s="403"/>
      <c r="E41" s="403"/>
      <c r="F41" s="470"/>
      <c r="G41" s="376"/>
      <c r="H41" s="375"/>
      <c r="I41" s="376"/>
      <c r="J41" s="376"/>
      <c r="K41" s="375"/>
      <c r="L41" s="375"/>
      <c r="M41" s="376"/>
      <c r="N41" s="402"/>
      <c r="O41" s="477"/>
      <c r="P41" s="477"/>
      <c r="Q41" s="60" t="s">
        <v>96</v>
      </c>
      <c r="R41" s="52">
        <f>100%/11</f>
        <v>9.0909090909090912E-2</v>
      </c>
      <c r="S41" s="151">
        <f t="shared" si="0"/>
        <v>0</v>
      </c>
      <c r="T41" s="42"/>
      <c r="U41" s="42"/>
      <c r="V41" s="42"/>
      <c r="W41" s="42"/>
      <c r="X41" s="42"/>
      <c r="Y41" s="42"/>
      <c r="Z41" s="42"/>
      <c r="AA41" s="42"/>
      <c r="AB41" s="42"/>
      <c r="AC41" s="42"/>
      <c r="AD41" s="42"/>
      <c r="AE41" s="42"/>
      <c r="AF41" s="42"/>
      <c r="AG41" s="479"/>
      <c r="AH41" s="481"/>
      <c r="AI41" s="481"/>
      <c r="AJ41" s="481"/>
    </row>
    <row r="42" spans="1:36" ht="88.5" customHeight="1" x14ac:dyDescent="0.35">
      <c r="A42" s="384">
        <v>15</v>
      </c>
      <c r="B42" s="403" t="s">
        <v>515</v>
      </c>
      <c r="C42" s="403" t="s">
        <v>532</v>
      </c>
      <c r="D42" s="403" t="s">
        <v>84</v>
      </c>
      <c r="E42" s="403" t="s">
        <v>150</v>
      </c>
      <c r="F42" s="470" t="s">
        <v>151</v>
      </c>
      <c r="G42" s="374" t="s">
        <v>153</v>
      </c>
      <c r="H42" s="374"/>
      <c r="I42" s="471" t="s">
        <v>854</v>
      </c>
      <c r="J42" s="471" t="s">
        <v>855</v>
      </c>
      <c r="K42" s="471" t="s">
        <v>856</v>
      </c>
      <c r="L42" s="473" t="s">
        <v>490</v>
      </c>
      <c r="M42" s="475">
        <v>0</v>
      </c>
      <c r="N42" s="402" t="s">
        <v>520</v>
      </c>
      <c r="O42" s="477">
        <v>45659</v>
      </c>
      <c r="P42" s="477">
        <v>46022</v>
      </c>
      <c r="Q42" s="60" t="s">
        <v>91</v>
      </c>
      <c r="R42" s="53">
        <f>+(R43*S42)</f>
        <v>0</v>
      </c>
      <c r="S42" s="151">
        <f t="shared" ref="S42:S45" si="2">SUM(T42:AF42)</f>
        <v>0</v>
      </c>
      <c r="T42" s="43"/>
      <c r="U42" s="43"/>
      <c r="V42" s="43"/>
      <c r="W42" s="43"/>
      <c r="X42" s="43"/>
      <c r="Y42" s="43"/>
      <c r="Z42" s="43"/>
      <c r="AA42" s="43"/>
      <c r="AB42" s="44"/>
      <c r="AC42" s="44"/>
      <c r="AD42" s="44"/>
      <c r="AE42" s="44"/>
      <c r="AF42" s="44"/>
      <c r="AG42" s="478"/>
      <c r="AH42" s="480"/>
      <c r="AI42" s="480"/>
      <c r="AJ42" s="480"/>
    </row>
    <row r="43" spans="1:36" ht="88.5" customHeight="1" x14ac:dyDescent="0.35">
      <c r="A43" s="398"/>
      <c r="B43" s="403"/>
      <c r="C43" s="403"/>
      <c r="D43" s="403"/>
      <c r="E43" s="403"/>
      <c r="F43" s="470"/>
      <c r="G43" s="376"/>
      <c r="H43" s="375"/>
      <c r="I43" s="472"/>
      <c r="J43" s="472"/>
      <c r="K43" s="482"/>
      <c r="L43" s="474"/>
      <c r="M43" s="476"/>
      <c r="N43" s="402"/>
      <c r="O43" s="477"/>
      <c r="P43" s="477"/>
      <c r="Q43" s="60" t="s">
        <v>96</v>
      </c>
      <c r="R43" s="52">
        <f>100%/11</f>
        <v>9.0909090909090912E-2</v>
      </c>
      <c r="S43" s="151">
        <f t="shared" si="2"/>
        <v>0</v>
      </c>
      <c r="T43" s="42"/>
      <c r="U43" s="42"/>
      <c r="V43" s="42"/>
      <c r="W43" s="42"/>
      <c r="X43" s="42"/>
      <c r="Y43" s="42"/>
      <c r="Z43" s="42"/>
      <c r="AA43" s="42"/>
      <c r="AB43" s="42"/>
      <c r="AC43" s="42"/>
      <c r="AD43" s="42"/>
      <c r="AE43" s="42"/>
      <c r="AF43" s="42"/>
      <c r="AG43" s="479"/>
      <c r="AH43" s="481"/>
      <c r="AI43" s="481"/>
      <c r="AJ43" s="481"/>
    </row>
    <row r="44" spans="1:36" ht="88.5" customHeight="1" x14ac:dyDescent="0.35">
      <c r="A44" s="384">
        <v>16</v>
      </c>
      <c r="B44" s="403" t="s">
        <v>531</v>
      </c>
      <c r="C44" s="403" t="s">
        <v>527</v>
      </c>
      <c r="D44" s="403" t="s">
        <v>84</v>
      </c>
      <c r="E44" s="403" t="s">
        <v>112</v>
      </c>
      <c r="F44" s="470" t="s">
        <v>151</v>
      </c>
      <c r="G44" s="374" t="s">
        <v>153</v>
      </c>
      <c r="H44" s="374"/>
      <c r="I44" s="374" t="s">
        <v>858</v>
      </c>
      <c r="J44" s="374" t="s">
        <v>859</v>
      </c>
      <c r="K44" s="374" t="s">
        <v>860</v>
      </c>
      <c r="L44" s="473" t="s">
        <v>490</v>
      </c>
      <c r="M44" s="475">
        <v>1</v>
      </c>
      <c r="N44" s="402" t="s">
        <v>525</v>
      </c>
      <c r="O44" s="477">
        <v>45659</v>
      </c>
      <c r="P44" s="477">
        <v>46022</v>
      </c>
      <c r="Q44" s="60" t="s">
        <v>91</v>
      </c>
      <c r="R44" s="53">
        <f>+(R45*S44)</f>
        <v>0</v>
      </c>
      <c r="S44" s="151">
        <f t="shared" si="2"/>
        <v>0</v>
      </c>
      <c r="T44" s="43"/>
      <c r="U44" s="43"/>
      <c r="V44" s="43"/>
      <c r="W44" s="43"/>
      <c r="X44" s="43"/>
      <c r="Y44" s="43"/>
      <c r="Z44" s="43"/>
      <c r="AA44" s="43"/>
      <c r="AB44" s="44"/>
      <c r="AC44" s="44"/>
      <c r="AD44" s="44"/>
      <c r="AE44" s="44"/>
      <c r="AF44" s="44"/>
      <c r="AG44" s="478"/>
      <c r="AH44" s="480"/>
      <c r="AI44" s="480"/>
      <c r="AJ44" s="480"/>
    </row>
    <row r="45" spans="1:36" ht="88.5" customHeight="1" x14ac:dyDescent="0.35">
      <c r="A45" s="398"/>
      <c r="B45" s="403"/>
      <c r="C45" s="403"/>
      <c r="D45" s="403"/>
      <c r="E45" s="403"/>
      <c r="F45" s="470"/>
      <c r="G45" s="376"/>
      <c r="H45" s="375"/>
      <c r="I45" s="376"/>
      <c r="J45" s="376"/>
      <c r="K45" s="375"/>
      <c r="L45" s="474"/>
      <c r="M45" s="476"/>
      <c r="N45" s="402"/>
      <c r="O45" s="477"/>
      <c r="P45" s="477"/>
      <c r="Q45" s="60" t="s">
        <v>96</v>
      </c>
      <c r="R45" s="52">
        <f>100%/11</f>
        <v>9.0909090909090912E-2</v>
      </c>
      <c r="S45" s="151">
        <f t="shared" si="2"/>
        <v>0</v>
      </c>
      <c r="T45" s="42"/>
      <c r="U45" s="42"/>
      <c r="V45" s="42"/>
      <c r="W45" s="42"/>
      <c r="X45" s="42"/>
      <c r="Y45" s="42"/>
      <c r="Z45" s="42"/>
      <c r="AA45" s="42"/>
      <c r="AB45" s="42"/>
      <c r="AC45" s="42"/>
      <c r="AD45" s="42"/>
      <c r="AE45" s="42"/>
      <c r="AF45" s="42"/>
      <c r="AG45" s="479"/>
      <c r="AH45" s="481"/>
      <c r="AI45" s="481"/>
      <c r="AJ45" s="481"/>
    </row>
    <row r="46" spans="1:36" ht="88.5" customHeight="1" x14ac:dyDescent="0.35">
      <c r="A46" s="384">
        <v>17</v>
      </c>
      <c r="B46" s="403" t="s">
        <v>515</v>
      </c>
      <c r="C46" s="403" t="s">
        <v>550</v>
      </c>
      <c r="D46" s="403" t="s">
        <v>84</v>
      </c>
      <c r="E46" s="403" t="s">
        <v>123</v>
      </c>
      <c r="F46" s="470" t="s">
        <v>151</v>
      </c>
      <c r="G46" s="374" t="s">
        <v>124</v>
      </c>
      <c r="H46" s="374"/>
      <c r="I46" s="374" t="s">
        <v>610</v>
      </c>
      <c r="J46" s="374" t="s">
        <v>610</v>
      </c>
      <c r="K46" s="374" t="s">
        <v>611</v>
      </c>
      <c r="L46" s="374" t="s">
        <v>605</v>
      </c>
      <c r="M46" s="374" t="s">
        <v>152</v>
      </c>
      <c r="N46" s="402" t="s">
        <v>520</v>
      </c>
      <c r="O46" s="477">
        <v>45659</v>
      </c>
      <c r="P46" s="477">
        <v>46022</v>
      </c>
      <c r="Q46" s="60" t="s">
        <v>91</v>
      </c>
      <c r="R46" s="53">
        <f>+(R47*S46)</f>
        <v>0</v>
      </c>
      <c r="S46" s="151">
        <f t="shared" ref="S46:S51" si="3">SUM(T46:AF46)</f>
        <v>0</v>
      </c>
      <c r="T46" s="43"/>
      <c r="U46" s="43"/>
      <c r="V46" s="43"/>
      <c r="W46" s="43"/>
      <c r="X46" s="43"/>
      <c r="Y46" s="43"/>
      <c r="Z46" s="43"/>
      <c r="AA46" s="43"/>
      <c r="AB46" s="44"/>
      <c r="AC46" s="44"/>
      <c r="AD46" s="44"/>
      <c r="AE46" s="44"/>
      <c r="AF46" s="44"/>
      <c r="AG46" s="478"/>
      <c r="AH46" s="480"/>
      <c r="AI46" s="480"/>
      <c r="AJ46" s="480"/>
    </row>
    <row r="47" spans="1:36" ht="88.5" customHeight="1" x14ac:dyDescent="0.35">
      <c r="A47" s="398"/>
      <c r="B47" s="403"/>
      <c r="C47" s="403"/>
      <c r="D47" s="403"/>
      <c r="E47" s="403"/>
      <c r="F47" s="470"/>
      <c r="G47" s="375"/>
      <c r="H47" s="375"/>
      <c r="I47" s="375"/>
      <c r="J47" s="375"/>
      <c r="K47" s="375"/>
      <c r="L47" s="375"/>
      <c r="M47" s="376"/>
      <c r="N47" s="402"/>
      <c r="O47" s="477"/>
      <c r="P47" s="477"/>
      <c r="Q47" s="60" t="s">
        <v>96</v>
      </c>
      <c r="R47" s="52">
        <f>100%/11</f>
        <v>9.0909090909090912E-2</v>
      </c>
      <c r="S47" s="151">
        <f t="shared" si="3"/>
        <v>0</v>
      </c>
      <c r="T47" s="42"/>
      <c r="U47" s="42"/>
      <c r="V47" s="42"/>
      <c r="W47" s="42"/>
      <c r="X47" s="42"/>
      <c r="Y47" s="42"/>
      <c r="Z47" s="42"/>
      <c r="AA47" s="42"/>
      <c r="AB47" s="42"/>
      <c r="AC47" s="42"/>
      <c r="AD47" s="42"/>
      <c r="AE47" s="42"/>
      <c r="AF47" s="42"/>
      <c r="AG47" s="479"/>
      <c r="AH47" s="481"/>
      <c r="AI47" s="481"/>
      <c r="AJ47" s="481"/>
    </row>
    <row r="48" spans="1:36" ht="88.5" customHeight="1" x14ac:dyDescent="0.35">
      <c r="A48" s="384">
        <v>18</v>
      </c>
      <c r="B48" s="403" t="s">
        <v>521</v>
      </c>
      <c r="C48" s="403" t="s">
        <v>548</v>
      </c>
      <c r="D48" s="403" t="s">
        <v>84</v>
      </c>
      <c r="E48" s="403" t="s">
        <v>85</v>
      </c>
      <c r="F48" s="470" t="s">
        <v>151</v>
      </c>
      <c r="G48" s="374" t="s">
        <v>87</v>
      </c>
      <c r="H48" s="374"/>
      <c r="I48" s="471" t="s">
        <v>861</v>
      </c>
      <c r="J48" s="471" t="s">
        <v>862</v>
      </c>
      <c r="K48" s="471" t="s">
        <v>863</v>
      </c>
      <c r="L48" s="473" t="s">
        <v>448</v>
      </c>
      <c r="M48" s="374">
        <v>0</v>
      </c>
      <c r="N48" s="402" t="s">
        <v>520</v>
      </c>
      <c r="O48" s="477">
        <v>45658</v>
      </c>
      <c r="P48" s="477">
        <v>46022</v>
      </c>
      <c r="Q48" s="60" t="s">
        <v>91</v>
      </c>
      <c r="R48" s="53">
        <f>+(R49*S48)</f>
        <v>0</v>
      </c>
      <c r="S48" s="151">
        <f t="shared" ref="S48:S49" si="4">SUM(T48:AF48)</f>
        <v>0</v>
      </c>
      <c r="T48" s="43"/>
      <c r="U48" s="43"/>
      <c r="V48" s="43"/>
      <c r="W48" s="43"/>
      <c r="X48" s="43"/>
      <c r="Y48" s="43"/>
      <c r="Z48" s="43"/>
      <c r="AA48" s="43"/>
      <c r="AB48" s="44"/>
      <c r="AC48" s="44"/>
      <c r="AD48" s="44"/>
      <c r="AE48" s="44"/>
      <c r="AF48" s="44"/>
      <c r="AG48" s="478"/>
      <c r="AH48" s="480"/>
      <c r="AI48" s="480"/>
      <c r="AJ48" s="480"/>
    </row>
    <row r="49" spans="1:36" ht="88.5" customHeight="1" x14ac:dyDescent="0.35">
      <c r="A49" s="398"/>
      <c r="B49" s="403"/>
      <c r="C49" s="403"/>
      <c r="D49" s="403"/>
      <c r="E49" s="403"/>
      <c r="F49" s="470"/>
      <c r="G49" s="376"/>
      <c r="H49" s="375"/>
      <c r="I49" s="472"/>
      <c r="J49" s="472"/>
      <c r="K49" s="482"/>
      <c r="L49" s="474"/>
      <c r="M49" s="376"/>
      <c r="N49" s="402"/>
      <c r="O49" s="477"/>
      <c r="P49" s="477"/>
      <c r="Q49" s="60" t="s">
        <v>96</v>
      </c>
      <c r="R49" s="52">
        <f>100%/11</f>
        <v>9.0909090909090912E-2</v>
      </c>
      <c r="S49" s="151">
        <f t="shared" si="4"/>
        <v>0</v>
      </c>
      <c r="T49" s="42"/>
      <c r="U49" s="42"/>
      <c r="V49" s="42"/>
      <c r="W49" s="42"/>
      <c r="X49" s="42"/>
      <c r="Y49" s="42"/>
      <c r="Z49" s="42"/>
      <c r="AA49" s="42"/>
      <c r="AB49" s="42"/>
      <c r="AC49" s="42"/>
      <c r="AD49" s="42"/>
      <c r="AE49" s="42"/>
      <c r="AF49" s="42"/>
      <c r="AG49" s="479"/>
      <c r="AH49" s="481"/>
      <c r="AI49" s="481"/>
      <c r="AJ49" s="481"/>
    </row>
    <row r="50" spans="1:36" ht="88.5" customHeight="1" x14ac:dyDescent="0.35">
      <c r="A50" s="384">
        <v>19</v>
      </c>
      <c r="B50" s="403" t="s">
        <v>515</v>
      </c>
      <c r="C50" s="403" t="s">
        <v>546</v>
      </c>
      <c r="D50" s="403" t="s">
        <v>157</v>
      </c>
      <c r="E50" s="403" t="s">
        <v>558</v>
      </c>
      <c r="F50" s="470" t="s">
        <v>151</v>
      </c>
      <c r="G50" s="374" t="s">
        <v>87</v>
      </c>
      <c r="H50" s="374" t="s">
        <v>261</v>
      </c>
      <c r="I50" s="374" t="s">
        <v>849</v>
      </c>
      <c r="J50" s="374" t="s">
        <v>850</v>
      </c>
      <c r="K50" s="374" t="s">
        <v>851</v>
      </c>
      <c r="L50" s="374" t="s">
        <v>852</v>
      </c>
      <c r="M50" s="374" t="s">
        <v>853</v>
      </c>
      <c r="N50" s="402" t="s">
        <v>520</v>
      </c>
      <c r="O50" s="477">
        <v>45658</v>
      </c>
      <c r="P50" s="477">
        <v>46022</v>
      </c>
      <c r="Q50" s="60" t="s">
        <v>91</v>
      </c>
      <c r="R50" s="53">
        <f>+(R51*S50)</f>
        <v>0</v>
      </c>
      <c r="S50" s="151">
        <f t="shared" si="3"/>
        <v>0</v>
      </c>
      <c r="T50" s="147"/>
      <c r="U50" s="147"/>
      <c r="V50" s="148"/>
      <c r="W50" s="148"/>
      <c r="X50" s="150"/>
      <c r="Y50" s="150"/>
      <c r="Z50" s="150"/>
      <c r="AA50" s="150"/>
      <c r="AB50" s="150"/>
      <c r="AC50" s="149"/>
      <c r="AD50" s="149"/>
      <c r="AE50" s="149"/>
      <c r="AF50" s="149"/>
      <c r="AG50" s="478"/>
      <c r="AH50" s="478"/>
      <c r="AI50" s="478"/>
      <c r="AJ50" s="478"/>
    </row>
    <row r="51" spans="1:36" ht="88.5" customHeight="1" x14ac:dyDescent="0.35">
      <c r="A51" s="398"/>
      <c r="B51" s="403"/>
      <c r="C51" s="403"/>
      <c r="D51" s="403"/>
      <c r="E51" s="403"/>
      <c r="F51" s="470"/>
      <c r="G51" s="376"/>
      <c r="H51" s="375"/>
      <c r="I51" s="376"/>
      <c r="J51" s="376"/>
      <c r="K51" s="375"/>
      <c r="L51" s="375"/>
      <c r="M51" s="376"/>
      <c r="N51" s="402"/>
      <c r="O51" s="477"/>
      <c r="P51" s="477"/>
      <c r="Q51" s="60" t="s">
        <v>96</v>
      </c>
      <c r="R51" s="52">
        <f>100%/11</f>
        <v>9.0909090909090912E-2</v>
      </c>
      <c r="S51" s="151">
        <f t="shared" si="3"/>
        <v>0</v>
      </c>
      <c r="T51" s="89"/>
      <c r="U51" s="89"/>
      <c r="V51" s="89"/>
      <c r="W51" s="89"/>
      <c r="X51" s="89"/>
      <c r="Y51" s="89"/>
      <c r="Z51" s="89"/>
      <c r="AA51" s="89"/>
      <c r="AB51" s="89"/>
      <c r="AC51" s="89"/>
      <c r="AD51" s="89"/>
      <c r="AE51" s="89"/>
      <c r="AF51" s="89"/>
      <c r="AG51" s="481"/>
      <c r="AH51" s="481"/>
      <c r="AI51" s="481"/>
      <c r="AJ51" s="481"/>
    </row>
    <row r="52" spans="1:36" ht="88.5" customHeight="1" x14ac:dyDescent="0.35">
      <c r="A52" s="403">
        <v>20</v>
      </c>
      <c r="B52" s="403" t="s">
        <v>515</v>
      </c>
      <c r="C52" s="403" t="s">
        <v>550</v>
      </c>
      <c r="D52" s="403" t="s">
        <v>533</v>
      </c>
      <c r="E52" s="403" t="s">
        <v>560</v>
      </c>
      <c r="F52" s="470" t="s">
        <v>151</v>
      </c>
      <c r="G52" s="402" t="s">
        <v>261</v>
      </c>
      <c r="H52" s="374" t="s">
        <v>585</v>
      </c>
      <c r="I52" s="469" t="s">
        <v>612</v>
      </c>
      <c r="J52" s="469" t="s">
        <v>613</v>
      </c>
      <c r="K52" s="469" t="s">
        <v>614</v>
      </c>
      <c r="L52" s="374" t="s">
        <v>605</v>
      </c>
      <c r="M52" s="374" t="s">
        <v>152</v>
      </c>
      <c r="N52" s="402" t="s">
        <v>520</v>
      </c>
      <c r="O52" s="477">
        <v>45658</v>
      </c>
      <c r="P52" s="477">
        <v>46022</v>
      </c>
      <c r="Q52" s="60"/>
      <c r="R52" s="52"/>
      <c r="S52" s="151"/>
      <c r="T52" s="89"/>
      <c r="U52" s="89"/>
      <c r="V52" s="89"/>
      <c r="W52" s="89"/>
      <c r="X52" s="89"/>
      <c r="Y52" s="89"/>
      <c r="Z52" s="89"/>
      <c r="AA52" s="89"/>
      <c r="AB52" s="89"/>
      <c r="AC52" s="89"/>
      <c r="AD52" s="89"/>
      <c r="AE52" s="89"/>
      <c r="AF52" s="89"/>
      <c r="AG52" s="184"/>
      <c r="AH52" s="184"/>
      <c r="AI52" s="184"/>
      <c r="AJ52" s="184"/>
    </row>
    <row r="53" spans="1:36" ht="88.5" customHeight="1" x14ac:dyDescent="0.35">
      <c r="A53" s="403"/>
      <c r="B53" s="403"/>
      <c r="C53" s="403"/>
      <c r="D53" s="403"/>
      <c r="E53" s="403"/>
      <c r="F53" s="470"/>
      <c r="G53" s="402"/>
      <c r="H53" s="375"/>
      <c r="I53" s="469"/>
      <c r="J53" s="469"/>
      <c r="K53" s="469"/>
      <c r="L53" s="375"/>
      <c r="M53" s="375"/>
      <c r="N53" s="402"/>
      <c r="O53" s="477"/>
      <c r="P53" s="477"/>
      <c r="Q53" s="60"/>
      <c r="R53" s="52"/>
      <c r="S53" s="151"/>
      <c r="T53" s="89"/>
      <c r="U53" s="89"/>
      <c r="V53" s="89"/>
      <c r="W53" s="89"/>
      <c r="X53" s="89"/>
      <c r="Y53" s="89"/>
      <c r="Z53" s="89"/>
      <c r="AA53" s="89"/>
      <c r="AB53" s="89"/>
      <c r="AC53" s="89"/>
      <c r="AD53" s="89"/>
      <c r="AE53" s="89"/>
      <c r="AF53" s="89"/>
      <c r="AG53" s="184"/>
      <c r="AH53" s="184"/>
      <c r="AI53" s="184"/>
      <c r="AJ53" s="184"/>
    </row>
    <row r="55" spans="1:36" ht="15" hidden="1" customHeight="1" x14ac:dyDescent="0.35">
      <c r="B55" s="371" t="s">
        <v>51</v>
      </c>
      <c r="C55" s="371" t="s">
        <v>52</v>
      </c>
      <c r="D55" s="371" t="s">
        <v>53</v>
      </c>
      <c r="E55" s="371" t="s">
        <v>54</v>
      </c>
      <c r="F55" s="371" t="s">
        <v>30</v>
      </c>
      <c r="G55" s="373" t="s">
        <v>55</v>
      </c>
      <c r="M55" s="373" t="s">
        <v>509</v>
      </c>
    </row>
    <row r="56" spans="1:36" ht="15" hidden="1" customHeight="1" x14ac:dyDescent="0.35">
      <c r="B56" s="372"/>
      <c r="C56" s="372"/>
      <c r="D56" s="372"/>
      <c r="E56" s="372"/>
      <c r="F56" s="372"/>
      <c r="G56" s="372"/>
      <c r="M56" s="372"/>
    </row>
    <row r="57" spans="1:36" ht="15" hidden="1" customHeight="1" x14ac:dyDescent="0.35">
      <c r="B57" s="1" t="s">
        <v>510</v>
      </c>
      <c r="C57" s="13" t="s">
        <v>829</v>
      </c>
      <c r="D57" s="1" t="s">
        <v>118</v>
      </c>
      <c r="E57" s="1" t="s">
        <v>119</v>
      </c>
      <c r="F57" s="1" t="s">
        <v>512</v>
      </c>
      <c r="G57" s="1" t="s">
        <v>513</v>
      </c>
      <c r="M57" s="13" t="s">
        <v>514</v>
      </c>
    </row>
    <row r="58" spans="1:36" ht="15" hidden="1" customHeight="1" x14ac:dyDescent="0.35">
      <c r="B58" s="1" t="s">
        <v>515</v>
      </c>
      <c r="C58" s="13" t="s">
        <v>830</v>
      </c>
      <c r="D58" s="1" t="s">
        <v>254</v>
      </c>
      <c r="E58" s="1" t="s">
        <v>517</v>
      </c>
      <c r="F58" s="1" t="s">
        <v>518</v>
      </c>
      <c r="G58" s="1" t="s">
        <v>519</v>
      </c>
      <c r="M58" s="13" t="s">
        <v>520</v>
      </c>
    </row>
    <row r="59" spans="1:36" ht="15" hidden="1" customHeight="1" x14ac:dyDescent="0.35">
      <c r="B59" s="1" t="s">
        <v>521</v>
      </c>
      <c r="C59" s="13" t="s">
        <v>826</v>
      </c>
      <c r="D59" s="1" t="s">
        <v>84</v>
      </c>
      <c r="E59" s="1" t="s">
        <v>255</v>
      </c>
      <c r="F59" s="1" t="s">
        <v>523</v>
      </c>
      <c r="G59" s="1" t="s">
        <v>524</v>
      </c>
      <c r="M59" s="13" t="s">
        <v>525</v>
      </c>
    </row>
    <row r="60" spans="1:36" ht="15" hidden="1" customHeight="1" x14ac:dyDescent="0.35">
      <c r="B60" s="1" t="s">
        <v>526</v>
      </c>
      <c r="C60" s="13" t="s">
        <v>827</v>
      </c>
      <c r="D60" s="1" t="s">
        <v>157</v>
      </c>
      <c r="E60" s="1" t="s">
        <v>528</v>
      </c>
      <c r="F60" s="1" t="s">
        <v>529</v>
      </c>
      <c r="G60" s="1" t="s">
        <v>530</v>
      </c>
    </row>
    <row r="61" spans="1:36" ht="15" hidden="1" customHeight="1" x14ac:dyDescent="0.35">
      <c r="B61" s="1" t="s">
        <v>531</v>
      </c>
      <c r="C61" s="13" t="s">
        <v>828</v>
      </c>
      <c r="D61" s="1" t="s">
        <v>533</v>
      </c>
      <c r="E61" s="1" t="s">
        <v>534</v>
      </c>
      <c r="F61" s="1" t="s">
        <v>535</v>
      </c>
      <c r="G61" s="1" t="s">
        <v>536</v>
      </c>
    </row>
    <row r="62" spans="1:36" ht="15" hidden="1" customHeight="1" x14ac:dyDescent="0.35">
      <c r="B62" s="1" t="s">
        <v>537</v>
      </c>
      <c r="C62" s="13" t="s">
        <v>825</v>
      </c>
      <c r="D62" s="1" t="s">
        <v>539</v>
      </c>
      <c r="E62" s="1" t="s">
        <v>150</v>
      </c>
      <c r="F62" s="1" t="s">
        <v>244</v>
      </c>
      <c r="G62" s="1" t="s">
        <v>384</v>
      </c>
    </row>
    <row r="63" spans="1:36" ht="15" hidden="1" customHeight="1" x14ac:dyDescent="0.35">
      <c r="B63" s="1" t="s">
        <v>540</v>
      </c>
      <c r="C63" s="13" t="s">
        <v>823</v>
      </c>
      <c r="D63" s="1" t="s">
        <v>542</v>
      </c>
      <c r="E63" s="1" t="s">
        <v>112</v>
      </c>
      <c r="F63" s="1" t="s">
        <v>543</v>
      </c>
      <c r="G63" s="1" t="s">
        <v>544</v>
      </c>
    </row>
    <row r="64" spans="1:36" ht="15" hidden="1" customHeight="1" x14ac:dyDescent="0.35">
      <c r="B64" s="1" t="s">
        <v>545</v>
      </c>
      <c r="C64" s="13" t="s">
        <v>821</v>
      </c>
      <c r="E64" s="1" t="s">
        <v>451</v>
      </c>
      <c r="F64" s="1" t="s">
        <v>547</v>
      </c>
      <c r="G64" s="1" t="s">
        <v>426</v>
      </c>
    </row>
    <row r="65" spans="3:7" ht="15" hidden="1" customHeight="1" x14ac:dyDescent="0.35">
      <c r="C65" s="13" t="s">
        <v>822</v>
      </c>
      <c r="E65" s="1" t="s">
        <v>123</v>
      </c>
      <c r="F65" s="1" t="s">
        <v>549</v>
      </c>
      <c r="G65" s="1" t="s">
        <v>97</v>
      </c>
    </row>
    <row r="66" spans="3:7" ht="15" hidden="1" customHeight="1" x14ac:dyDescent="0.35">
      <c r="C66" s="13" t="s">
        <v>824</v>
      </c>
      <c r="E66" s="1" t="s">
        <v>551</v>
      </c>
      <c r="F66" s="1" t="s">
        <v>552</v>
      </c>
      <c r="G66" s="1" t="s">
        <v>120</v>
      </c>
    </row>
    <row r="67" spans="3:7" ht="15" hidden="1" customHeight="1" x14ac:dyDescent="0.35">
      <c r="E67" s="1" t="s">
        <v>85</v>
      </c>
      <c r="F67" s="1" t="s">
        <v>553</v>
      </c>
      <c r="G67" s="1" t="s">
        <v>108</v>
      </c>
    </row>
    <row r="68" spans="3:7" ht="15" hidden="1" customHeight="1" x14ac:dyDescent="0.35">
      <c r="E68" s="1" t="s">
        <v>554</v>
      </c>
      <c r="F68" s="1" t="s">
        <v>555</v>
      </c>
      <c r="G68" s="1" t="s">
        <v>556</v>
      </c>
    </row>
    <row r="69" spans="3:7" ht="15" hidden="1" customHeight="1" x14ac:dyDescent="0.35">
      <c r="E69" s="1" t="s">
        <v>154</v>
      </c>
      <c r="G69" s="1" t="s">
        <v>557</v>
      </c>
    </row>
    <row r="70" spans="3:7" ht="15" hidden="1" customHeight="1" x14ac:dyDescent="0.35">
      <c r="E70" s="1" t="s">
        <v>558</v>
      </c>
      <c r="G70" s="1" t="s">
        <v>559</v>
      </c>
    </row>
    <row r="71" spans="3:7" ht="15" hidden="1" customHeight="1" x14ac:dyDescent="0.35">
      <c r="E71" s="1" t="s">
        <v>560</v>
      </c>
      <c r="G71" s="1" t="s">
        <v>561</v>
      </c>
    </row>
    <row r="72" spans="3:7" ht="15" hidden="1" customHeight="1" x14ac:dyDescent="0.35">
      <c r="E72" s="1" t="s">
        <v>107</v>
      </c>
      <c r="G72" s="1" t="s">
        <v>562</v>
      </c>
    </row>
    <row r="73" spans="3:7" ht="15" hidden="1" customHeight="1" x14ac:dyDescent="0.35">
      <c r="E73" s="1" t="s">
        <v>563</v>
      </c>
      <c r="G73" s="1" t="s">
        <v>564</v>
      </c>
    </row>
    <row r="74" spans="3:7" ht="15" hidden="1" customHeight="1" x14ac:dyDescent="0.35">
      <c r="E74" s="1" t="s">
        <v>565</v>
      </c>
      <c r="G74" s="1" t="s">
        <v>566</v>
      </c>
    </row>
    <row r="75" spans="3:7" ht="15" hidden="1" customHeight="1" x14ac:dyDescent="0.35">
      <c r="E75" s="1" t="s">
        <v>567</v>
      </c>
      <c r="G75" s="1" t="s">
        <v>568</v>
      </c>
    </row>
    <row r="76" spans="3:7" ht="15" hidden="1" customHeight="1" x14ac:dyDescent="0.35">
      <c r="G76" s="1" t="s">
        <v>569</v>
      </c>
    </row>
    <row r="77" spans="3:7" ht="15" hidden="1" customHeight="1" x14ac:dyDescent="0.35">
      <c r="G77" s="1" t="s">
        <v>570</v>
      </c>
    </row>
    <row r="78" spans="3:7" ht="15" hidden="1" customHeight="1" x14ac:dyDescent="0.35">
      <c r="G78" s="1" t="s">
        <v>571</v>
      </c>
    </row>
    <row r="79" spans="3:7" ht="15" hidden="1" customHeight="1" x14ac:dyDescent="0.35">
      <c r="G79" s="1" t="s">
        <v>572</v>
      </c>
    </row>
    <row r="80" spans="3:7" ht="15" hidden="1" customHeight="1" x14ac:dyDescent="0.35">
      <c r="G80" s="1" t="s">
        <v>573</v>
      </c>
    </row>
    <row r="81" spans="7:7" ht="15" hidden="1" customHeight="1" x14ac:dyDescent="0.35">
      <c r="G81" s="1" t="s">
        <v>574</v>
      </c>
    </row>
    <row r="82" spans="7:7" ht="15" hidden="1" customHeight="1" x14ac:dyDescent="0.35">
      <c r="G82" s="1" t="s">
        <v>575</v>
      </c>
    </row>
    <row r="83" spans="7:7" ht="15" hidden="1" customHeight="1" x14ac:dyDescent="0.35">
      <c r="G83" s="1" t="s">
        <v>576</v>
      </c>
    </row>
    <row r="84" spans="7:7" ht="15" hidden="1" customHeight="1" x14ac:dyDescent="0.35">
      <c r="G84" s="1" t="s">
        <v>577</v>
      </c>
    </row>
    <row r="85" spans="7:7" ht="15" hidden="1" customHeight="1" x14ac:dyDescent="0.35">
      <c r="G85" s="1" t="s">
        <v>578</v>
      </c>
    </row>
    <row r="86" spans="7:7" ht="15" hidden="1" customHeight="1" x14ac:dyDescent="0.35">
      <c r="G86" s="1" t="s">
        <v>579</v>
      </c>
    </row>
    <row r="87" spans="7:7" ht="15" hidden="1" customHeight="1" x14ac:dyDescent="0.35">
      <c r="G87" s="1" t="s">
        <v>580</v>
      </c>
    </row>
    <row r="88" spans="7:7" ht="15" hidden="1" customHeight="1" x14ac:dyDescent="0.35">
      <c r="G88" s="1" t="s">
        <v>581</v>
      </c>
    </row>
    <row r="89" spans="7:7" ht="15" hidden="1" customHeight="1" x14ac:dyDescent="0.35">
      <c r="G89" s="1" t="s">
        <v>582</v>
      </c>
    </row>
    <row r="90" spans="7:7" ht="15" hidden="1" customHeight="1" x14ac:dyDescent="0.35">
      <c r="G90" s="1" t="s">
        <v>124</v>
      </c>
    </row>
    <row r="91" spans="7:7" ht="15" hidden="1" customHeight="1" x14ac:dyDescent="0.35">
      <c r="G91" s="1" t="s">
        <v>583</v>
      </c>
    </row>
    <row r="92" spans="7:7" ht="15" hidden="1" customHeight="1" x14ac:dyDescent="0.35">
      <c r="G92" s="1" t="s">
        <v>584</v>
      </c>
    </row>
    <row r="93" spans="7:7" ht="15" hidden="1" customHeight="1" x14ac:dyDescent="0.35">
      <c r="G93" s="1" t="s">
        <v>585</v>
      </c>
    </row>
    <row r="94" spans="7:7" ht="15" hidden="1" customHeight="1" x14ac:dyDescent="0.35">
      <c r="G94" s="1" t="s">
        <v>586</v>
      </c>
    </row>
    <row r="95" spans="7:7" ht="15" hidden="1" customHeight="1" x14ac:dyDescent="0.35">
      <c r="G95" s="1" t="s">
        <v>87</v>
      </c>
    </row>
    <row r="96" spans="7:7" ht="15" hidden="1" customHeight="1" x14ac:dyDescent="0.35">
      <c r="G96" s="1" t="s">
        <v>587</v>
      </c>
    </row>
    <row r="97" spans="7:7" ht="15" hidden="1" customHeight="1" x14ac:dyDescent="0.35">
      <c r="G97" s="1" t="s">
        <v>588</v>
      </c>
    </row>
    <row r="98" spans="7:7" ht="15" hidden="1" customHeight="1" x14ac:dyDescent="0.35">
      <c r="G98" s="1" t="s">
        <v>261</v>
      </c>
    </row>
    <row r="99" spans="7:7" ht="15" hidden="1" customHeight="1" x14ac:dyDescent="0.35">
      <c r="G99" s="1" t="s">
        <v>589</v>
      </c>
    </row>
    <row r="100" spans="7:7" ht="15" hidden="1" customHeight="1" x14ac:dyDescent="0.35">
      <c r="G100" s="1" t="s">
        <v>590</v>
      </c>
    </row>
    <row r="101" spans="7:7" ht="15" hidden="1" customHeight="1" x14ac:dyDescent="0.35">
      <c r="G101" s="1" t="s">
        <v>591</v>
      </c>
    </row>
    <row r="102" spans="7:7" ht="15" hidden="1" customHeight="1" x14ac:dyDescent="0.35">
      <c r="G102" s="1" t="s">
        <v>592</v>
      </c>
    </row>
    <row r="103" spans="7:7" ht="15" hidden="1" customHeight="1" x14ac:dyDescent="0.35">
      <c r="G103" s="1" t="s">
        <v>593</v>
      </c>
    </row>
    <row r="104" spans="7:7" ht="15" hidden="1" customHeight="1" x14ac:dyDescent="0.35">
      <c r="G104" s="1" t="s">
        <v>594</v>
      </c>
    </row>
    <row r="105" spans="7:7" ht="15" hidden="1" customHeight="1" x14ac:dyDescent="0.35">
      <c r="G105" s="1" t="s">
        <v>595</v>
      </c>
    </row>
    <row r="106" spans="7:7" ht="15" hidden="1" customHeight="1" x14ac:dyDescent="0.35">
      <c r="G106" s="1" t="s">
        <v>596</v>
      </c>
    </row>
    <row r="107" spans="7:7" ht="15" hidden="1" customHeight="1" x14ac:dyDescent="0.35">
      <c r="G107" s="1" t="s">
        <v>597</v>
      </c>
    </row>
    <row r="108" spans="7:7" ht="15" hidden="1" customHeight="1" x14ac:dyDescent="0.35">
      <c r="G108" s="1" t="s">
        <v>259</v>
      </c>
    </row>
    <row r="109" spans="7:7" ht="15" hidden="1" customHeight="1" x14ac:dyDescent="0.35">
      <c r="G109" s="1" t="s">
        <v>39</v>
      </c>
    </row>
    <row r="110" spans="7:7" ht="15" hidden="1" customHeight="1" x14ac:dyDescent="0.35">
      <c r="G110" s="1" t="s">
        <v>153</v>
      </c>
    </row>
    <row r="111" spans="7:7" ht="15" hidden="1" customHeight="1" x14ac:dyDescent="0.35">
      <c r="G111" s="1" t="s">
        <v>598</v>
      </c>
    </row>
    <row r="112" spans="7:7" ht="15" hidden="1" customHeight="1" x14ac:dyDescent="0.35">
      <c r="G112" s="1" t="s">
        <v>599</v>
      </c>
    </row>
    <row r="113" spans="7:7" ht="15" hidden="1" customHeight="1" x14ac:dyDescent="0.35">
      <c r="G113" s="1" t="s">
        <v>600</v>
      </c>
    </row>
    <row r="114" spans="7:7" ht="15" hidden="1" customHeight="1" x14ac:dyDescent="0.35">
      <c r="G114" s="1" t="s">
        <v>601</v>
      </c>
    </row>
    <row r="115" spans="7:7" ht="15" hidden="1" customHeight="1" x14ac:dyDescent="0.35">
      <c r="G115" s="1" t="s">
        <v>602</v>
      </c>
    </row>
    <row r="116" spans="7:7" ht="15" hidden="1" customHeight="1" x14ac:dyDescent="0.35">
      <c r="G116" s="1" t="s">
        <v>603</v>
      </c>
    </row>
  </sheetData>
  <sheetProtection formatCells="0" formatColumns="0" formatRows="0" insertColumns="0" insertRows="0" insertHyperlinks="0" deleteColumns="0" deleteRows="0" sort="0" autoFilter="0" pivotTables="0"/>
  <autoFilter ref="D12:I53" xr:uid="{47330F22-B3B3-4045-8856-ACFFB1302C97}"/>
  <mergeCells count="419">
    <mergeCell ref="A28:A29"/>
    <mergeCell ref="A30:A31"/>
    <mergeCell ref="A32:A33"/>
    <mergeCell ref="A34:A35"/>
    <mergeCell ref="L20:L21"/>
    <mergeCell ref="M20:M21"/>
    <mergeCell ref="N20:N21"/>
    <mergeCell ref="O20:O21"/>
    <mergeCell ref="P20:P21"/>
    <mergeCell ref="A20:A21"/>
    <mergeCell ref="A22:A23"/>
    <mergeCell ref="A24:A25"/>
    <mergeCell ref="A26:A27"/>
    <mergeCell ref="C20:C21"/>
    <mergeCell ref="D20:D21"/>
    <mergeCell ref="E20:E21"/>
    <mergeCell ref="F20:F21"/>
    <mergeCell ref="G20:G21"/>
    <mergeCell ref="I20:I21"/>
    <mergeCell ref="J20:J21"/>
    <mergeCell ref="K20:K21"/>
    <mergeCell ref="P24:P25"/>
    <mergeCell ref="B22:B23"/>
    <mergeCell ref="C22:C23"/>
    <mergeCell ref="D22:D23"/>
    <mergeCell ref="E22:E23"/>
    <mergeCell ref="F22:F23"/>
    <mergeCell ref="G22:G23"/>
    <mergeCell ref="I22:I23"/>
    <mergeCell ref="J22:J23"/>
    <mergeCell ref="K22:K23"/>
    <mergeCell ref="L22:L23"/>
    <mergeCell ref="M22:M23"/>
    <mergeCell ref="G28:G29"/>
    <mergeCell ref="I28:I29"/>
    <mergeCell ref="N22:N23"/>
    <mergeCell ref="O22:O23"/>
    <mergeCell ref="P22:P23"/>
    <mergeCell ref="G24:G25"/>
    <mergeCell ref="I24:I25"/>
    <mergeCell ref="J24:J25"/>
    <mergeCell ref="K24:K25"/>
    <mergeCell ref="L24:L25"/>
    <mergeCell ref="M24:M25"/>
    <mergeCell ref="N24:N25"/>
    <mergeCell ref="O24:O25"/>
    <mergeCell ref="O32:O33"/>
    <mergeCell ref="P32:P33"/>
    <mergeCell ref="N30:N31"/>
    <mergeCell ref="O30:O31"/>
    <mergeCell ref="P30:P31"/>
    <mergeCell ref="B26:B27"/>
    <mergeCell ref="C26:C27"/>
    <mergeCell ref="D26:D27"/>
    <mergeCell ref="E26:E27"/>
    <mergeCell ref="F26:F27"/>
    <mergeCell ref="G26:G27"/>
    <mergeCell ref="I26:I27"/>
    <mergeCell ref="J26:J27"/>
    <mergeCell ref="K26:K27"/>
    <mergeCell ref="L26:L27"/>
    <mergeCell ref="M26:M27"/>
    <mergeCell ref="N26:N27"/>
    <mergeCell ref="O26:O27"/>
    <mergeCell ref="P26:P27"/>
    <mergeCell ref="B28:B29"/>
    <mergeCell ref="C28:C29"/>
    <mergeCell ref="D28:D29"/>
    <mergeCell ref="E28:E29"/>
    <mergeCell ref="F28:F29"/>
    <mergeCell ref="K28:K29"/>
    <mergeCell ref="L28:L29"/>
    <mergeCell ref="M28:M29"/>
    <mergeCell ref="N28:N29"/>
    <mergeCell ref="O28:O29"/>
    <mergeCell ref="P28:P29"/>
    <mergeCell ref="B34:B35"/>
    <mergeCell ref="C34:C35"/>
    <mergeCell ref="D34:D35"/>
    <mergeCell ref="E34:E35"/>
    <mergeCell ref="P34:P35"/>
    <mergeCell ref="B32:B33"/>
    <mergeCell ref="C32:C33"/>
    <mergeCell ref="D32:D33"/>
    <mergeCell ref="E32:E33"/>
    <mergeCell ref="F32:F33"/>
    <mergeCell ref="G32:G33"/>
    <mergeCell ref="H32:H33"/>
    <mergeCell ref="I32:I33"/>
    <mergeCell ref="J32:J33"/>
    <mergeCell ref="K32:K33"/>
    <mergeCell ref="L32:L33"/>
    <mergeCell ref="M32:M33"/>
    <mergeCell ref="N32:N33"/>
    <mergeCell ref="H44:H45"/>
    <mergeCell ref="H46:H47"/>
    <mergeCell ref="H50:H51"/>
    <mergeCell ref="A18:A19"/>
    <mergeCell ref="F34:F35"/>
    <mergeCell ref="G34:G35"/>
    <mergeCell ref="H34:H35"/>
    <mergeCell ref="B30:B31"/>
    <mergeCell ref="C30:C31"/>
    <mergeCell ref="D30:D31"/>
    <mergeCell ref="E30:E31"/>
    <mergeCell ref="F30:F31"/>
    <mergeCell ref="G30:G31"/>
    <mergeCell ref="B24:B25"/>
    <mergeCell ref="C24:C25"/>
    <mergeCell ref="D24:D25"/>
    <mergeCell ref="E24:E25"/>
    <mergeCell ref="F24:F25"/>
    <mergeCell ref="G18:G19"/>
    <mergeCell ref="H36:H37"/>
    <mergeCell ref="H38:H39"/>
    <mergeCell ref="A44:A45"/>
    <mergeCell ref="A42:A43"/>
    <mergeCell ref="B50:B51"/>
    <mergeCell ref="I18:I19"/>
    <mergeCell ref="J18:J19"/>
    <mergeCell ref="K18:K19"/>
    <mergeCell ref="L18:L19"/>
    <mergeCell ref="M18:M19"/>
    <mergeCell ref="N18:N19"/>
    <mergeCell ref="O18:O19"/>
    <mergeCell ref="P18:P19"/>
    <mergeCell ref="H18:H19"/>
    <mergeCell ref="AI38:AI39"/>
    <mergeCell ref="AI40:AI41"/>
    <mergeCell ref="AJ38:AJ39"/>
    <mergeCell ref="AJ40:AJ41"/>
    <mergeCell ref="AI42:AI43"/>
    <mergeCell ref="AJ42:AJ43"/>
    <mergeCell ref="AI44:AI45"/>
    <mergeCell ref="AJ44:AJ45"/>
    <mergeCell ref="AJ48:AJ49"/>
    <mergeCell ref="AI46:AI47"/>
    <mergeCell ref="AJ46:AJ47"/>
    <mergeCell ref="A52:A53"/>
    <mergeCell ref="A50:A51"/>
    <mergeCell ref="O52:O53"/>
    <mergeCell ref="P52:P53"/>
    <mergeCell ref="A38:A39"/>
    <mergeCell ref="B38:B39"/>
    <mergeCell ref="C38:C39"/>
    <mergeCell ref="D38:D39"/>
    <mergeCell ref="E38:E39"/>
    <mergeCell ref="A40:A41"/>
    <mergeCell ref="B40:B41"/>
    <mergeCell ref="C40:C41"/>
    <mergeCell ref="D40:D41"/>
    <mergeCell ref="E40:E41"/>
    <mergeCell ref="A46:A47"/>
    <mergeCell ref="G40:G41"/>
    <mergeCell ref="J40:J41"/>
    <mergeCell ref="K40:K41"/>
    <mergeCell ref="G42:G43"/>
    <mergeCell ref="G38:G39"/>
    <mergeCell ref="I38:I39"/>
    <mergeCell ref="J38:J39"/>
    <mergeCell ref="K38:K39"/>
    <mergeCell ref="L38:L39"/>
    <mergeCell ref="I40:I41"/>
    <mergeCell ref="P36:P37"/>
    <mergeCell ref="AG36:AG37"/>
    <mergeCell ref="AH36:AH37"/>
    <mergeCell ref="M40:M41"/>
    <mergeCell ref="N40:N41"/>
    <mergeCell ref="M38:M39"/>
    <mergeCell ref="N38:N39"/>
    <mergeCell ref="O38:O39"/>
    <mergeCell ref="P38:P39"/>
    <mergeCell ref="O40:O41"/>
    <mergeCell ref="P40:P41"/>
    <mergeCell ref="AG38:AG39"/>
    <mergeCell ref="AG40:AG41"/>
    <mergeCell ref="AH38:AH39"/>
    <mergeCell ref="AH40:AH41"/>
    <mergeCell ref="L40:L41"/>
    <mergeCell ref="AI36:AI37"/>
    <mergeCell ref="AJ36:AJ37"/>
    <mergeCell ref="J36:J37"/>
    <mergeCell ref="K36:K37"/>
    <mergeCell ref="L36:L37"/>
    <mergeCell ref="M36:M37"/>
    <mergeCell ref="N36:N37"/>
    <mergeCell ref="O36:O37"/>
    <mergeCell ref="AI14:AI15"/>
    <mergeCell ref="AJ14:AJ15"/>
    <mergeCell ref="N14:N15"/>
    <mergeCell ref="O14:O15"/>
    <mergeCell ref="P14:P15"/>
    <mergeCell ref="AG14:AG15"/>
    <mergeCell ref="AH14:AH15"/>
    <mergeCell ref="N16:N17"/>
    <mergeCell ref="O16:O17"/>
    <mergeCell ref="P16:P17"/>
    <mergeCell ref="AG16:AG17"/>
    <mergeCell ref="AH16:AH17"/>
    <mergeCell ref="AI16:AI17"/>
    <mergeCell ref="AJ16:AJ17"/>
    <mergeCell ref="J34:J35"/>
    <mergeCell ref="J28:J29"/>
    <mergeCell ref="A12:A13"/>
    <mergeCell ref="B12:B13"/>
    <mergeCell ref="C12:C13"/>
    <mergeCell ref="A36:A37"/>
    <mergeCell ref="B36:B37"/>
    <mergeCell ref="C36:C37"/>
    <mergeCell ref="D36:D37"/>
    <mergeCell ref="E36:E37"/>
    <mergeCell ref="F36:F37"/>
    <mergeCell ref="F14:F15"/>
    <mergeCell ref="E16:E17"/>
    <mergeCell ref="F16:F17"/>
    <mergeCell ref="A16:A17"/>
    <mergeCell ref="B16:B17"/>
    <mergeCell ref="C16:C17"/>
    <mergeCell ref="D16:D17"/>
    <mergeCell ref="D12:D13"/>
    <mergeCell ref="E12:E13"/>
    <mergeCell ref="F12:F13"/>
    <mergeCell ref="B18:B19"/>
    <mergeCell ref="C18:C19"/>
    <mergeCell ref="D18:D19"/>
    <mergeCell ref="E18:E19"/>
    <mergeCell ref="B20:B21"/>
    <mergeCell ref="Q11:AF11"/>
    <mergeCell ref="AG11:AJ11"/>
    <mergeCell ref="L6:M10"/>
    <mergeCell ref="AI12:AI13"/>
    <mergeCell ref="AJ12:AJ13"/>
    <mergeCell ref="A14:A15"/>
    <mergeCell ref="B14:B15"/>
    <mergeCell ref="C14:C15"/>
    <mergeCell ref="D14:D15"/>
    <mergeCell ref="E14:E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A1:C3"/>
    <mergeCell ref="D1:AJ3"/>
    <mergeCell ref="A4:A5"/>
    <mergeCell ref="G4:G5"/>
    <mergeCell ref="A6:B10"/>
    <mergeCell ref="C6:D10"/>
    <mergeCell ref="E6:F10"/>
    <mergeCell ref="G6:G10"/>
    <mergeCell ref="I6:J10"/>
    <mergeCell ref="K6:K10"/>
    <mergeCell ref="AI6:AI10"/>
    <mergeCell ref="AB6:AE10"/>
    <mergeCell ref="AF6:AG10"/>
    <mergeCell ref="AH6:AH10"/>
    <mergeCell ref="N6:N10"/>
    <mergeCell ref="O6:P10"/>
    <mergeCell ref="Q6:S10"/>
    <mergeCell ref="T6:W10"/>
    <mergeCell ref="X6:AA10"/>
    <mergeCell ref="P12:P13"/>
    <mergeCell ref="Q12:Q13"/>
    <mergeCell ref="R12:R13"/>
    <mergeCell ref="S12:S13"/>
    <mergeCell ref="G12:G13"/>
    <mergeCell ref="I12:I13"/>
    <mergeCell ref="J12:J13"/>
    <mergeCell ref="K12:K13"/>
    <mergeCell ref="L12:L13"/>
    <mergeCell ref="M12:M13"/>
    <mergeCell ref="A11:F11"/>
    <mergeCell ref="G11:P11"/>
    <mergeCell ref="AH42:AH43"/>
    <mergeCell ref="H12:H13"/>
    <mergeCell ref="B55:B56"/>
    <mergeCell ref="C55:C56"/>
    <mergeCell ref="D55:D56"/>
    <mergeCell ref="E55:E56"/>
    <mergeCell ref="F55:F56"/>
    <mergeCell ref="G55:G56"/>
    <mergeCell ref="M55:M56"/>
    <mergeCell ref="H14:H15"/>
    <mergeCell ref="AF12:AF13"/>
    <mergeCell ref="AG12:AG13"/>
    <mergeCell ref="AH12:AH13"/>
    <mergeCell ref="G36:G37"/>
    <mergeCell ref="I36:I37"/>
    <mergeCell ref="M14:M15"/>
    <mergeCell ref="G14:G15"/>
    <mergeCell ref="I14:I15"/>
    <mergeCell ref="J14:J15"/>
    <mergeCell ref="K14:K15"/>
    <mergeCell ref="L14:L15"/>
    <mergeCell ref="G16:G17"/>
    <mergeCell ref="H16:H17"/>
    <mergeCell ref="I16:I17"/>
    <mergeCell ref="I42:I43"/>
    <mergeCell ref="J42:J43"/>
    <mergeCell ref="K42:K43"/>
    <mergeCell ref="L42:L43"/>
    <mergeCell ref="M42:M43"/>
    <mergeCell ref="N42:N43"/>
    <mergeCell ref="O42:O43"/>
    <mergeCell ref="J16:J17"/>
    <mergeCell ref="K16:K17"/>
    <mergeCell ref="L16:L17"/>
    <mergeCell ref="M16:M17"/>
    <mergeCell ref="I34:I35"/>
    <mergeCell ref="K34:K35"/>
    <mergeCell ref="L34:L35"/>
    <mergeCell ref="M34:M35"/>
    <mergeCell ref="N34:N35"/>
    <mergeCell ref="O34:O35"/>
    <mergeCell ref="I30:I31"/>
    <mergeCell ref="J30:J31"/>
    <mergeCell ref="K30:K31"/>
    <mergeCell ref="L30:L31"/>
    <mergeCell ref="M30:M31"/>
    <mergeCell ref="P42:P43"/>
    <mergeCell ref="AG42:AG43"/>
    <mergeCell ref="H40:H41"/>
    <mergeCell ref="H42:H43"/>
    <mergeCell ref="B46:B47"/>
    <mergeCell ref="C46:C47"/>
    <mergeCell ref="D46:D47"/>
    <mergeCell ref="E46:E47"/>
    <mergeCell ref="F46:F47"/>
    <mergeCell ref="G46:G47"/>
    <mergeCell ref="B44:B45"/>
    <mergeCell ref="C44:C45"/>
    <mergeCell ref="D44:D45"/>
    <mergeCell ref="E44:E45"/>
    <mergeCell ref="F44:F45"/>
    <mergeCell ref="G44:G45"/>
    <mergeCell ref="B42:B43"/>
    <mergeCell ref="C42:C43"/>
    <mergeCell ref="D42:D43"/>
    <mergeCell ref="E42:E43"/>
    <mergeCell ref="F42:F43"/>
    <mergeCell ref="F40:F41"/>
    <mergeCell ref="J44:J45"/>
    <mergeCell ref="K44:K45"/>
    <mergeCell ref="O50:O51"/>
    <mergeCell ref="P50:P51"/>
    <mergeCell ref="AG50:AG51"/>
    <mergeCell ref="AH50:AH51"/>
    <mergeCell ref="AI50:AI51"/>
    <mergeCell ref="AJ50:AJ51"/>
    <mergeCell ref="I46:I47"/>
    <mergeCell ref="K48:K49"/>
    <mergeCell ref="L48:L49"/>
    <mergeCell ref="M48:M49"/>
    <mergeCell ref="N48:N49"/>
    <mergeCell ref="O48:O49"/>
    <mergeCell ref="P48:P49"/>
    <mergeCell ref="AG48:AG49"/>
    <mergeCell ref="AH48:AH49"/>
    <mergeCell ref="AI48:AI49"/>
    <mergeCell ref="I50:I51"/>
    <mergeCell ref="J50:J51"/>
    <mergeCell ref="K50:K51"/>
    <mergeCell ref="L50:L51"/>
    <mergeCell ref="O44:O45"/>
    <mergeCell ref="P44:P45"/>
    <mergeCell ref="AG44:AG45"/>
    <mergeCell ref="AH46:AH47"/>
    <mergeCell ref="J46:J47"/>
    <mergeCell ref="K46:K47"/>
    <mergeCell ref="L46:L47"/>
    <mergeCell ref="M46:M47"/>
    <mergeCell ref="N46:N47"/>
    <mergeCell ref="O46:O47"/>
    <mergeCell ref="P46:P47"/>
    <mergeCell ref="AG46:AG47"/>
    <mergeCell ref="AH44:AH45"/>
    <mergeCell ref="A48:A49"/>
    <mergeCell ref="B48:B49"/>
    <mergeCell ref="C48:C49"/>
    <mergeCell ref="D48:D49"/>
    <mergeCell ref="E48:E49"/>
    <mergeCell ref="F48:F49"/>
    <mergeCell ref="G48:G49"/>
    <mergeCell ref="I48:I49"/>
    <mergeCell ref="J48:J49"/>
    <mergeCell ref="H48:H49"/>
    <mergeCell ref="J52:J53"/>
    <mergeCell ref="K52:K53"/>
    <mergeCell ref="L52:L53"/>
    <mergeCell ref="M52:M53"/>
    <mergeCell ref="N52:N53"/>
    <mergeCell ref="I44:I45"/>
    <mergeCell ref="B52:B53"/>
    <mergeCell ref="C52:C53"/>
    <mergeCell ref="D52:D53"/>
    <mergeCell ref="E52:E53"/>
    <mergeCell ref="F52:F53"/>
    <mergeCell ref="G52:G53"/>
    <mergeCell ref="H52:H53"/>
    <mergeCell ref="I52:I53"/>
    <mergeCell ref="L44:L45"/>
    <mergeCell ref="M44:M45"/>
    <mergeCell ref="N44:N45"/>
    <mergeCell ref="M50:M51"/>
    <mergeCell ref="N50:N51"/>
    <mergeCell ref="C50:C51"/>
    <mergeCell ref="D50:D51"/>
    <mergeCell ref="E50:E51"/>
    <mergeCell ref="F50:F51"/>
    <mergeCell ref="G50:G51"/>
  </mergeCells>
  <conditionalFormatting sqref="J4">
    <cfRule type="cellIs" dxfId="165" priority="16" operator="lessThanOrEqual">
      <formula>$C$4</formula>
    </cfRule>
  </conditionalFormatting>
  <conditionalFormatting sqref="K6 S14:S53">
    <cfRule type="cellIs" dxfId="164" priority="17" operator="greaterThanOrEqual">
      <formula>$C$5</formula>
    </cfRule>
    <cfRule type="cellIs" dxfId="163" priority="18" operator="lessThanOrEqual">
      <formula>$C$4</formula>
    </cfRule>
    <cfRule type="cellIs" dxfId="162" priority="19" operator="between">
      <formula>$C$5</formula>
      <formula>$C$4</formula>
    </cfRule>
  </conditionalFormatting>
  <conditionalFormatting sqref="Q6">
    <cfRule type="cellIs" dxfId="161" priority="13" operator="greaterThanOrEqual">
      <formula>$J$5</formula>
    </cfRule>
    <cfRule type="cellIs" dxfId="160" priority="14" operator="lessThanOrEqual">
      <formula>$J$4</formula>
    </cfRule>
    <cfRule type="cellIs" dxfId="159" priority="15" operator="between">
      <formula>$J$5</formula>
      <formula>$J$4</formula>
    </cfRule>
  </conditionalFormatting>
  <conditionalFormatting sqref="X6">
    <cfRule type="cellIs" dxfId="158" priority="7" operator="greaterThanOrEqual">
      <formula>$J$5</formula>
    </cfRule>
    <cfRule type="cellIs" dxfId="157" priority="8" operator="lessThanOrEqual">
      <formula>$J$4</formula>
    </cfRule>
    <cfRule type="cellIs" dxfId="156" priority="9" operator="between">
      <formula>$J$5</formula>
      <formula>$J$4</formula>
    </cfRule>
  </conditionalFormatting>
  <conditionalFormatting sqref="AF6">
    <cfRule type="cellIs" dxfId="155" priority="4" operator="greaterThanOrEqual">
      <formula>$J$5</formula>
    </cfRule>
    <cfRule type="cellIs" dxfId="154" priority="5" operator="lessThanOrEqual">
      <formula>$J$4</formula>
    </cfRule>
    <cfRule type="cellIs" dxfId="153" priority="6" operator="between">
      <formula>$J$5</formula>
      <formula>$J$4</formula>
    </cfRule>
  </conditionalFormatting>
  <conditionalFormatting sqref="AI6">
    <cfRule type="cellIs" dxfId="152" priority="1" operator="greaterThanOrEqual">
      <formula>$J$5</formula>
    </cfRule>
    <cfRule type="cellIs" dxfId="151" priority="2" operator="lessThanOrEqual">
      <formula>$J$4</formula>
    </cfRule>
    <cfRule type="cellIs" dxfId="150" priority="3" operator="between">
      <formula>$J$5</formula>
      <formula>$J$4</formula>
    </cfRule>
  </conditionalFormatting>
  <dataValidations xWindow="544" yWindow="871" count="18">
    <dataValidation type="decimal" allowBlank="1" showInputMessage="1" showErrorMessage="1" prompt="valor porcentual de la activida - Indique el peso porcentual de la actividad dentro del proyecto" sqref="R14 R40 R38 R36 R42 R16 R46 R50 R44 R48" xr:uid="{1AED2952-3E90-45E5-BC56-145B909ED0DC}">
      <formula1>0</formula1>
      <formula2>1</formula2>
    </dataValidation>
    <dataValidation type="decimal" allowBlank="1" showInputMessage="1" showErrorMessage="1" prompt="campo calculado  - indica el % de avance  que aporta la activadad a todo el proyecto" sqref="R39 R37 R51:R53 R41 R15 R45 R43 R47 R49 R17:R35" xr:uid="{D841A9DE-C9DD-416F-B9A3-5229870126BB}">
      <formula1>0</formula1>
      <formula2>1</formula2>
    </dataValidation>
    <dataValidation type="decimal" allowBlank="1" showInputMessage="1" showErrorMessage="1" prompt="% de avance en la actividad - indique el % programado de avance durante esta semana_x000a_" sqref="T14:AF53" xr:uid="{B2FE00B5-C282-4B1B-B483-749FF412591A}">
      <formula1>0</formula1>
      <formula2>1</formula2>
    </dataValidation>
    <dataValidation type="list" allowBlank="1" showInputMessage="1" showErrorMessage="1" sqref="H52 H36 G36:G39 H38 G46:G47 G52:G53" xr:uid="{FA8E41AC-4137-47F3-B9E5-9D66A140D9E7}">
      <formula1>$G$57:$G$116</formula1>
    </dataValidation>
    <dataValidation type="list" allowBlank="1" showInputMessage="1" showErrorMessage="1" sqref="N36:N39 N46:N47 N52:N53" xr:uid="{2CACE8DC-A779-4735-99B5-424F5933B832}">
      <formula1>$N$54:$N$54</formula1>
    </dataValidation>
    <dataValidation type="list" allowBlank="1" showInputMessage="1" showErrorMessage="1" sqref="F26 F30 F34 F28 B36:B53 F22 F32 B14:B20 F20 F24 B22 B24 B26 B28 B30 B32 B34" xr:uid="{0BA6C7FF-579F-425A-8747-C84754A944FE}">
      <formula1>$B$57:$B$64</formula1>
    </dataValidation>
    <dataValidation type="list" allowBlank="1" showInputMessage="1" showErrorMessage="1" sqref="C14:C53" xr:uid="{095F15E4-27EB-47F2-9232-919D5385EA7D}">
      <formula1>$C$57:$C$66</formula1>
    </dataValidation>
    <dataValidation type="list" allowBlank="1" showInputMessage="1" showErrorMessage="1" sqref="D14:D53" xr:uid="{A3FFDDFA-56BD-415A-8BB0-C0E3A46E642B}">
      <formula1>$D$57:$D$63</formula1>
    </dataValidation>
    <dataValidation type="list" allowBlank="1" showInputMessage="1" showErrorMessage="1" sqref="E14:E53" xr:uid="{81A6A039-FD7D-436F-84DF-7D913C0EE49C}">
      <formula1>$E$57:$E$75</formula1>
    </dataValidation>
    <dataValidation allowBlank="1" showErrorMessage="1" sqref="S14:S53" xr:uid="{332C594D-407A-47A3-A4CB-2F28C5DB408E}"/>
    <dataValidation type="list" allowBlank="1" showInputMessage="1" showErrorMessage="1" sqref="N14:N17" xr:uid="{C21A017C-C170-46CE-8186-8C261CB01137}">
      <formula1>$N$50:$N$52</formula1>
    </dataValidation>
    <dataValidation type="list" allowBlank="1" showInputMessage="1" showErrorMessage="1" sqref="N18:N19" xr:uid="{E5FEAAFA-3CD2-417A-9247-0469256A4ADF}">
      <formula1>$N$48:$N$50</formula1>
    </dataValidation>
    <dataValidation type="list" allowBlank="1" showInputMessage="1" showErrorMessage="1" sqref="H14 H16" xr:uid="{5CFBF396-FF98-4DA9-9589-F2856CD34E7B}">
      <formula1>$G$50:$G$93</formula1>
    </dataValidation>
    <dataValidation type="list" allowBlank="1" showInputMessage="1" showErrorMessage="1" sqref="H18" xr:uid="{686586DC-D3B0-4930-AFB2-31123160F101}">
      <formula1>$G$48:$G$91</formula1>
    </dataValidation>
    <dataValidation type="list" allowBlank="1" showInputMessage="1" showErrorMessage="1" sqref="N40:N45 N48:N51" xr:uid="{2574A887-84B6-4325-A41B-E4FC3CB3D94D}">
      <formula1>#REF!</formula1>
    </dataValidation>
    <dataValidation type="list" allowBlank="1" showInputMessage="1" showErrorMessage="1" sqref="H40 H50 H48 H42 H44 H46 G48:G49 G42:G45" xr:uid="{DB74D4D4-A88D-4955-8C70-90B6A4D99A68}">
      <formula1>$G$54:$G$99</formula1>
    </dataValidation>
    <dataValidation type="list" allowBlank="1" showInputMessage="1" showErrorMessage="1" sqref="N20:N35" xr:uid="{1DD0D14D-A1B6-4ABD-AD3F-978ED4B94025}">
      <formula1>$N$40:$N$42</formula1>
    </dataValidation>
    <dataValidation type="list" allowBlank="1" showInputMessage="1" showErrorMessage="1" sqref="G20:G35 H20:H32 H34" xr:uid="{E01E930B-A4BA-4640-ADE0-4FF90662546C}">
      <formula1>$G$40:$G$99</formula1>
    </dataValidation>
  </dataValidations>
  <pageMargins left="0.7" right="0.7" top="0.75" bottom="0.75" header="0.3" footer="0.3"/>
  <pageSetup scale="12" orientation="portrait" r:id="rId1"/>
  <headerFooter>
    <oddFooter>&amp;C_x000D_&amp;1#&amp;"Calibri"&amp;10&amp;K008000 DOCUMENTO PÚBLICO</oddFooter>
  </headerFooter>
  <colBreaks count="1" manualBreakCount="1">
    <brk id="37"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1347B-EBF9-4B9E-B402-EBAAC9B87EF8}">
  <dimension ref="A1:AI106"/>
  <sheetViews>
    <sheetView showGridLines="0" view="pageBreakPreview" zoomScale="50" zoomScaleNormal="10" zoomScaleSheetLayoutView="50" zoomScalePageLayoutView="48" workbookViewId="0">
      <selection activeCell="D28" sqref="D28:D29"/>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5" width="18.26953125" style="1" customWidth="1"/>
    <col min="16" max="18" width="13.26953125" style="1" hidden="1" customWidth="1"/>
    <col min="19" max="31" width="9.54296875" style="1" hidden="1" customWidth="1"/>
    <col min="32" max="32" width="35.7265625" style="1" hidden="1" customWidth="1"/>
    <col min="33" max="35" width="42.54296875" style="1" hidden="1" customWidth="1"/>
    <col min="36" max="16384" width="12.54296875" style="1"/>
  </cols>
  <sheetData>
    <row r="1" spans="1:35" s="56" customFormat="1" ht="15" customHeight="1" x14ac:dyDescent="0.35">
      <c r="A1" s="407"/>
      <c r="B1" s="408"/>
      <c r="C1" s="409"/>
      <c r="D1" s="463" t="s">
        <v>810</v>
      </c>
      <c r="E1" s="463"/>
      <c r="F1" s="463"/>
      <c r="G1" s="463"/>
      <c r="H1" s="463"/>
      <c r="I1" s="463"/>
      <c r="J1" s="463"/>
      <c r="K1" s="463"/>
      <c r="L1" s="463"/>
      <c r="M1" s="463"/>
      <c r="N1" s="463"/>
      <c r="O1" s="463"/>
      <c r="P1" s="463"/>
      <c r="Q1" s="463"/>
      <c r="R1" s="463"/>
      <c r="S1" s="463"/>
      <c r="T1" s="463"/>
      <c r="U1" s="463"/>
      <c r="V1" s="463"/>
      <c r="W1" s="463"/>
      <c r="X1" s="463"/>
      <c r="Y1" s="463"/>
      <c r="Z1" s="463"/>
      <c r="AA1" s="463"/>
      <c r="AB1" s="463"/>
      <c r="AC1" s="463"/>
      <c r="AD1" s="463"/>
      <c r="AE1" s="463"/>
      <c r="AF1" s="463"/>
      <c r="AG1" s="463"/>
      <c r="AH1" s="463"/>
      <c r="AI1" s="463"/>
    </row>
    <row r="2" spans="1:35" s="56" customFormat="1" ht="20.149999999999999" customHeight="1" x14ac:dyDescent="0.35">
      <c r="A2" s="410"/>
      <c r="B2" s="411"/>
      <c r="C2" s="412"/>
      <c r="D2" s="463"/>
      <c r="E2" s="463"/>
      <c r="F2" s="463"/>
      <c r="G2" s="463"/>
      <c r="H2" s="463"/>
      <c r="I2" s="463"/>
      <c r="J2" s="463"/>
      <c r="K2" s="463"/>
      <c r="L2" s="463"/>
      <c r="M2" s="463"/>
      <c r="N2" s="463"/>
      <c r="O2" s="463"/>
      <c r="P2" s="463"/>
      <c r="Q2" s="463"/>
      <c r="R2" s="463"/>
      <c r="S2" s="463"/>
      <c r="T2" s="463"/>
      <c r="U2" s="463"/>
      <c r="V2" s="463"/>
      <c r="W2" s="463"/>
      <c r="X2" s="463"/>
      <c r="Y2" s="463"/>
      <c r="Z2" s="463"/>
      <c r="AA2" s="463"/>
      <c r="AB2" s="463"/>
      <c r="AC2" s="463"/>
      <c r="AD2" s="463"/>
      <c r="AE2" s="463"/>
      <c r="AF2" s="463"/>
      <c r="AG2" s="463"/>
      <c r="AH2" s="463"/>
      <c r="AI2" s="463"/>
    </row>
    <row r="3" spans="1:35" s="56" customFormat="1" ht="60" customHeight="1" thickBot="1" x14ac:dyDescent="0.4">
      <c r="A3" s="413"/>
      <c r="B3" s="414"/>
      <c r="C3" s="415"/>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row>
    <row r="4" spans="1:35" s="56" customFormat="1" ht="60" hidden="1" customHeight="1" x14ac:dyDescent="0.35">
      <c r="A4" s="405" t="s">
        <v>34</v>
      </c>
      <c r="B4" s="8" t="s">
        <v>35</v>
      </c>
      <c r="C4" s="10">
        <v>0.7</v>
      </c>
      <c r="D4" s="10"/>
      <c r="E4" s="10"/>
      <c r="F4" s="9"/>
      <c r="G4" s="405"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c r="AG4" s="58"/>
    </row>
    <row r="5" spans="1:35" s="56" customFormat="1" ht="60" hidden="1" customHeight="1" thickBot="1" x14ac:dyDescent="0.4">
      <c r="A5" s="405"/>
      <c r="B5" s="8" t="s">
        <v>37</v>
      </c>
      <c r="C5" s="11">
        <v>0.9</v>
      </c>
      <c r="D5" s="11"/>
      <c r="E5" s="11"/>
      <c r="F5" s="11">
        <v>1</v>
      </c>
      <c r="G5" s="405"/>
      <c r="H5" s="8" t="s">
        <v>37</v>
      </c>
      <c r="I5" s="11">
        <v>0.95</v>
      </c>
      <c r="J5" s="57"/>
      <c r="K5" s="58"/>
      <c r="L5" s="58"/>
      <c r="M5" s="58"/>
      <c r="N5" s="58"/>
      <c r="O5" s="58"/>
      <c r="P5" s="58"/>
      <c r="Q5" s="58"/>
      <c r="R5" s="58"/>
      <c r="S5" s="58"/>
      <c r="T5" s="58"/>
      <c r="U5" s="58"/>
      <c r="V5" s="58"/>
      <c r="W5" s="58"/>
      <c r="X5" s="58"/>
      <c r="Y5" s="58"/>
      <c r="Z5" s="58"/>
      <c r="AA5" s="58"/>
      <c r="AB5" s="58"/>
      <c r="AC5" s="58"/>
      <c r="AD5" s="58"/>
      <c r="AE5" s="58"/>
      <c r="AF5" s="58"/>
      <c r="AG5" s="58"/>
    </row>
    <row r="6" spans="1:35" ht="20.149999999999999" hidden="1" customHeight="1" x14ac:dyDescent="0.35">
      <c r="A6" s="548" t="s">
        <v>38</v>
      </c>
      <c r="B6" s="548"/>
      <c r="C6" s="513" t="s">
        <v>108</v>
      </c>
      <c r="D6" s="513"/>
      <c r="E6" s="549" t="s">
        <v>40</v>
      </c>
      <c r="F6" s="549"/>
      <c r="G6" s="515">
        <f>+Q15+Q17+Q19+Q21+Q23+Q25</f>
        <v>0.99999999999999989</v>
      </c>
      <c r="H6" s="549" t="s">
        <v>41</v>
      </c>
      <c r="I6" s="549"/>
      <c r="J6" s="551">
        <f>(Q14+Q16+Q18+Q20+Q22+Q24)/M6</f>
        <v>1.7543859649122806E-2</v>
      </c>
      <c r="K6" s="554" t="s">
        <v>42</v>
      </c>
      <c r="L6" s="555"/>
      <c r="M6" s="443">
        <v>0.95</v>
      </c>
      <c r="N6" s="548" t="s">
        <v>43</v>
      </c>
      <c r="O6" s="548"/>
      <c r="P6" s="428" t="e">
        <f>(SUM(S14:V14,S16:V16,S18:V18,S20:V20,S22:V22,S24:V24)/SUM(S15:V15,S17:V17,S19:V19,S21:V21,S23:V23,S25:V25))/M6</f>
        <v>#DIV/0!</v>
      </c>
      <c r="Q6" s="429"/>
      <c r="R6" s="430"/>
      <c r="S6" s="560" t="s">
        <v>44</v>
      </c>
      <c r="T6" s="561"/>
      <c r="U6" s="561"/>
      <c r="V6" s="562"/>
      <c r="W6" s="428" t="e">
        <f>SUM(W14:Y14,W16:Y16,W18:Y18,W20:Y20,W22:Y22,W24:Y24)/SUM(W15:Y15,W17:Y17,W19:Y19,W21:Y21,W23:Y23,W25:Y25)/M6</f>
        <v>#DIV/0!</v>
      </c>
      <c r="X6" s="429"/>
      <c r="Y6" s="429"/>
      <c r="Z6" s="430"/>
      <c r="AA6" s="560" t="s">
        <v>45</v>
      </c>
      <c r="AB6" s="561"/>
      <c r="AC6" s="561"/>
      <c r="AD6" s="562"/>
      <c r="AE6" s="428" t="e">
        <f>SUM(AB14,AB16,AB18,AB20,AB22,AB24)/SUM(AB15,AB17,AB19,AB21,AB23,AB25)/M6</f>
        <v>#DIV/0!</v>
      </c>
      <c r="AF6" s="430"/>
      <c r="AG6" s="560" t="s">
        <v>46</v>
      </c>
      <c r="AH6" s="428" t="e">
        <f>SUM(AE14,AE16,AE18,AE20,AE22,AE24)/SUM(AE15,AE17,AE19,AE21,AE23,AE25)/M6</f>
        <v>#DIV/0!</v>
      </c>
    </row>
    <row r="7" spans="1:35" ht="15" hidden="1" customHeight="1" x14ac:dyDescent="0.35">
      <c r="A7" s="548"/>
      <c r="B7" s="548"/>
      <c r="C7" s="513"/>
      <c r="D7" s="513"/>
      <c r="E7" s="549"/>
      <c r="F7" s="549"/>
      <c r="G7" s="516"/>
      <c r="H7" s="549"/>
      <c r="I7" s="549"/>
      <c r="J7" s="552"/>
      <c r="K7" s="556"/>
      <c r="L7" s="557"/>
      <c r="M7" s="444"/>
      <c r="N7" s="548"/>
      <c r="O7" s="548"/>
      <c r="P7" s="431"/>
      <c r="Q7" s="432"/>
      <c r="R7" s="433"/>
      <c r="S7" s="563"/>
      <c r="T7" s="564"/>
      <c r="U7" s="564"/>
      <c r="V7" s="565"/>
      <c r="W7" s="431"/>
      <c r="X7" s="432"/>
      <c r="Y7" s="432"/>
      <c r="Z7" s="433"/>
      <c r="AA7" s="563"/>
      <c r="AB7" s="564"/>
      <c r="AC7" s="564"/>
      <c r="AD7" s="565"/>
      <c r="AE7" s="431"/>
      <c r="AF7" s="433"/>
      <c r="AG7" s="563"/>
      <c r="AH7" s="431"/>
    </row>
    <row r="8" spans="1:35" ht="25.4" hidden="1" customHeight="1" x14ac:dyDescent="0.35">
      <c r="A8" s="548"/>
      <c r="B8" s="548"/>
      <c r="C8" s="513"/>
      <c r="D8" s="513"/>
      <c r="E8" s="549"/>
      <c r="F8" s="549"/>
      <c r="G8" s="516"/>
      <c r="H8" s="549"/>
      <c r="I8" s="549"/>
      <c r="J8" s="552"/>
      <c r="K8" s="556"/>
      <c r="L8" s="557"/>
      <c r="M8" s="444"/>
      <c r="N8" s="548"/>
      <c r="O8" s="548"/>
      <c r="P8" s="431"/>
      <c r="Q8" s="432"/>
      <c r="R8" s="433"/>
      <c r="S8" s="563"/>
      <c r="T8" s="564"/>
      <c r="U8" s="564"/>
      <c r="V8" s="565"/>
      <c r="W8" s="431"/>
      <c r="X8" s="432"/>
      <c r="Y8" s="432"/>
      <c r="Z8" s="433"/>
      <c r="AA8" s="563"/>
      <c r="AB8" s="564"/>
      <c r="AC8" s="564"/>
      <c r="AD8" s="565"/>
      <c r="AE8" s="431"/>
      <c r="AF8" s="433"/>
      <c r="AG8" s="563"/>
      <c r="AH8" s="431"/>
    </row>
    <row r="9" spans="1:35" ht="25.4" hidden="1" customHeight="1" x14ac:dyDescent="0.35">
      <c r="A9" s="548"/>
      <c r="B9" s="548"/>
      <c r="C9" s="513"/>
      <c r="D9" s="513"/>
      <c r="E9" s="549"/>
      <c r="F9" s="549"/>
      <c r="G9" s="516"/>
      <c r="H9" s="549"/>
      <c r="I9" s="549"/>
      <c r="J9" s="552"/>
      <c r="K9" s="556"/>
      <c r="L9" s="557"/>
      <c r="M9" s="444"/>
      <c r="N9" s="548"/>
      <c r="O9" s="548"/>
      <c r="P9" s="431"/>
      <c r="Q9" s="432"/>
      <c r="R9" s="433"/>
      <c r="S9" s="563"/>
      <c r="T9" s="564"/>
      <c r="U9" s="564"/>
      <c r="V9" s="565"/>
      <c r="W9" s="431"/>
      <c r="X9" s="432"/>
      <c r="Y9" s="432"/>
      <c r="Z9" s="433"/>
      <c r="AA9" s="563"/>
      <c r="AB9" s="564"/>
      <c r="AC9" s="564"/>
      <c r="AD9" s="565"/>
      <c r="AE9" s="431"/>
      <c r="AF9" s="433"/>
      <c r="AG9" s="563"/>
      <c r="AH9" s="431"/>
    </row>
    <row r="10" spans="1:35" ht="15" hidden="1" customHeight="1" thickBot="1" x14ac:dyDescent="0.4">
      <c r="A10" s="548"/>
      <c r="B10" s="548"/>
      <c r="C10" s="513"/>
      <c r="D10" s="513"/>
      <c r="E10" s="549"/>
      <c r="F10" s="549"/>
      <c r="G10" s="550"/>
      <c r="H10" s="549"/>
      <c r="I10" s="549"/>
      <c r="J10" s="553"/>
      <c r="K10" s="558"/>
      <c r="L10" s="559"/>
      <c r="M10" s="445"/>
      <c r="N10" s="548"/>
      <c r="O10" s="548"/>
      <c r="P10" s="434"/>
      <c r="Q10" s="435"/>
      <c r="R10" s="436"/>
      <c r="S10" s="566"/>
      <c r="T10" s="567"/>
      <c r="U10" s="567"/>
      <c r="V10" s="568"/>
      <c r="W10" s="434"/>
      <c r="X10" s="435"/>
      <c r="Y10" s="435"/>
      <c r="Z10" s="436"/>
      <c r="AA10" s="566"/>
      <c r="AB10" s="567"/>
      <c r="AC10" s="567"/>
      <c r="AD10" s="568"/>
      <c r="AE10" s="434"/>
      <c r="AF10" s="436"/>
      <c r="AG10" s="566"/>
      <c r="AH10" s="434"/>
    </row>
    <row r="11" spans="1:35" s="12" customFormat="1" ht="40.4" customHeight="1" thickBot="1" x14ac:dyDescent="0.4">
      <c r="A11" s="390" t="s">
        <v>47</v>
      </c>
      <c r="B11" s="390"/>
      <c r="C11" s="390"/>
      <c r="D11" s="390"/>
      <c r="E11" s="390"/>
      <c r="F11" s="391"/>
      <c r="G11" s="392" t="s">
        <v>820</v>
      </c>
      <c r="H11" s="393"/>
      <c r="I11" s="393"/>
      <c r="J11" s="393"/>
      <c r="K11" s="393"/>
      <c r="L11" s="393"/>
      <c r="M11" s="393"/>
      <c r="N11" s="393"/>
      <c r="O11" s="394"/>
      <c r="P11" s="451" t="s">
        <v>48</v>
      </c>
      <c r="Q11" s="452"/>
      <c r="R11" s="452"/>
      <c r="S11" s="452"/>
      <c r="T11" s="452"/>
      <c r="U11" s="452"/>
      <c r="V11" s="452"/>
      <c r="W11" s="452"/>
      <c r="X11" s="452"/>
      <c r="Y11" s="452"/>
      <c r="Z11" s="452"/>
      <c r="AA11" s="452"/>
      <c r="AB11" s="452"/>
      <c r="AC11" s="452"/>
      <c r="AD11" s="452"/>
      <c r="AE11" s="453"/>
      <c r="AF11" s="451" t="s">
        <v>49</v>
      </c>
      <c r="AG11" s="452"/>
      <c r="AH11" s="452"/>
      <c r="AI11" s="452"/>
    </row>
    <row r="12" spans="1:35" ht="39" customHeight="1" x14ac:dyDescent="0.35">
      <c r="A12" s="395" t="s">
        <v>50</v>
      </c>
      <c r="B12" s="397" t="s">
        <v>51</v>
      </c>
      <c r="C12" s="397" t="s">
        <v>52</v>
      </c>
      <c r="D12" s="397" t="s">
        <v>53</v>
      </c>
      <c r="E12" s="397" t="s">
        <v>54</v>
      </c>
      <c r="F12" s="397" t="s">
        <v>30</v>
      </c>
      <c r="G12" s="397" t="s">
        <v>55</v>
      </c>
      <c r="H12" s="397" t="s">
        <v>182</v>
      </c>
      <c r="I12" s="397" t="s">
        <v>160</v>
      </c>
      <c r="J12" s="397" t="s">
        <v>58</v>
      </c>
      <c r="K12" s="397" t="s">
        <v>59</v>
      </c>
      <c r="L12" s="397" t="s">
        <v>60</v>
      </c>
      <c r="M12" s="397" t="s">
        <v>61</v>
      </c>
      <c r="N12" s="397" t="s">
        <v>62</v>
      </c>
      <c r="O12" s="397" t="s">
        <v>63</v>
      </c>
      <c r="P12" s="460" t="s">
        <v>64</v>
      </c>
      <c r="Q12" s="461" t="s">
        <v>65</v>
      </c>
      <c r="R12" s="462" t="s">
        <v>66</v>
      </c>
      <c r="S12" s="417" t="s">
        <v>67</v>
      </c>
      <c r="T12" s="417" t="s">
        <v>68</v>
      </c>
      <c r="U12" s="417" t="s">
        <v>69</v>
      </c>
      <c r="V12" s="417" t="s">
        <v>70</v>
      </c>
      <c r="W12" s="417" t="s">
        <v>71</v>
      </c>
      <c r="X12" s="417" t="s">
        <v>72</v>
      </c>
      <c r="Y12" s="417" t="s">
        <v>73</v>
      </c>
      <c r="Z12" s="417" t="s">
        <v>74</v>
      </c>
      <c r="AA12" s="417" t="s">
        <v>75</v>
      </c>
      <c r="AB12" s="417" t="s">
        <v>76</v>
      </c>
      <c r="AC12" s="417" t="s">
        <v>77</v>
      </c>
      <c r="AD12" s="417" t="s">
        <v>78</v>
      </c>
      <c r="AE12" s="456" t="s">
        <v>79</v>
      </c>
      <c r="AF12" s="502" t="s">
        <v>80</v>
      </c>
      <c r="AG12" s="502" t="s">
        <v>81</v>
      </c>
      <c r="AH12" s="502" t="s">
        <v>82</v>
      </c>
      <c r="AI12" s="502" t="s">
        <v>83</v>
      </c>
    </row>
    <row r="13" spans="1:35" ht="60" customHeight="1" thickBot="1" x14ac:dyDescent="0.4">
      <c r="A13" s="396"/>
      <c r="B13" s="396"/>
      <c r="C13" s="396"/>
      <c r="D13" s="396"/>
      <c r="E13" s="396"/>
      <c r="F13" s="396"/>
      <c r="G13" s="396"/>
      <c r="H13" s="396"/>
      <c r="I13" s="396"/>
      <c r="J13" s="396"/>
      <c r="K13" s="396"/>
      <c r="L13" s="396"/>
      <c r="M13" s="396"/>
      <c r="N13" s="396"/>
      <c r="O13" s="396"/>
      <c r="P13" s="460"/>
      <c r="Q13" s="461"/>
      <c r="R13" s="462"/>
      <c r="S13" s="418"/>
      <c r="T13" s="418"/>
      <c r="U13" s="418"/>
      <c r="V13" s="418"/>
      <c r="W13" s="418"/>
      <c r="X13" s="418"/>
      <c r="Y13" s="418"/>
      <c r="Z13" s="418"/>
      <c r="AA13" s="418"/>
      <c r="AB13" s="418"/>
      <c r="AC13" s="418"/>
      <c r="AD13" s="418"/>
      <c r="AE13" s="457"/>
      <c r="AF13" s="502"/>
      <c r="AG13" s="502"/>
      <c r="AH13" s="502"/>
      <c r="AI13" s="502"/>
    </row>
    <row r="14" spans="1:35" ht="85.5" customHeight="1" thickBot="1" x14ac:dyDescent="0.4">
      <c r="A14" s="384">
        <v>1</v>
      </c>
      <c r="B14" s="384" t="s">
        <v>515</v>
      </c>
      <c r="C14" s="384" t="s">
        <v>828</v>
      </c>
      <c r="D14" s="384" t="s">
        <v>533</v>
      </c>
      <c r="E14" s="384" t="s">
        <v>107</v>
      </c>
      <c r="F14" s="382"/>
      <c r="G14" s="384" t="s">
        <v>108</v>
      </c>
      <c r="H14" s="483" t="s">
        <v>882</v>
      </c>
      <c r="I14" s="483" t="s">
        <v>883</v>
      </c>
      <c r="J14" s="483" t="s">
        <v>884</v>
      </c>
      <c r="K14" s="483" t="s">
        <v>183</v>
      </c>
      <c r="L14" s="384" t="s">
        <v>885</v>
      </c>
      <c r="M14" s="374" t="s">
        <v>520</v>
      </c>
      <c r="N14" s="541">
        <v>45658</v>
      </c>
      <c r="O14" s="543">
        <v>46022</v>
      </c>
      <c r="P14" s="60" t="s">
        <v>91</v>
      </c>
      <c r="Q14" s="53">
        <f>+(Q15*R14)</f>
        <v>0</v>
      </c>
      <c r="R14" s="66">
        <f t="shared" ref="R14:R25" si="0">SUM(S14:AE14)</f>
        <v>0</v>
      </c>
      <c r="S14" s="43"/>
      <c r="T14" s="43"/>
      <c r="U14" s="43"/>
      <c r="V14" s="43"/>
      <c r="W14" s="43"/>
      <c r="X14" s="43"/>
      <c r="Y14" s="43"/>
      <c r="Z14" s="43"/>
      <c r="AA14" s="44"/>
      <c r="AB14" s="44"/>
      <c r="AC14" s="44"/>
      <c r="AD14" s="44"/>
      <c r="AE14" s="44"/>
      <c r="AF14" s="478"/>
      <c r="AG14" s="539"/>
      <c r="AH14" s="539"/>
      <c r="AI14" s="537"/>
    </row>
    <row r="15" spans="1:35" ht="85.5" customHeight="1" thickBot="1" x14ac:dyDescent="0.4">
      <c r="A15" s="385"/>
      <c r="B15" s="385"/>
      <c r="C15" s="385"/>
      <c r="D15" s="385"/>
      <c r="E15" s="385"/>
      <c r="F15" s="399"/>
      <c r="G15" s="385"/>
      <c r="H15" s="536"/>
      <c r="I15" s="536"/>
      <c r="J15" s="484"/>
      <c r="K15" s="536"/>
      <c r="L15" s="398"/>
      <c r="M15" s="376"/>
      <c r="N15" s="542"/>
      <c r="O15" s="544"/>
      <c r="P15" s="60" t="s">
        <v>96</v>
      </c>
      <c r="Q15" s="52">
        <f>100%/6</f>
        <v>0.16666666666666666</v>
      </c>
      <c r="R15" s="66">
        <f t="shared" si="0"/>
        <v>0</v>
      </c>
      <c r="S15" s="42"/>
      <c r="T15" s="42"/>
      <c r="U15" s="42"/>
      <c r="V15" s="42"/>
      <c r="W15" s="42"/>
      <c r="X15" s="42"/>
      <c r="Y15" s="42"/>
      <c r="Z15" s="42"/>
      <c r="AA15" s="42"/>
      <c r="AB15" s="42"/>
      <c r="AC15" s="42"/>
      <c r="AD15" s="42"/>
      <c r="AE15" s="42"/>
      <c r="AF15" s="479"/>
      <c r="AG15" s="540"/>
      <c r="AH15" s="540"/>
      <c r="AI15" s="538"/>
    </row>
    <row r="16" spans="1:35" ht="85.5" customHeight="1" thickBot="1" x14ac:dyDescent="0.4">
      <c r="A16" s="384">
        <v>2</v>
      </c>
      <c r="B16" s="384" t="s">
        <v>515</v>
      </c>
      <c r="C16" s="384" t="s">
        <v>828</v>
      </c>
      <c r="D16" s="384" t="s">
        <v>533</v>
      </c>
      <c r="E16" s="384" t="s">
        <v>107</v>
      </c>
      <c r="F16" s="382"/>
      <c r="G16" s="384" t="s">
        <v>108</v>
      </c>
      <c r="H16" s="384" t="s">
        <v>886</v>
      </c>
      <c r="I16" s="384" t="s">
        <v>887</v>
      </c>
      <c r="J16" s="384" t="s">
        <v>888</v>
      </c>
      <c r="K16" s="384" t="s">
        <v>183</v>
      </c>
      <c r="L16" s="384" t="s">
        <v>889</v>
      </c>
      <c r="M16" s="374" t="s">
        <v>520</v>
      </c>
      <c r="N16" s="541">
        <v>45658</v>
      </c>
      <c r="O16" s="543">
        <v>46022</v>
      </c>
      <c r="P16" s="60" t="s">
        <v>91</v>
      </c>
      <c r="Q16" s="53">
        <f>+(Q17*R16)</f>
        <v>0</v>
      </c>
      <c r="R16" s="66">
        <f t="shared" si="0"/>
        <v>0</v>
      </c>
      <c r="S16" s="43"/>
      <c r="T16" s="43"/>
      <c r="U16" s="43"/>
      <c r="V16" s="43"/>
      <c r="W16" s="43"/>
      <c r="X16" s="43"/>
      <c r="Y16" s="43"/>
      <c r="Z16" s="43"/>
      <c r="AA16" s="44"/>
      <c r="AB16" s="44"/>
      <c r="AC16" s="44"/>
      <c r="AD16" s="44"/>
      <c r="AE16" s="44"/>
      <c r="AF16" s="478"/>
      <c r="AG16" s="539"/>
      <c r="AH16" s="569"/>
      <c r="AI16" s="537"/>
    </row>
    <row r="17" spans="1:35" ht="85.5" customHeight="1" thickBot="1" x14ac:dyDescent="0.4">
      <c r="A17" s="385"/>
      <c r="B17" s="385"/>
      <c r="C17" s="385"/>
      <c r="D17" s="385"/>
      <c r="E17" s="385"/>
      <c r="F17" s="383"/>
      <c r="G17" s="385"/>
      <c r="H17" s="398"/>
      <c r="I17" s="398"/>
      <c r="J17" s="385"/>
      <c r="K17" s="385"/>
      <c r="L17" s="398"/>
      <c r="M17" s="376"/>
      <c r="N17" s="542"/>
      <c r="O17" s="544"/>
      <c r="P17" s="60" t="s">
        <v>96</v>
      </c>
      <c r="Q17" s="52">
        <f>100%/6</f>
        <v>0.16666666666666666</v>
      </c>
      <c r="R17" s="66">
        <f t="shared" si="0"/>
        <v>0</v>
      </c>
      <c r="S17" s="42"/>
      <c r="T17" s="42"/>
      <c r="U17" s="42"/>
      <c r="V17" s="42"/>
      <c r="W17" s="42"/>
      <c r="X17" s="42"/>
      <c r="Y17" s="42"/>
      <c r="Z17" s="42"/>
      <c r="AA17" s="42"/>
      <c r="AB17" s="42"/>
      <c r="AC17" s="42"/>
      <c r="AD17" s="42"/>
      <c r="AE17" s="42"/>
      <c r="AF17" s="481"/>
      <c r="AG17" s="540"/>
      <c r="AH17" s="570"/>
      <c r="AI17" s="538"/>
    </row>
    <row r="18" spans="1:35" ht="104.25" customHeight="1" thickBot="1" x14ac:dyDescent="0.4">
      <c r="A18" s="384">
        <v>3</v>
      </c>
      <c r="B18" s="384" t="s">
        <v>515</v>
      </c>
      <c r="C18" s="384" t="s">
        <v>828</v>
      </c>
      <c r="D18" s="384" t="s">
        <v>533</v>
      </c>
      <c r="E18" s="384" t="s">
        <v>107</v>
      </c>
      <c r="F18" s="382"/>
      <c r="G18" s="384" t="s">
        <v>108</v>
      </c>
      <c r="H18" s="384" t="s">
        <v>890</v>
      </c>
      <c r="I18" s="384" t="s">
        <v>891</v>
      </c>
      <c r="J18" s="384" t="s">
        <v>892</v>
      </c>
      <c r="K18" s="384" t="s">
        <v>183</v>
      </c>
      <c r="L18" s="384" t="s">
        <v>893</v>
      </c>
      <c r="M18" s="374" t="s">
        <v>520</v>
      </c>
      <c r="N18" s="541">
        <v>45658</v>
      </c>
      <c r="O18" s="543">
        <v>46022</v>
      </c>
      <c r="P18" s="60" t="s">
        <v>91</v>
      </c>
      <c r="Q18" s="53">
        <f>+(Q19*R18)</f>
        <v>0</v>
      </c>
      <c r="R18" s="66">
        <f t="shared" si="0"/>
        <v>0</v>
      </c>
      <c r="S18" s="43"/>
      <c r="T18" s="43"/>
      <c r="U18" s="43"/>
      <c r="V18" s="43"/>
      <c r="W18" s="43"/>
      <c r="X18" s="43"/>
      <c r="Y18" s="43"/>
      <c r="Z18" s="43"/>
      <c r="AA18" s="44"/>
      <c r="AB18" s="44"/>
      <c r="AC18" s="44"/>
      <c r="AD18" s="44"/>
      <c r="AE18" s="44"/>
      <c r="AF18" s="478"/>
      <c r="AG18" s="539"/>
      <c r="AH18" s="539"/>
      <c r="AI18" s="537"/>
    </row>
    <row r="19" spans="1:35" ht="104.25" customHeight="1" thickBot="1" x14ac:dyDescent="0.4">
      <c r="A19" s="385"/>
      <c r="B19" s="385"/>
      <c r="C19" s="385"/>
      <c r="D19" s="385"/>
      <c r="E19" s="385"/>
      <c r="F19" s="383"/>
      <c r="G19" s="385"/>
      <c r="H19" s="385"/>
      <c r="I19" s="385"/>
      <c r="J19" s="385"/>
      <c r="K19" s="385"/>
      <c r="L19" s="385"/>
      <c r="M19" s="376"/>
      <c r="N19" s="571"/>
      <c r="O19" s="572"/>
      <c r="P19" s="60" t="s">
        <v>96</v>
      </c>
      <c r="Q19" s="52">
        <f>100%/6</f>
        <v>0.16666666666666666</v>
      </c>
      <c r="R19" s="66">
        <f t="shared" si="0"/>
        <v>0</v>
      </c>
      <c r="S19" s="42"/>
      <c r="T19" s="42"/>
      <c r="U19" s="42"/>
      <c r="V19" s="42"/>
      <c r="W19" s="42"/>
      <c r="X19" s="42"/>
      <c r="Y19" s="42"/>
      <c r="Z19" s="42"/>
      <c r="AA19" s="42"/>
      <c r="AB19" s="42"/>
      <c r="AC19" s="42"/>
      <c r="AD19" s="42"/>
      <c r="AE19" s="42"/>
      <c r="AF19" s="479"/>
      <c r="AG19" s="540"/>
      <c r="AH19" s="540"/>
      <c r="AI19" s="538"/>
    </row>
    <row r="20" spans="1:35" ht="88.5" customHeight="1" thickBot="1" x14ac:dyDescent="0.4">
      <c r="A20" s="384">
        <v>4</v>
      </c>
      <c r="B20" s="384" t="s">
        <v>515</v>
      </c>
      <c r="C20" s="384" t="s">
        <v>828</v>
      </c>
      <c r="D20" s="384" t="s">
        <v>533</v>
      </c>
      <c r="E20" s="384" t="s">
        <v>107</v>
      </c>
      <c r="F20" s="382"/>
      <c r="G20" s="384" t="s">
        <v>108</v>
      </c>
      <c r="H20" s="384" t="s">
        <v>894</v>
      </c>
      <c r="I20" s="384" t="s">
        <v>895</v>
      </c>
      <c r="J20" s="384" t="s">
        <v>884</v>
      </c>
      <c r="K20" s="384" t="s">
        <v>183</v>
      </c>
      <c r="L20" s="384" t="s">
        <v>896</v>
      </c>
      <c r="M20" s="374" t="s">
        <v>520</v>
      </c>
      <c r="N20" s="541">
        <v>45658</v>
      </c>
      <c r="O20" s="543">
        <v>46022</v>
      </c>
      <c r="P20" s="60" t="s">
        <v>91</v>
      </c>
      <c r="Q20" s="53">
        <f>+(Q21*R20)</f>
        <v>0</v>
      </c>
      <c r="R20" s="66">
        <f t="shared" si="0"/>
        <v>0</v>
      </c>
      <c r="S20" s="43"/>
      <c r="T20" s="43"/>
      <c r="U20" s="43"/>
      <c r="V20" s="43"/>
      <c r="W20" s="43"/>
      <c r="X20" s="43"/>
      <c r="Y20" s="43"/>
      <c r="Z20" s="43"/>
      <c r="AA20" s="44"/>
      <c r="AB20" s="44"/>
      <c r="AC20" s="44"/>
      <c r="AD20" s="44"/>
      <c r="AE20" s="44"/>
      <c r="AF20" s="478"/>
      <c r="AG20" s="539"/>
      <c r="AH20" s="539"/>
      <c r="AI20" s="537"/>
    </row>
    <row r="21" spans="1:35" ht="88.5" customHeight="1" thickBot="1" x14ac:dyDescent="0.4">
      <c r="A21" s="385"/>
      <c r="B21" s="385"/>
      <c r="C21" s="385"/>
      <c r="D21" s="385"/>
      <c r="E21" s="385"/>
      <c r="F21" s="383"/>
      <c r="G21" s="385"/>
      <c r="H21" s="398"/>
      <c r="I21" s="398"/>
      <c r="J21" s="398"/>
      <c r="K21" s="385"/>
      <c r="L21" s="398"/>
      <c r="M21" s="376"/>
      <c r="N21" s="542"/>
      <c r="O21" s="544"/>
      <c r="P21" s="60" t="s">
        <v>96</v>
      </c>
      <c r="Q21" s="52">
        <f>100%/6</f>
        <v>0.16666666666666666</v>
      </c>
      <c r="R21" s="66">
        <f t="shared" si="0"/>
        <v>0</v>
      </c>
      <c r="S21" s="87"/>
      <c r="T21" s="87"/>
      <c r="U21" s="87"/>
      <c r="V21" s="42"/>
      <c r="W21" s="42"/>
      <c r="X21" s="42"/>
      <c r="Y21" s="42"/>
      <c r="Z21" s="42"/>
      <c r="AA21" s="42"/>
      <c r="AB21" s="42"/>
      <c r="AC21" s="42"/>
      <c r="AD21" s="42"/>
      <c r="AE21" s="42"/>
      <c r="AF21" s="479"/>
      <c r="AG21" s="540"/>
      <c r="AH21" s="540"/>
      <c r="AI21" s="538"/>
    </row>
    <row r="22" spans="1:35" ht="37.4" customHeight="1" thickBot="1" x14ac:dyDescent="0.4">
      <c r="A22" s="384">
        <v>5</v>
      </c>
      <c r="B22" s="384" t="s">
        <v>515</v>
      </c>
      <c r="C22" s="384" t="s">
        <v>828</v>
      </c>
      <c r="D22" s="384" t="s">
        <v>533</v>
      </c>
      <c r="E22" s="384" t="s">
        <v>107</v>
      </c>
      <c r="F22" s="382"/>
      <c r="G22" s="384" t="s">
        <v>108</v>
      </c>
      <c r="H22" s="384" t="s">
        <v>897</v>
      </c>
      <c r="I22" s="384" t="s">
        <v>898</v>
      </c>
      <c r="J22" s="384" t="s">
        <v>183</v>
      </c>
      <c r="K22" s="384" t="s">
        <v>893</v>
      </c>
      <c r="L22" s="374" t="s">
        <v>520</v>
      </c>
      <c r="M22" s="541">
        <v>45658</v>
      </c>
      <c r="N22" s="543">
        <v>46022</v>
      </c>
      <c r="O22" s="487">
        <v>45657</v>
      </c>
      <c r="P22" s="60" t="s">
        <v>91</v>
      </c>
      <c r="Q22" s="53">
        <f>+(Q23*R22)</f>
        <v>0</v>
      </c>
      <c r="R22" s="66">
        <f t="shared" si="0"/>
        <v>0</v>
      </c>
      <c r="S22" s="87"/>
      <c r="T22" s="87"/>
      <c r="U22" s="87"/>
      <c r="V22" s="43"/>
      <c r="W22" s="43"/>
      <c r="X22" s="43"/>
      <c r="Y22" s="43"/>
      <c r="Z22" s="43"/>
      <c r="AA22" s="44"/>
      <c r="AB22" s="44"/>
      <c r="AC22" s="44"/>
      <c r="AD22" s="44"/>
      <c r="AE22" s="44"/>
      <c r="AF22" s="478"/>
      <c r="AG22" s="539"/>
      <c r="AH22" s="539"/>
      <c r="AI22" s="537"/>
    </row>
    <row r="23" spans="1:35" ht="99.5" customHeight="1" thickBot="1" x14ac:dyDescent="0.4">
      <c r="A23" s="385"/>
      <c r="B23" s="385"/>
      <c r="C23" s="385"/>
      <c r="D23" s="385"/>
      <c r="E23" s="385"/>
      <c r="F23" s="383"/>
      <c r="G23" s="385"/>
      <c r="H23" s="398"/>
      <c r="I23" s="385"/>
      <c r="J23" s="385"/>
      <c r="K23" s="385"/>
      <c r="L23" s="376"/>
      <c r="M23" s="542"/>
      <c r="N23" s="544"/>
      <c r="O23" s="487"/>
      <c r="P23" s="60" t="s">
        <v>96</v>
      </c>
      <c r="Q23" s="52">
        <f>100%/6</f>
        <v>0.16666666666666666</v>
      </c>
      <c r="R23" s="66">
        <f t="shared" si="0"/>
        <v>0</v>
      </c>
      <c r="S23" s="42"/>
      <c r="T23" s="42"/>
      <c r="U23" s="42"/>
      <c r="V23" s="42"/>
      <c r="W23" s="42"/>
      <c r="X23" s="42"/>
      <c r="Y23" s="42"/>
      <c r="Z23" s="42"/>
      <c r="AA23" s="42"/>
      <c r="AB23" s="42"/>
      <c r="AC23" s="42"/>
      <c r="AD23" s="42"/>
      <c r="AE23" s="42"/>
      <c r="AF23" s="479"/>
      <c r="AG23" s="540"/>
      <c r="AH23" s="540"/>
      <c r="AI23" s="538"/>
    </row>
    <row r="24" spans="1:35" ht="50.25" customHeight="1" thickBot="1" x14ac:dyDescent="0.4">
      <c r="A24" s="384">
        <v>6</v>
      </c>
      <c r="B24" s="384" t="s">
        <v>515</v>
      </c>
      <c r="C24" s="384" t="s">
        <v>828</v>
      </c>
      <c r="D24" s="384" t="s">
        <v>533</v>
      </c>
      <c r="E24" s="384" t="s">
        <v>107</v>
      </c>
      <c r="F24" s="382"/>
      <c r="G24" s="384" t="s">
        <v>108</v>
      </c>
      <c r="H24" s="384" t="s">
        <v>899</v>
      </c>
      <c r="I24" s="384" t="s">
        <v>900</v>
      </c>
      <c r="J24" s="384" t="s">
        <v>183</v>
      </c>
      <c r="K24" s="384"/>
      <c r="L24" s="374" t="s">
        <v>520</v>
      </c>
      <c r="M24" s="541">
        <v>45658</v>
      </c>
      <c r="N24" s="543">
        <v>46022</v>
      </c>
      <c r="O24" s="487">
        <v>45657</v>
      </c>
      <c r="P24" s="60" t="s">
        <v>91</v>
      </c>
      <c r="Q24" s="53">
        <f>+(Q25*R24)</f>
        <v>1.6666666666666666E-2</v>
      </c>
      <c r="R24" s="66">
        <f t="shared" si="0"/>
        <v>0.1</v>
      </c>
      <c r="S24" s="87">
        <v>0.1</v>
      </c>
      <c r="T24" s="87"/>
      <c r="U24" s="87"/>
      <c r="V24" s="43"/>
      <c r="W24" s="43"/>
      <c r="X24" s="43"/>
      <c r="Y24" s="43"/>
      <c r="Z24" s="43"/>
      <c r="AA24" s="44"/>
      <c r="AB24" s="44"/>
      <c r="AC24" s="44"/>
      <c r="AD24" s="44"/>
      <c r="AE24" s="44"/>
      <c r="AF24" s="478"/>
      <c r="AG24" s="539"/>
      <c r="AH24" s="539"/>
      <c r="AI24" s="537"/>
    </row>
    <row r="25" spans="1:35" ht="65.5" customHeight="1" thickBot="1" x14ac:dyDescent="0.4">
      <c r="A25" s="385"/>
      <c r="B25" s="385"/>
      <c r="C25" s="385"/>
      <c r="D25" s="385"/>
      <c r="E25" s="385"/>
      <c r="F25" s="383"/>
      <c r="G25" s="385"/>
      <c r="H25" s="385"/>
      <c r="I25" s="385"/>
      <c r="J25" s="385"/>
      <c r="K25" s="385"/>
      <c r="L25" s="376"/>
      <c r="M25" s="542"/>
      <c r="N25" s="544"/>
      <c r="O25" s="487"/>
      <c r="P25" s="60" t="s">
        <v>96</v>
      </c>
      <c r="Q25" s="52">
        <f>100%/6</f>
        <v>0.16666666666666666</v>
      </c>
      <c r="R25" s="66">
        <f t="shared" si="0"/>
        <v>0</v>
      </c>
      <c r="S25" s="42"/>
      <c r="T25" s="42"/>
      <c r="U25" s="42"/>
      <c r="V25" s="42"/>
      <c r="W25" s="42"/>
      <c r="X25" s="42"/>
      <c r="Y25" s="42"/>
      <c r="Z25" s="42"/>
      <c r="AA25" s="42"/>
      <c r="AB25" s="42"/>
      <c r="AC25" s="42"/>
      <c r="AD25" s="42"/>
      <c r="AE25" s="42"/>
      <c r="AF25" s="479"/>
      <c r="AG25" s="540"/>
      <c r="AH25" s="540"/>
      <c r="AI25" s="538"/>
    </row>
    <row r="26" spans="1:35" ht="50.25" customHeight="1" thickBot="1" x14ac:dyDescent="0.4">
      <c r="A26" s="384">
        <v>7</v>
      </c>
      <c r="B26" s="384" t="s">
        <v>515</v>
      </c>
      <c r="C26" s="384" t="s">
        <v>828</v>
      </c>
      <c r="D26" s="384" t="s">
        <v>533</v>
      </c>
      <c r="E26" s="384" t="s">
        <v>107</v>
      </c>
      <c r="F26" s="382"/>
      <c r="G26" s="384" t="s">
        <v>108</v>
      </c>
      <c r="H26" s="403" t="s">
        <v>901</v>
      </c>
      <c r="I26" s="403" t="s">
        <v>901</v>
      </c>
      <c r="J26" s="384" t="s">
        <v>183</v>
      </c>
      <c r="K26" s="403"/>
      <c r="L26" s="374" t="s">
        <v>520</v>
      </c>
      <c r="M26" s="541">
        <v>45658</v>
      </c>
      <c r="N26" s="543">
        <v>46022</v>
      </c>
      <c r="O26" s="487">
        <v>45657</v>
      </c>
      <c r="P26" s="60" t="s">
        <v>91</v>
      </c>
      <c r="Q26" s="53">
        <f>+(Q27*R26)</f>
        <v>1.6666666666666666E-2</v>
      </c>
      <c r="R26" s="66">
        <f t="shared" ref="R26:R27" si="1">SUM(S26:AE26)</f>
        <v>0.1</v>
      </c>
      <c r="S26" s="87">
        <v>0.1</v>
      </c>
      <c r="T26" s="87"/>
      <c r="U26" s="87"/>
      <c r="V26" s="43"/>
      <c r="W26" s="43"/>
      <c r="X26" s="43"/>
      <c r="Y26" s="43"/>
      <c r="Z26" s="43"/>
      <c r="AA26" s="44"/>
      <c r="AB26" s="44"/>
      <c r="AC26" s="44"/>
      <c r="AD26" s="44"/>
      <c r="AE26" s="44"/>
      <c r="AF26" s="478"/>
      <c r="AG26" s="539"/>
      <c r="AH26" s="539"/>
      <c r="AI26" s="537"/>
    </row>
    <row r="27" spans="1:35" ht="65.5" customHeight="1" thickBot="1" x14ac:dyDescent="0.4">
      <c r="A27" s="385"/>
      <c r="B27" s="385"/>
      <c r="C27" s="385"/>
      <c r="D27" s="385"/>
      <c r="E27" s="385"/>
      <c r="F27" s="383"/>
      <c r="G27" s="385"/>
      <c r="H27" s="403"/>
      <c r="I27" s="403"/>
      <c r="J27" s="385"/>
      <c r="K27" s="403"/>
      <c r="L27" s="376"/>
      <c r="M27" s="542"/>
      <c r="N27" s="544"/>
      <c r="O27" s="487"/>
      <c r="P27" s="60" t="s">
        <v>96</v>
      </c>
      <c r="Q27" s="52">
        <f>100%/6</f>
        <v>0.16666666666666666</v>
      </c>
      <c r="R27" s="66">
        <f t="shared" si="1"/>
        <v>0</v>
      </c>
      <c r="S27" s="42"/>
      <c r="T27" s="42"/>
      <c r="U27" s="42"/>
      <c r="V27" s="42"/>
      <c r="W27" s="42"/>
      <c r="X27" s="42"/>
      <c r="Y27" s="42"/>
      <c r="Z27" s="42"/>
      <c r="AA27" s="42"/>
      <c r="AB27" s="42"/>
      <c r="AC27" s="42"/>
      <c r="AD27" s="42"/>
      <c r="AE27" s="42"/>
      <c r="AF27" s="479"/>
      <c r="AG27" s="540"/>
      <c r="AH27" s="540"/>
      <c r="AI27" s="538"/>
    </row>
    <row r="28" spans="1:35" ht="50.25" customHeight="1" thickBot="1" x14ac:dyDescent="0.4">
      <c r="A28" s="384">
        <v>8</v>
      </c>
      <c r="B28" s="384" t="s">
        <v>515</v>
      </c>
      <c r="C28" s="384" t="s">
        <v>828</v>
      </c>
      <c r="D28" s="384" t="s">
        <v>533</v>
      </c>
      <c r="E28" s="384" t="s">
        <v>107</v>
      </c>
      <c r="F28" s="382"/>
      <c r="G28" s="384" t="s">
        <v>108</v>
      </c>
      <c r="H28" s="384" t="s">
        <v>902</v>
      </c>
      <c r="I28" s="384" t="s">
        <v>903</v>
      </c>
      <c r="J28" s="384" t="s">
        <v>183</v>
      </c>
      <c r="K28" s="384"/>
      <c r="L28" s="374" t="s">
        <v>520</v>
      </c>
      <c r="M28" s="541">
        <v>45658</v>
      </c>
      <c r="N28" s="543">
        <v>46022</v>
      </c>
      <c r="O28" s="487">
        <v>45657</v>
      </c>
      <c r="P28" s="60" t="s">
        <v>91</v>
      </c>
      <c r="Q28" s="53">
        <f>+(Q29*R28)</f>
        <v>1.6666666666666666E-2</v>
      </c>
      <c r="R28" s="66">
        <f t="shared" ref="R28:R29" si="2">SUM(S28:AE28)</f>
        <v>0.1</v>
      </c>
      <c r="S28" s="87">
        <v>0.1</v>
      </c>
      <c r="T28" s="87"/>
      <c r="U28" s="87"/>
      <c r="V28" s="43"/>
      <c r="W28" s="43"/>
      <c r="X28" s="43"/>
      <c r="Y28" s="43"/>
      <c r="Z28" s="43"/>
      <c r="AA28" s="44"/>
      <c r="AB28" s="44"/>
      <c r="AC28" s="44"/>
      <c r="AD28" s="44"/>
      <c r="AE28" s="44"/>
      <c r="AF28" s="478"/>
      <c r="AG28" s="539"/>
      <c r="AH28" s="539"/>
      <c r="AI28" s="537"/>
    </row>
    <row r="29" spans="1:35" ht="65.5" customHeight="1" x14ac:dyDescent="0.35">
      <c r="A29" s="385"/>
      <c r="B29" s="385"/>
      <c r="C29" s="385"/>
      <c r="D29" s="385"/>
      <c r="E29" s="385"/>
      <c r="F29" s="383"/>
      <c r="G29" s="385"/>
      <c r="H29" s="398"/>
      <c r="I29" s="398"/>
      <c r="J29" s="385"/>
      <c r="K29" s="398"/>
      <c r="L29" s="376"/>
      <c r="M29" s="542"/>
      <c r="N29" s="544"/>
      <c r="O29" s="487"/>
      <c r="P29" s="60" t="s">
        <v>96</v>
      </c>
      <c r="Q29" s="52">
        <f>100%/6</f>
        <v>0.16666666666666666</v>
      </c>
      <c r="R29" s="66">
        <f t="shared" si="2"/>
        <v>0</v>
      </c>
      <c r="S29" s="42"/>
      <c r="T29" s="42"/>
      <c r="U29" s="42"/>
      <c r="V29" s="42"/>
      <c r="W29" s="42"/>
      <c r="X29" s="42"/>
      <c r="Y29" s="42"/>
      <c r="Z29" s="42"/>
      <c r="AA29" s="42"/>
      <c r="AB29" s="42"/>
      <c r="AC29" s="42"/>
      <c r="AD29" s="42"/>
      <c r="AE29" s="42"/>
      <c r="AF29" s="479"/>
      <c r="AG29" s="540"/>
      <c r="AH29" s="540"/>
      <c r="AI29" s="538"/>
    </row>
    <row r="30" spans="1:35" s="13" customFormat="1" ht="30" hidden="1" customHeight="1" thickBot="1" x14ac:dyDescent="0.4">
      <c r="H30" s="69"/>
      <c r="I30" s="18" t="s">
        <v>134</v>
      </c>
      <c r="J30" s="19"/>
      <c r="K30" s="35"/>
      <c r="L30" s="35"/>
      <c r="M30" s="35"/>
      <c r="N30" s="35"/>
      <c r="O30" s="35"/>
      <c r="P30" s="35"/>
      <c r="Q30" s="38"/>
      <c r="R30" s="35"/>
      <c r="S30" s="35"/>
      <c r="T30" s="28"/>
      <c r="U30" s="29"/>
      <c r="V30" s="29"/>
      <c r="W30" s="29"/>
      <c r="X30" s="29"/>
      <c r="Y30" s="29"/>
      <c r="Z30" s="29"/>
      <c r="AA30" s="29"/>
      <c r="AB30" s="29" t="e">
        <f>+P29+AB29</f>
        <v>#VALUE!</v>
      </c>
      <c r="AC30" s="40"/>
      <c r="AD30" s="29"/>
      <c r="AE30" s="62"/>
    </row>
    <row r="31" spans="1:35" s="13" customFormat="1" ht="30" hidden="1" customHeight="1" x14ac:dyDescent="0.35">
      <c r="H31" s="545" t="s">
        <v>135</v>
      </c>
      <c r="I31" s="15" t="s">
        <v>136</v>
      </c>
      <c r="J31" s="23" t="e">
        <f>SUM(O31:AD31)</f>
        <v>#REF!</v>
      </c>
      <c r="K31" s="34"/>
      <c r="L31" s="34"/>
      <c r="M31" s="34"/>
      <c r="N31" s="34"/>
      <c r="O31" s="34" t="e">
        <f>+(W15*$Q$15)+(W17*$Q$17)+(W19*$Q$19)+(W21*$Q$21)+(#REF!*$Q$23)+(#REF!*$Q$25)+(#REF!*#REF!)+(#REF!*#REF!)+(#REF!*#REF!)+(#REF!*#REF!)+(#REF!*#REF!)+(#REF!*#REF!)+(#REF!*#REF!)</f>
        <v>#REF!</v>
      </c>
      <c r="P31" s="34" t="e">
        <f>+(AD15*$Q$15)+(AD17*$Q$17)+(AD19*$Q$19)+(AD21*$Q$21)+(#REF!*$Q$23)+(#REF!*$Q$25)+(#REF!*#REF!)+(#REF!*#REF!)+(#REF!*#REF!)+(#REF!*#REF!)+(#REF!*#REF!)+(#REF!*#REF!)+(#REF!*#REF!)</f>
        <v>#REF!</v>
      </c>
      <c r="Q31" s="37" t="e">
        <f>+(#REF!*$Q$15)+(#REF!*$Q$17)+(#REF!*$Q$19)+(#REF!*$Q$21)+(#REF!*$Q$23)+(#REF!*$Q$25)+(#REF!*#REF!)+(#REF!*#REF!)+(#REF!*#REF!)+(#REF!*#REF!)+(#REF!*#REF!)+(#REF!*#REF!)+(#REF!*#REF!)</f>
        <v>#REF!</v>
      </c>
      <c r="R31" s="34" t="e">
        <f>+(#REF!*$Q$15)+(#REF!*$Q$17)+(#REF!*$Q$19)+(#REF!*$Q$21)+(#REF!*$Q$23)+(#REF!*$Q$25)+(#REF!*#REF!)+(#REF!*#REF!)+(#REF!*#REF!)+(#REF!*#REF!)+(#REF!*#REF!)+(#REF!*#REF!)+(#REF!*#REF!)</f>
        <v>#REF!</v>
      </c>
      <c r="S31" s="34" t="e">
        <f>+(#REF!*$Q$15)+(#REF!*$Q$17)+(#REF!*$Q$19)+(#REF!*$Q$21)+(#REF!*$Q$23)+(#REF!*$Q$25)+(#REF!*#REF!)+(#REF!*#REF!)+(#REF!*#REF!)+(#REF!*#REF!)+(#REF!*#REF!)+(#REF!*#REF!)+(#REF!*#REF!)</f>
        <v>#REF!</v>
      </c>
      <c r="T31" s="34" t="e">
        <f>+(#REF!*$Q$15)+(#REF!*$Q$17)+(#REF!*$Q$19)+(#REF!*$Q$21)+(#REF!*$Q$23)+(#REF!*$Q$25)+(#REF!*#REF!)+(#REF!*#REF!)+(#REF!*#REF!)+(#REF!*#REF!)+(#REF!*#REF!)+(#REF!*#REF!)+(#REF!*#REF!)</f>
        <v>#REF!</v>
      </c>
      <c r="U31" s="34" t="e">
        <f>+(#REF!*$Q$15)+(#REF!*$Q$17)+(#REF!*$Q$19)+(#REF!*$Q$21)+(#REF!*$Q$23)+(#REF!*$Q$25)+(#REF!*#REF!)+(#REF!*#REF!)+(#REF!*#REF!)+(#REF!*#REF!)+(#REF!*#REF!)+(#REF!*#REF!)+(#REF!*#REF!)</f>
        <v>#REF!</v>
      </c>
      <c r="V31" s="34" t="e">
        <f>+(#REF!*$Q$15)+(#REF!*$Q$17)+(#REF!*$Q$19)+(#REF!*$Q$21)+(#REF!*$Q$23)+(#REF!*$Q$25)+(#REF!*#REF!)+(#REF!*#REF!)+(#REF!*#REF!)+(#REF!*#REF!)+(#REF!*#REF!)+(#REF!*#REF!)+(#REF!*#REF!)</f>
        <v>#REF!</v>
      </c>
      <c r="W31" s="34" t="e">
        <f>+(#REF!*$Q$15)+(#REF!*$Q$17)+(#REF!*$Q$19)+(#REF!*$Q$21)+(#REF!*$Q$23)+(#REF!*$Q$25)+(#REF!*#REF!)+(#REF!*#REF!)+(#REF!*#REF!)+(#REF!*#REF!)+(#REF!*#REF!)+(#REF!*#REF!)+(#REF!*#REF!)</f>
        <v>#REF!</v>
      </c>
      <c r="X31" s="34" t="e">
        <f>+(#REF!*$Q$15)+(#REF!*$Q$17)+(#REF!*$Q$19)+(#REF!*$Q$21)+(#REF!*$Q$23)+(#REF!*$Q$25)+(#REF!*#REF!)+(#REF!*#REF!)+(#REF!*#REF!)+(#REF!*#REF!)+(#REF!*#REF!)+(#REF!*#REF!)+(#REF!*#REF!)</f>
        <v>#REF!</v>
      </c>
      <c r="Y31" s="34" t="e">
        <f>+(#REF!*$Q$15)+(#REF!*$Q$17)+(#REF!*$Q$19)+(#REF!*$Q$21)+(#REF!*$Q$23)+(#REF!*$Q$25)+(#REF!*#REF!)+(#REF!*#REF!)+(#REF!*#REF!)+(#REF!*#REF!)+(#REF!*#REF!)+(#REF!*#REF!)+(#REF!*#REF!)</f>
        <v>#REF!</v>
      </c>
      <c r="Z31" s="34" t="e">
        <f>+(#REF!*$Q$15)+(#REF!*$Q$17)+(#REF!*$Q$19)+(#REF!*$Q$21)+(#REF!*$Q$23)+(#REF!*$Q$25)+(#REF!*#REF!)+(#REF!*#REF!)+(#REF!*#REF!)+(#REF!*#REF!)+(#REF!*#REF!)+(#REF!*#REF!)+(#REF!*#REF!)</f>
        <v>#REF!</v>
      </c>
      <c r="AA31" s="34" t="e">
        <f>+(#REF!*$Q$15)+(#REF!*$Q$17)+(#REF!*$Q$19)+(#REF!*$Q$21)+(#REF!*$Q$23)+(#REF!*$Q$25)+(#REF!*#REF!)+(#REF!*#REF!)+(#REF!*#REF!)+(#REF!*#REF!)+(#REF!*#REF!)+(#REF!*#REF!)+(#REF!*#REF!)</f>
        <v>#REF!</v>
      </c>
      <c r="AB31" s="34" t="e">
        <f>+(#REF!*$Q$15)+(#REF!*$Q$17)+(#REF!*$Q$19)+(#REF!*$Q$21)+(#REF!*$Q$23)+(#REF!*$Q$25)+(#REF!*#REF!)+(#REF!*#REF!)+(#REF!*#REF!)+(#REF!*#REF!)+(#REF!*#REF!)+(#REF!*#REF!)+(#REF!*#REF!)</f>
        <v>#REF!</v>
      </c>
      <c r="AC31" s="37" t="e">
        <f>+(#REF!*$Q$15)+(#REF!*$Q$17)+(#REF!*$Q$19)+(#REF!*$Q$21)+(#REF!*$Q$23)+(#REF!*$Q$25)+(#REF!*#REF!)+(#REF!*#REF!)+(#REF!*#REF!)+(#REF!*#REF!)+(#REF!*#REF!)+(#REF!*#REF!)+(#REF!*#REF!)</f>
        <v>#REF!</v>
      </c>
      <c r="AD31" s="34" t="e">
        <f>+(#REF!*$Q$15)+(#REF!*$Q$17)+(#REF!*$Q$19)+(#REF!*$Q$21)+(#REF!*$Q$23)+(#REF!*$Q$25)+(#REF!*#REF!)+(#REF!*#REF!)+(#REF!*#REF!)+(#REF!*#REF!)+(#REF!*#REF!)+(#REF!*#REF!)+(#REF!*#REF!)</f>
        <v>#REF!</v>
      </c>
      <c r="AE31" s="61"/>
    </row>
    <row r="32" spans="1:35" s="13" customFormat="1" ht="30" hidden="1" customHeight="1" x14ac:dyDescent="0.35">
      <c r="H32" s="546"/>
      <c r="I32" s="15" t="s">
        <v>137</v>
      </c>
      <c r="J32" s="16"/>
      <c r="K32" s="34"/>
      <c r="L32" s="34"/>
      <c r="M32" s="34"/>
      <c r="N32" s="34"/>
      <c r="O32" s="34"/>
      <c r="P32" s="34" t="e">
        <f>SUM(P31:P31)</f>
        <v>#REF!</v>
      </c>
      <c r="Q32" s="37"/>
      <c r="R32" s="34"/>
      <c r="S32" s="34"/>
      <c r="T32" s="34" t="e">
        <f>SUM(Q31:T31)</f>
        <v>#REF!</v>
      </c>
      <c r="U32" s="34"/>
      <c r="V32" s="34"/>
      <c r="W32" s="34"/>
      <c r="X32" s="34" t="e">
        <f>SUM(U31:X31)</f>
        <v>#REF!</v>
      </c>
      <c r="Y32" s="34"/>
      <c r="Z32" s="34"/>
      <c r="AA32" s="34"/>
      <c r="AB32" s="34" t="e">
        <f>SUM(Y31:AB31)</f>
        <v>#REF!</v>
      </c>
      <c r="AC32" s="37"/>
      <c r="AD32" s="34"/>
      <c r="AE32" s="61"/>
    </row>
    <row r="33" spans="2:31" s="13" customFormat="1" ht="30" hidden="1" customHeight="1" x14ac:dyDescent="0.35">
      <c r="H33" s="546"/>
      <c r="I33" s="15" t="s">
        <v>138</v>
      </c>
      <c r="J33" s="14"/>
      <c r="K33" s="34"/>
      <c r="L33" s="34"/>
      <c r="M33" s="34"/>
      <c r="N33" s="34"/>
      <c r="O33" s="34"/>
      <c r="P33" s="34" t="e">
        <f>+#REF!+P32</f>
        <v>#REF!</v>
      </c>
      <c r="Q33" s="37"/>
      <c r="R33" s="34"/>
      <c r="S33" s="34"/>
      <c r="T33" s="26"/>
      <c r="U33" s="27"/>
      <c r="V33" s="27"/>
      <c r="W33" s="27"/>
      <c r="X33" s="27"/>
      <c r="Y33" s="27"/>
      <c r="Z33" s="27"/>
      <c r="AA33" s="27"/>
      <c r="AB33" s="27" t="e">
        <f>+T32+X32+AB32</f>
        <v>#REF!</v>
      </c>
      <c r="AC33" s="39"/>
      <c r="AD33" s="27"/>
      <c r="AE33" s="62"/>
    </row>
    <row r="34" spans="2:31" s="13" customFormat="1" ht="30" hidden="1" customHeight="1" thickBot="1" x14ac:dyDescent="0.4">
      <c r="H34" s="547"/>
      <c r="I34" s="20" t="s">
        <v>139</v>
      </c>
      <c r="J34" s="19"/>
      <c r="K34" s="35"/>
      <c r="L34" s="35"/>
      <c r="M34" s="35"/>
      <c r="N34" s="35"/>
      <c r="O34" s="35"/>
      <c r="P34" s="35"/>
      <c r="Q34" s="38"/>
      <c r="R34" s="35"/>
      <c r="S34" s="35"/>
      <c r="T34" s="28"/>
      <c r="U34" s="29"/>
      <c r="V34" s="29"/>
      <c r="W34" s="29"/>
      <c r="X34" s="29"/>
      <c r="Y34" s="29"/>
      <c r="Z34" s="29"/>
      <c r="AA34" s="29"/>
      <c r="AB34" s="29" t="e">
        <f>+P33+AB33</f>
        <v>#REF!</v>
      </c>
      <c r="AC34" s="40"/>
      <c r="AD34" s="41"/>
      <c r="AE34" s="62"/>
    </row>
    <row r="35" spans="2:31" ht="30" hidden="1" customHeight="1" x14ac:dyDescent="0.35">
      <c r="H35" s="24"/>
      <c r="I35" s="380" t="s">
        <v>140</v>
      </c>
      <c r="J35" s="380"/>
      <c r="K35" s="46"/>
      <c r="L35" s="46"/>
      <c r="M35" s="46"/>
      <c r="N35" s="46"/>
      <c r="O35" s="46" t="e">
        <f>+O27/O31</f>
        <v>#REF!</v>
      </c>
      <c r="P35" s="47" t="e">
        <f>+(O27+#REF!+#REF!+#REF!+#REF!+#REF!+#REF!+P27)/(O31+#REF!+#REF!+#REF!+#REF!+#REF!+#REF!+P31)</f>
        <v>#REF!</v>
      </c>
      <c r="Q35" s="48" t="e">
        <f>+(O27+#REF!+#REF!+#REF!+#REF!+#REF!+#REF!+P27+Q27)/(O31+#REF!+#REF!+#REF!+#REF!+#REF!+#REF!+P31+Q31)</f>
        <v>#REF!</v>
      </c>
      <c r="R35" s="46" t="e">
        <f>+(O27+#REF!+#REF!+#REF!+#REF!+#REF!+#REF!+P27+Q27+R27)/(O31+#REF!+#REF!+#REF!+#REF!+#REF!+#REF!+P31+Q31+R31)</f>
        <v>#REF!</v>
      </c>
      <c r="S35" s="46" t="e">
        <f>+(O27+#REF!+#REF!+#REF!+#REF!+#REF!+#REF!+P27+Q27+R27+S27)/(O31+#REF!+#REF!+#REF!+#REF!+#REF!+#REF!+P31+Q31+R31+S31)</f>
        <v>#REF!</v>
      </c>
      <c r="T35" s="47" t="e">
        <f>+(O27+#REF!+#REF!+#REF!+#REF!+#REF!+#REF!+P27+Q27+R27+S27+T27)/(O31+#REF!+#REF!+#REF!+#REF!+#REF!+#REF!+P31+Q31+R31+S31+T31)</f>
        <v>#REF!</v>
      </c>
      <c r="U35" s="46" t="e">
        <f>+(O27+#REF!+#REF!+#REF!+#REF!+#REF!+#REF!+P27+Q27+R27+S27+T27+U27)/(O31+#REF!+#REF!+#REF!+#REF!+#REF!+#REF!+P31+Q31+R31+S31+T31+U31)</f>
        <v>#REF!</v>
      </c>
      <c r="V35" s="46" t="e">
        <f>+(O27+#REF!+#REF!+#REF!+#REF!+#REF!+#REF!+P27+Q27+R27+S27+T27+U27+V27)/(O31+#REF!+#REF!+#REF!+#REF!+#REF!+#REF!+P31+Q31+R31+S31+T31+U31+V31)</f>
        <v>#REF!</v>
      </c>
      <c r="W35" s="46" t="e">
        <f>+(O27+#REF!+#REF!+#REF!+#REF!+#REF!+#REF!+P27+Q27+R27+S27+T27+U27+V27+W27)/(O31+#REF!+#REF!+#REF!+#REF!+#REF!+#REF!+P31+Q31+R31+S31+T31+U31+V31+W31)</f>
        <v>#REF!</v>
      </c>
      <c r="X35" s="47" t="e">
        <f>+(O27+#REF!+#REF!+#REF!+#REF!+#REF!+#REF!+P27+Q27+R27+S27+T27+U27+V27+W27+X27)/(O31+#REF!+#REF!+#REF!+#REF!+#REF!+#REF!+P31+Q31+R31+S31+T31+U31+V31+W31+X31)</f>
        <v>#REF!</v>
      </c>
      <c r="Y35" s="46" t="e">
        <f>+(O27+#REF!+#REF!+#REF!+#REF!+#REF!+#REF!+P27+Q27+R27+S27+T27+U27+V27+W27+X27+Y27)/(O31+#REF!+#REF!+#REF!+#REF!+#REF!+#REF!+P31+Q31+R31+S31+T31+U31+V31+W31+X31+Y31)</f>
        <v>#REF!</v>
      </c>
      <c r="Z35" s="46" t="e">
        <f>+(O27+#REF!+#REF!+#REF!+#REF!+#REF!+#REF!+P27+Q27+R27+S27+T27+U27+V27+W27+X27+Y27+Z27)/(O31+#REF!+#REF!+#REF!+#REF!+#REF!+#REF!+P31+Q31+R31+S31+T31+U31+V31+W31+X31+Y31+Z31)</f>
        <v>#REF!</v>
      </c>
      <c r="AA35" s="46" t="e">
        <f>+(O27+#REF!+#REF!+#REF!+#REF!+#REF!+#REF!+P27+Q27+R27+S27+T27+U27+V27+W27+X27+Y27+Z27+AA27)/(O31+#REF!+#REF!+#REF!+#REF!+#REF!+#REF!+P31+Q31+R31+S31+T31+U31+V31+W31+X31+Y31+Z31+AA31)</f>
        <v>#REF!</v>
      </c>
      <c r="AB35" s="47" t="e">
        <f>+(O27+#REF!+#REF!+#REF!+#REF!+#REF!+#REF!+P27+Q27+R27+S27+T27+U27+V27+W27+X27+Y27+Z27+AA27+AB27)/(O31+#REF!+#REF!+#REF!+#REF!+#REF!+#REF!+P31+Q31+R31+S31+T31+U31+V31+W31+X31+Y31+Z31+AA31+AB31)</f>
        <v>#REF!</v>
      </c>
      <c r="AC35" s="48" t="e">
        <f>+(O27+#REF!+#REF!+#REF!+#REF!+#REF!+#REF!+P27+Q27+R27+S27+T27+U27+V27+W27+X27+Y27+Z27+AA27+AB27+AC27)/(O31+#REF!+#REF!+#REF!+#REF!+#REF!+#REF!+P31+Q31+R31+S31+T31+U31+V31+W31+X31+Y31+Z31+AA31+AB31+AC31)</f>
        <v>#REF!</v>
      </c>
      <c r="AD35" s="46" t="e">
        <f>+(O27+#REF!+#REF!+#REF!+#REF!+#REF!+#REF!+P27+Q27+R27+S27+T27+U27+V27+W27+X27+Y27+Z27+AA27+AB27+AC27+AD27)/(O31+#REF!+#REF!+#REF!+#REF!+#REF!+#REF!+P31+Q31+R31+S31+T31+U31+V31+W31+X31+Y31+Z31+AA31+AB31+AC31+AD31)</f>
        <v>#REF!</v>
      </c>
      <c r="AE35" s="63"/>
    </row>
    <row r="36" spans="2:31" ht="30" hidden="1" customHeight="1" x14ac:dyDescent="0.35">
      <c r="H36" s="24"/>
      <c r="I36" s="381" t="s">
        <v>141</v>
      </c>
      <c r="J36" s="381"/>
      <c r="K36" s="47"/>
      <c r="L36" s="47"/>
      <c r="M36" s="47"/>
      <c r="N36" s="47"/>
      <c r="O36" s="47" t="e">
        <f>+O27/$F$27</f>
        <v>#DIV/0!</v>
      </c>
      <c r="P36" s="47" t="e">
        <f>+(O27+#REF!+#REF!+#REF!+#REF!+#REF!+#REF!+P27)/$F$27</f>
        <v>#REF!</v>
      </c>
      <c r="Q36" s="49" t="e">
        <f>+(O27+#REF!+#REF!+#REF!+#REF!+#REF!+#REF!+P27+Q27)/$F$27</f>
        <v>#REF!</v>
      </c>
      <c r="R36" s="47" t="e">
        <f>+(O27+#REF!+#REF!+#REF!+#REF!+#REF!+#REF!+P27+Q27+R27)/$F$27</f>
        <v>#REF!</v>
      </c>
      <c r="S36" s="47" t="e">
        <f>+(O27+#REF!+#REF!+#REF!+#REF!+#REF!+#REF!+P27+Q27+R27+S27)/$F$27</f>
        <v>#REF!</v>
      </c>
      <c r="T36" s="47" t="e">
        <f>+(O27+#REF!+#REF!+#REF!+#REF!+#REF!+#REF!+P27+Q27+R27+S27+T27)/$F$27</f>
        <v>#REF!</v>
      </c>
      <c r="U36" s="47" t="e">
        <f>+(O27+#REF!+#REF!+#REF!+#REF!+#REF!+#REF!+P27+Q27+R27+S27+T27+U27)/$F$27</f>
        <v>#REF!</v>
      </c>
      <c r="V36" s="47" t="e">
        <f>+(O27+#REF!+#REF!+#REF!+#REF!+#REF!+#REF!+P27+Q27+R27+S27+T27+U27+V27)/$F$27</f>
        <v>#REF!</v>
      </c>
      <c r="W36" s="47" t="e">
        <f>+(O27+#REF!+#REF!+#REF!+#REF!+#REF!+#REF!+P27+Q27+R27+S27+T27+U27+V27+W27)/$F$27</f>
        <v>#REF!</v>
      </c>
      <c r="X36" s="47" t="e">
        <f>+(O27+#REF!+#REF!+#REF!+#REF!+#REF!+#REF!+P27+Q27+R27+S27+T27+U27+V27+W27+X27)/$F$27</f>
        <v>#REF!</v>
      </c>
      <c r="Y36" s="47" t="e">
        <f>+(O27+#REF!+#REF!+#REF!+#REF!+#REF!+#REF!+P27+Q27+R27+S27+T27+U27+V27+W27+X27+Y27)/$F$27</f>
        <v>#REF!</v>
      </c>
      <c r="Z36" s="47" t="e">
        <f>+(O27+#REF!+#REF!+#REF!+#REF!+#REF!+#REF!+P27+Q27+R27+S27+T27+U27+V27+W27+X27+Y27+Z27)/$F$27</f>
        <v>#REF!</v>
      </c>
      <c r="AA36" s="47" t="e">
        <f>+(O27+#REF!+#REF!+#REF!+#REF!+#REF!+#REF!+P27+Q27+R27+S27+T27+U27+V27+W27+X27+Y27+Z27+AA27)/$F$27</f>
        <v>#REF!</v>
      </c>
      <c r="AB36" s="47" t="e">
        <f>+(O27+#REF!+#REF!+#REF!+#REF!+#REF!+#REF!+P27+Q27+R27+S27+T27+U27+V27+W27+X27+Y27+Z27+AA27+AB27)/$F$27</f>
        <v>#REF!</v>
      </c>
      <c r="AC36" s="49" t="e">
        <f>+(O27+#REF!+#REF!+#REF!+#REF!+#REF!+#REF!+P27+Q27+R27+S27+T27+U27+V27+W27+X27+Y27+Z27+AA27+AB27+AC27)/$F$27</f>
        <v>#REF!</v>
      </c>
      <c r="AD36" s="47" t="e">
        <f>+(O27+#REF!+#REF!+#REF!+#REF!+#REF!+#REF!+P27+Q27+R27+S27+T27+U27+V27+W27+X27+Y27+Z27+AA27+AB27+AC27+AD27)/$F$27</f>
        <v>#REF!</v>
      </c>
      <c r="AE36" s="64"/>
    </row>
    <row r="37" spans="2:31" ht="30" hidden="1" customHeight="1" x14ac:dyDescent="0.35">
      <c r="I37" s="380" t="s">
        <v>142</v>
      </c>
      <c r="J37" s="380"/>
      <c r="K37" s="50"/>
      <c r="L37" s="50"/>
      <c r="M37" s="50"/>
      <c r="N37" s="50"/>
      <c r="O37" s="50"/>
      <c r="P37" s="47" t="e">
        <f>+P28/P32</f>
        <v>#VALUE!</v>
      </c>
      <c r="Q37" s="51"/>
      <c r="R37" s="50"/>
      <c r="S37" s="50"/>
      <c r="T37" s="47" t="e">
        <f>+T28/T32</f>
        <v>#REF!</v>
      </c>
      <c r="U37" s="50"/>
      <c r="V37" s="50"/>
      <c r="W37" s="50"/>
      <c r="X37" s="47" t="e">
        <f>+X28/X32</f>
        <v>#REF!</v>
      </c>
      <c r="Y37" s="50"/>
      <c r="Z37" s="50"/>
      <c r="AA37" s="50"/>
      <c r="AB37" s="47" t="e">
        <f>+AB28/AB32</f>
        <v>#REF!</v>
      </c>
      <c r="AC37" s="51"/>
      <c r="AD37" s="50"/>
      <c r="AE37" s="65"/>
    </row>
    <row r="38" spans="2:31" ht="30" hidden="1" customHeight="1" x14ac:dyDescent="0.35">
      <c r="I38" s="381" t="s">
        <v>143</v>
      </c>
      <c r="J38" s="381"/>
      <c r="K38" s="50"/>
      <c r="L38" s="50"/>
      <c r="M38" s="50"/>
      <c r="N38" s="50"/>
      <c r="O38" s="50"/>
      <c r="P38" s="47" t="e">
        <f>+(#REF!+P28)/$F$27</f>
        <v>#REF!</v>
      </c>
      <c r="Q38" s="51"/>
      <c r="R38" s="50"/>
      <c r="S38" s="50"/>
      <c r="T38" s="47" t="e">
        <f>+(#REF!+P28+T28)/$F$27</f>
        <v>#REF!</v>
      </c>
      <c r="U38" s="50"/>
      <c r="V38" s="50"/>
      <c r="W38" s="50"/>
      <c r="X38" s="47" t="e">
        <f>+(#REF!+P28+T28+X28)/$F$27</f>
        <v>#REF!</v>
      </c>
      <c r="Y38" s="50"/>
      <c r="Z38" s="50"/>
      <c r="AA38" s="50"/>
      <c r="AB38" s="47" t="e">
        <f>+(#REF!+P28+T28+X28+AB28)/$F$27</f>
        <v>#REF!</v>
      </c>
      <c r="AC38" s="51"/>
      <c r="AD38" s="50"/>
      <c r="AE38" s="65"/>
    </row>
    <row r="39" spans="2:31" ht="30" hidden="1" customHeight="1" x14ac:dyDescent="0.35">
      <c r="I39" s="380" t="s">
        <v>144</v>
      </c>
      <c r="J39" s="380"/>
      <c r="K39" s="50"/>
      <c r="L39" s="50"/>
      <c r="M39" s="50"/>
      <c r="N39" s="50"/>
      <c r="O39" s="50"/>
      <c r="P39" s="47" t="e">
        <f>+(#REF!+P28)/(#REF!+P32)</f>
        <v>#REF!</v>
      </c>
      <c r="Q39" s="51"/>
      <c r="R39" s="50"/>
      <c r="S39" s="50"/>
      <c r="T39" s="50"/>
      <c r="U39" s="50"/>
      <c r="V39" s="50"/>
      <c r="W39" s="50"/>
      <c r="X39" s="50"/>
      <c r="Y39" s="50"/>
      <c r="Z39" s="50"/>
      <c r="AA39" s="50"/>
      <c r="AB39" s="47" t="e">
        <f>+(#REF!+P28+T28+X28+AB28)/(#REF!+P32+T32+X32+AB32)</f>
        <v>#REF!</v>
      </c>
      <c r="AC39" s="51"/>
      <c r="AD39" s="50"/>
      <c r="AE39" s="65"/>
    </row>
    <row r="40" spans="2:31" ht="30" hidden="1" customHeight="1" x14ac:dyDescent="0.35">
      <c r="I40" s="380" t="s">
        <v>145</v>
      </c>
      <c r="J40" s="380"/>
      <c r="K40" s="50"/>
      <c r="L40" s="50"/>
      <c r="M40" s="50"/>
      <c r="N40" s="50"/>
      <c r="O40" s="50"/>
      <c r="P40" s="47" t="e">
        <f>+(#REF!+P28)/$F$27</f>
        <v>#REF!</v>
      </c>
      <c r="Q40" s="51"/>
      <c r="R40" s="50"/>
      <c r="S40" s="50"/>
      <c r="T40" s="50"/>
      <c r="U40" s="50"/>
      <c r="V40" s="50"/>
      <c r="W40" s="50"/>
      <c r="X40" s="50"/>
      <c r="Y40" s="50"/>
      <c r="Z40" s="50"/>
      <c r="AA40" s="50"/>
      <c r="AB40" s="47" t="e">
        <f>+(+#REF!+P28+T28+X28+AB28)/$F$27</f>
        <v>#REF!</v>
      </c>
      <c r="AC40" s="51"/>
      <c r="AD40" s="50"/>
      <c r="AE40" s="65"/>
    </row>
    <row r="41" spans="2:31" ht="15" hidden="1" customHeight="1" x14ac:dyDescent="0.35"/>
    <row r="42" spans="2:31" ht="35.15" hidden="1" customHeight="1" x14ac:dyDescent="0.35">
      <c r="H42" s="573" t="s">
        <v>146</v>
      </c>
      <c r="I42" s="573"/>
      <c r="J42" s="30" t="e">
        <f>+#REF!</f>
        <v>#REF!</v>
      </c>
      <c r="K42" s="32"/>
      <c r="L42" s="32"/>
      <c r="M42" s="32"/>
      <c r="N42" s="32"/>
      <c r="O42" s="32"/>
    </row>
    <row r="43" spans="2:31" ht="35.15" hidden="1" customHeight="1" thickBot="1" x14ac:dyDescent="0.4">
      <c r="H43" s="573" t="s">
        <v>147</v>
      </c>
      <c r="I43" s="573"/>
      <c r="J43" s="25">
        <f>+F27</f>
        <v>0</v>
      </c>
      <c r="K43" s="32"/>
      <c r="L43" s="32"/>
      <c r="M43" s="32"/>
      <c r="N43" s="32"/>
      <c r="O43" s="32"/>
    </row>
    <row r="44" spans="2:31" ht="35.15" hidden="1" customHeight="1" thickBot="1" x14ac:dyDescent="0.4">
      <c r="H44" s="573" t="s">
        <v>148</v>
      </c>
      <c r="I44" s="573"/>
      <c r="J44" s="31" t="e">
        <f>+J42/J43</f>
        <v>#REF!</v>
      </c>
      <c r="K44" s="32"/>
      <c r="L44" s="32"/>
      <c r="M44" s="32"/>
      <c r="N44" s="32"/>
      <c r="O44" s="32"/>
    </row>
    <row r="45" spans="2:31" ht="15" hidden="1" customHeight="1" x14ac:dyDescent="0.35">
      <c r="B45" s="371" t="s">
        <v>51</v>
      </c>
      <c r="C45" s="371" t="s">
        <v>52</v>
      </c>
      <c r="D45" s="371" t="s">
        <v>53</v>
      </c>
      <c r="E45" s="371" t="s">
        <v>54</v>
      </c>
      <c r="F45" s="371" t="s">
        <v>30</v>
      </c>
      <c r="G45" s="373" t="s">
        <v>55</v>
      </c>
      <c r="M45" s="373" t="s">
        <v>509</v>
      </c>
      <c r="N45" s="32"/>
      <c r="O45" s="32"/>
    </row>
    <row r="46" spans="2:31" ht="15" hidden="1" customHeight="1" x14ac:dyDescent="0.35">
      <c r="B46" s="372"/>
      <c r="C46" s="372"/>
      <c r="D46" s="372"/>
      <c r="E46" s="372"/>
      <c r="F46" s="372"/>
      <c r="G46" s="372"/>
      <c r="M46" s="372"/>
      <c r="N46" s="32"/>
      <c r="O46" s="32"/>
    </row>
    <row r="47" spans="2:31" ht="15" hidden="1" customHeight="1" x14ac:dyDescent="0.35">
      <c r="B47" s="1" t="s">
        <v>510</v>
      </c>
      <c r="C47" s="13" t="s">
        <v>829</v>
      </c>
      <c r="D47" s="1" t="s">
        <v>118</v>
      </c>
      <c r="E47" s="1" t="s">
        <v>119</v>
      </c>
      <c r="F47" s="1" t="s">
        <v>512</v>
      </c>
      <c r="G47" s="1" t="s">
        <v>513</v>
      </c>
      <c r="M47" s="13" t="s">
        <v>514</v>
      </c>
      <c r="N47" s="32"/>
      <c r="O47" s="32"/>
    </row>
    <row r="48" spans="2:31" ht="15" hidden="1" customHeight="1" x14ac:dyDescent="0.35">
      <c r="B48" s="1" t="s">
        <v>515</v>
      </c>
      <c r="C48" s="13" t="s">
        <v>830</v>
      </c>
      <c r="D48" s="1" t="s">
        <v>254</v>
      </c>
      <c r="E48" s="1" t="s">
        <v>517</v>
      </c>
      <c r="F48" s="1" t="s">
        <v>518</v>
      </c>
      <c r="G48" s="1" t="s">
        <v>519</v>
      </c>
      <c r="M48" s="13" t="s">
        <v>520</v>
      </c>
    </row>
    <row r="49" spans="2:13" ht="15" hidden="1" customHeight="1" x14ac:dyDescent="0.35">
      <c r="B49" s="1" t="s">
        <v>521</v>
      </c>
      <c r="C49" s="13" t="s">
        <v>826</v>
      </c>
      <c r="D49" s="1" t="s">
        <v>84</v>
      </c>
      <c r="E49" s="1" t="s">
        <v>255</v>
      </c>
      <c r="F49" s="1" t="s">
        <v>523</v>
      </c>
      <c r="G49" s="1" t="s">
        <v>524</v>
      </c>
      <c r="M49" s="13" t="s">
        <v>525</v>
      </c>
    </row>
    <row r="50" spans="2:13" ht="15" hidden="1" customHeight="1" x14ac:dyDescent="0.35">
      <c r="B50" s="1" t="s">
        <v>526</v>
      </c>
      <c r="C50" s="13" t="s">
        <v>827</v>
      </c>
      <c r="D50" s="1" t="s">
        <v>157</v>
      </c>
      <c r="E50" s="1" t="s">
        <v>528</v>
      </c>
      <c r="F50" s="1" t="s">
        <v>529</v>
      </c>
      <c r="G50" s="1" t="s">
        <v>530</v>
      </c>
    </row>
    <row r="51" spans="2:13" ht="15" hidden="1" customHeight="1" x14ac:dyDescent="0.35">
      <c r="B51" s="1" t="s">
        <v>531</v>
      </c>
      <c r="C51" s="13" t="s">
        <v>828</v>
      </c>
      <c r="D51" s="1" t="s">
        <v>533</v>
      </c>
      <c r="E51" s="1" t="s">
        <v>534</v>
      </c>
      <c r="F51" s="1" t="s">
        <v>535</v>
      </c>
      <c r="G51" s="1" t="s">
        <v>536</v>
      </c>
    </row>
    <row r="52" spans="2:13" ht="15" hidden="1" customHeight="1" x14ac:dyDescent="0.35">
      <c r="B52" s="1" t="s">
        <v>537</v>
      </c>
      <c r="C52" s="13" t="s">
        <v>825</v>
      </c>
      <c r="D52" s="1" t="s">
        <v>539</v>
      </c>
      <c r="E52" s="1" t="s">
        <v>150</v>
      </c>
      <c r="F52" s="1" t="s">
        <v>244</v>
      </c>
      <c r="G52" s="1" t="s">
        <v>384</v>
      </c>
    </row>
    <row r="53" spans="2:13" ht="15" hidden="1" customHeight="1" x14ac:dyDescent="0.35">
      <c r="B53" s="1" t="s">
        <v>540</v>
      </c>
      <c r="C53" s="13" t="s">
        <v>823</v>
      </c>
      <c r="D53" s="1" t="s">
        <v>542</v>
      </c>
      <c r="E53" s="1" t="s">
        <v>112</v>
      </c>
      <c r="F53" s="1" t="s">
        <v>543</v>
      </c>
      <c r="G53" s="1" t="s">
        <v>544</v>
      </c>
    </row>
    <row r="54" spans="2:13" ht="15" hidden="1" customHeight="1" x14ac:dyDescent="0.35">
      <c r="B54" s="1" t="s">
        <v>545</v>
      </c>
      <c r="C54" s="13" t="s">
        <v>821</v>
      </c>
      <c r="E54" s="1" t="s">
        <v>451</v>
      </c>
      <c r="F54" s="1" t="s">
        <v>547</v>
      </c>
      <c r="G54" s="1" t="s">
        <v>426</v>
      </c>
    </row>
    <row r="55" spans="2:13" ht="15" hidden="1" customHeight="1" x14ac:dyDescent="0.35">
      <c r="C55" s="13" t="s">
        <v>822</v>
      </c>
      <c r="E55" s="1" t="s">
        <v>123</v>
      </c>
      <c r="F55" s="1" t="s">
        <v>549</v>
      </c>
      <c r="G55" s="1" t="s">
        <v>97</v>
      </c>
    </row>
    <row r="56" spans="2:13" ht="15" hidden="1" customHeight="1" x14ac:dyDescent="0.35">
      <c r="C56" s="13" t="s">
        <v>824</v>
      </c>
      <c r="E56" s="1" t="s">
        <v>551</v>
      </c>
      <c r="F56" s="1" t="s">
        <v>552</v>
      </c>
      <c r="G56" s="1" t="s">
        <v>120</v>
      </c>
    </row>
    <row r="57" spans="2:13" ht="15" hidden="1" customHeight="1" x14ac:dyDescent="0.35">
      <c r="C57" s="13"/>
      <c r="E57" s="1" t="s">
        <v>85</v>
      </c>
      <c r="F57" s="1" t="s">
        <v>553</v>
      </c>
      <c r="G57" s="1" t="s">
        <v>108</v>
      </c>
    </row>
    <row r="58" spans="2:13" ht="15" hidden="1" customHeight="1" x14ac:dyDescent="0.35">
      <c r="C58" s="13"/>
      <c r="E58" s="1" t="s">
        <v>554</v>
      </c>
      <c r="F58" s="1" t="s">
        <v>555</v>
      </c>
      <c r="G58" s="1" t="s">
        <v>556</v>
      </c>
    </row>
    <row r="59" spans="2:13" ht="15" hidden="1" customHeight="1" x14ac:dyDescent="0.35">
      <c r="E59" s="1" t="s">
        <v>154</v>
      </c>
      <c r="G59" s="1" t="s">
        <v>557</v>
      </c>
    </row>
    <row r="60" spans="2:13" ht="15" hidden="1" customHeight="1" x14ac:dyDescent="0.35">
      <c r="E60" s="1" t="s">
        <v>558</v>
      </c>
      <c r="G60" s="1" t="s">
        <v>559</v>
      </c>
    </row>
    <row r="61" spans="2:13" ht="15" hidden="1" customHeight="1" x14ac:dyDescent="0.35">
      <c r="E61" s="1" t="s">
        <v>560</v>
      </c>
      <c r="G61" s="1" t="s">
        <v>561</v>
      </c>
    </row>
    <row r="62" spans="2:13" ht="15" hidden="1" customHeight="1" x14ac:dyDescent="0.35">
      <c r="E62" s="1" t="s">
        <v>107</v>
      </c>
      <c r="G62" s="1" t="s">
        <v>562</v>
      </c>
    </row>
    <row r="63" spans="2:13" ht="15" hidden="1" customHeight="1" x14ac:dyDescent="0.35">
      <c r="E63" s="1" t="s">
        <v>563</v>
      </c>
      <c r="G63" s="1" t="s">
        <v>564</v>
      </c>
    </row>
    <row r="64" spans="2:13" ht="15" hidden="1" customHeight="1" x14ac:dyDescent="0.35">
      <c r="E64" s="1" t="s">
        <v>565</v>
      </c>
      <c r="G64" s="1" t="s">
        <v>566</v>
      </c>
    </row>
    <row r="65" spans="5:7" ht="15" hidden="1" customHeight="1" x14ac:dyDescent="0.35">
      <c r="E65" s="1" t="s">
        <v>567</v>
      </c>
      <c r="G65" s="1" t="s">
        <v>568</v>
      </c>
    </row>
    <row r="66" spans="5:7" ht="15" hidden="1" customHeight="1" x14ac:dyDescent="0.35">
      <c r="G66" s="1" t="s">
        <v>569</v>
      </c>
    </row>
    <row r="67" spans="5:7" ht="15" hidden="1" customHeight="1" x14ac:dyDescent="0.35">
      <c r="G67" s="1" t="s">
        <v>570</v>
      </c>
    </row>
    <row r="68" spans="5:7" ht="15" hidden="1" customHeight="1" x14ac:dyDescent="0.35">
      <c r="G68" s="1" t="s">
        <v>571</v>
      </c>
    </row>
    <row r="69" spans="5:7" ht="15" hidden="1" customHeight="1" x14ac:dyDescent="0.35">
      <c r="G69" s="1" t="s">
        <v>572</v>
      </c>
    </row>
    <row r="70" spans="5:7" ht="15" hidden="1" customHeight="1" x14ac:dyDescent="0.35">
      <c r="G70" s="1" t="s">
        <v>573</v>
      </c>
    </row>
    <row r="71" spans="5:7" ht="15" hidden="1" customHeight="1" x14ac:dyDescent="0.35">
      <c r="G71" s="1" t="s">
        <v>574</v>
      </c>
    </row>
    <row r="72" spans="5:7" ht="15" hidden="1" customHeight="1" x14ac:dyDescent="0.35">
      <c r="G72" s="1" t="s">
        <v>575</v>
      </c>
    </row>
    <row r="73" spans="5:7" ht="15" hidden="1" customHeight="1" x14ac:dyDescent="0.35">
      <c r="G73" s="1" t="s">
        <v>576</v>
      </c>
    </row>
    <row r="74" spans="5:7" ht="15" hidden="1" customHeight="1" x14ac:dyDescent="0.35">
      <c r="G74" s="1" t="s">
        <v>577</v>
      </c>
    </row>
    <row r="75" spans="5:7" ht="15" hidden="1" customHeight="1" x14ac:dyDescent="0.35">
      <c r="G75" s="1" t="s">
        <v>578</v>
      </c>
    </row>
    <row r="76" spans="5:7" ht="15" hidden="1" customHeight="1" x14ac:dyDescent="0.35">
      <c r="G76" s="1" t="s">
        <v>579</v>
      </c>
    </row>
    <row r="77" spans="5:7" ht="15" hidden="1" customHeight="1" x14ac:dyDescent="0.35">
      <c r="G77" s="1" t="s">
        <v>580</v>
      </c>
    </row>
    <row r="78" spans="5:7" ht="15" hidden="1" customHeight="1" x14ac:dyDescent="0.35">
      <c r="G78" s="1" t="s">
        <v>581</v>
      </c>
    </row>
    <row r="79" spans="5:7" ht="15" hidden="1" customHeight="1" x14ac:dyDescent="0.35">
      <c r="G79" s="1" t="s">
        <v>582</v>
      </c>
    </row>
    <row r="80" spans="5:7" ht="15" hidden="1" customHeight="1" x14ac:dyDescent="0.35">
      <c r="G80" s="1" t="s">
        <v>124</v>
      </c>
    </row>
    <row r="81" spans="7:7" ht="15" hidden="1" customHeight="1" x14ac:dyDescent="0.35">
      <c r="G81" s="1" t="s">
        <v>583</v>
      </c>
    </row>
    <row r="82" spans="7:7" ht="15" hidden="1" customHeight="1" x14ac:dyDescent="0.35">
      <c r="G82" s="1" t="s">
        <v>584</v>
      </c>
    </row>
    <row r="83" spans="7:7" ht="15" hidden="1" customHeight="1" x14ac:dyDescent="0.35">
      <c r="G83" s="1" t="s">
        <v>585</v>
      </c>
    </row>
    <row r="84" spans="7:7" ht="15" hidden="1" customHeight="1" x14ac:dyDescent="0.35">
      <c r="G84" s="1" t="s">
        <v>586</v>
      </c>
    </row>
    <row r="85" spans="7:7" ht="15" hidden="1" customHeight="1" x14ac:dyDescent="0.35">
      <c r="G85" s="1" t="s">
        <v>87</v>
      </c>
    </row>
    <row r="86" spans="7:7" ht="15" hidden="1" customHeight="1" x14ac:dyDescent="0.35">
      <c r="G86" s="1" t="s">
        <v>587</v>
      </c>
    </row>
    <row r="87" spans="7:7" ht="15" hidden="1" customHeight="1" x14ac:dyDescent="0.35">
      <c r="G87" s="1" t="s">
        <v>588</v>
      </c>
    </row>
    <row r="88" spans="7:7" ht="15" hidden="1" customHeight="1" x14ac:dyDescent="0.35">
      <c r="G88" s="1" t="s">
        <v>261</v>
      </c>
    </row>
    <row r="89" spans="7:7" ht="15" hidden="1" customHeight="1" x14ac:dyDescent="0.35">
      <c r="G89" s="1" t="s">
        <v>589</v>
      </c>
    </row>
    <row r="90" spans="7:7" ht="15" hidden="1" customHeight="1" x14ac:dyDescent="0.35">
      <c r="G90" s="1" t="s">
        <v>590</v>
      </c>
    </row>
    <row r="91" spans="7:7" ht="15" hidden="1" customHeight="1" x14ac:dyDescent="0.35">
      <c r="G91" s="1" t="s">
        <v>591</v>
      </c>
    </row>
    <row r="92" spans="7:7" ht="15" hidden="1" customHeight="1" x14ac:dyDescent="0.35">
      <c r="G92" s="1" t="s">
        <v>592</v>
      </c>
    </row>
    <row r="93" spans="7:7" ht="15" hidden="1" customHeight="1" x14ac:dyDescent="0.35">
      <c r="G93" s="1" t="s">
        <v>593</v>
      </c>
    </row>
    <row r="94" spans="7:7" ht="15" hidden="1" customHeight="1" x14ac:dyDescent="0.35">
      <c r="G94" s="1" t="s">
        <v>594</v>
      </c>
    </row>
    <row r="95" spans="7:7" ht="15" hidden="1" customHeight="1" x14ac:dyDescent="0.35">
      <c r="G95" s="1" t="s">
        <v>595</v>
      </c>
    </row>
    <row r="96" spans="7:7" ht="15" hidden="1" customHeight="1" x14ac:dyDescent="0.35">
      <c r="G96" s="1" t="s">
        <v>596</v>
      </c>
    </row>
    <row r="97" spans="7:7" ht="15" hidden="1" customHeight="1" x14ac:dyDescent="0.35">
      <c r="G97" s="1" t="s">
        <v>597</v>
      </c>
    </row>
    <row r="98" spans="7:7" ht="15" hidden="1" customHeight="1" x14ac:dyDescent="0.35">
      <c r="G98" s="1" t="s">
        <v>259</v>
      </c>
    </row>
    <row r="99" spans="7:7" ht="15" hidden="1" customHeight="1" x14ac:dyDescent="0.35">
      <c r="G99" s="1" t="s">
        <v>39</v>
      </c>
    </row>
    <row r="100" spans="7:7" ht="15" hidden="1" customHeight="1" x14ac:dyDescent="0.35">
      <c r="G100" s="1" t="s">
        <v>153</v>
      </c>
    </row>
    <row r="101" spans="7:7" ht="15" hidden="1" customHeight="1" x14ac:dyDescent="0.35">
      <c r="G101" s="1" t="s">
        <v>598</v>
      </c>
    </row>
    <row r="102" spans="7:7" ht="15" hidden="1" customHeight="1" x14ac:dyDescent="0.35">
      <c r="G102" s="1" t="s">
        <v>599</v>
      </c>
    </row>
    <row r="103" spans="7:7" ht="15" hidden="1" customHeight="1" x14ac:dyDescent="0.35">
      <c r="G103" s="1" t="s">
        <v>600</v>
      </c>
    </row>
    <row r="104" spans="7:7" ht="15" hidden="1" customHeight="1" x14ac:dyDescent="0.35">
      <c r="G104" s="1" t="s">
        <v>601</v>
      </c>
    </row>
    <row r="105" spans="7:7" ht="15" hidden="1" customHeight="1" x14ac:dyDescent="0.35">
      <c r="G105" s="1" t="s">
        <v>602</v>
      </c>
    </row>
    <row r="106" spans="7:7" ht="15" hidden="1" customHeight="1" x14ac:dyDescent="0.35">
      <c r="G106" s="1" t="s">
        <v>603</v>
      </c>
    </row>
  </sheetData>
  <sheetProtection formatCells="0" formatColumns="0" formatRows="0" insertColumns="0" insertRows="0" insertHyperlinks="0" deleteColumns="0" deleteRows="0" sort="0" autoFilter="0" pivotTables="0"/>
  <autoFilter ref="A13:AI13" xr:uid="{3BB1347B-EBF9-4B9E-B402-EBAAC9B87EF8}"/>
  <mergeCells count="228">
    <mergeCell ref="AH26:AH27"/>
    <mergeCell ref="AI26:AI27"/>
    <mergeCell ref="A28:A29"/>
    <mergeCell ref="B28:B29"/>
    <mergeCell ref="C28:C29"/>
    <mergeCell ref="D28:D29"/>
    <mergeCell ref="E28:E29"/>
    <mergeCell ref="F28:F29"/>
    <mergeCell ref="G28:G29"/>
    <mergeCell ref="I28:I29"/>
    <mergeCell ref="J28:J29"/>
    <mergeCell ref="K28:K29"/>
    <mergeCell ref="L28:L29"/>
    <mergeCell ref="M28:M29"/>
    <mergeCell ref="N28:N29"/>
    <mergeCell ref="O28:O29"/>
    <mergeCell ref="AF28:AF29"/>
    <mergeCell ref="AG28:AG29"/>
    <mergeCell ref="AH28:AH29"/>
    <mergeCell ref="AI28:AI29"/>
    <mergeCell ref="H26:H27"/>
    <mergeCell ref="H28:H29"/>
    <mergeCell ref="I26:I27"/>
    <mergeCell ref="J26:J27"/>
    <mergeCell ref="K26:K27"/>
    <mergeCell ref="L26:L27"/>
    <mergeCell ref="M26:M27"/>
    <mergeCell ref="N26:N27"/>
    <mergeCell ref="O26:O27"/>
    <mergeCell ref="AF26:AF27"/>
    <mergeCell ref="AG26:AG27"/>
    <mergeCell ref="A26:A27"/>
    <mergeCell ref="B26:B27"/>
    <mergeCell ref="C26:C27"/>
    <mergeCell ref="D26:D27"/>
    <mergeCell ref="E26:E27"/>
    <mergeCell ref="F26:F27"/>
    <mergeCell ref="G26:G27"/>
    <mergeCell ref="H42:I42"/>
    <mergeCell ref="H43:I43"/>
    <mergeCell ref="H44:I44"/>
    <mergeCell ref="I35:J35"/>
    <mergeCell ref="I36:J36"/>
    <mergeCell ref="I37:J37"/>
    <mergeCell ref="I38:J38"/>
    <mergeCell ref="I39:J39"/>
    <mergeCell ref="I40:J40"/>
    <mergeCell ref="O24:O25"/>
    <mergeCell ref="AF24:AF25"/>
    <mergeCell ref="AG24:AG25"/>
    <mergeCell ref="AH24:AH25"/>
    <mergeCell ref="I24:I25"/>
    <mergeCell ref="J24:J25"/>
    <mergeCell ref="K24:K25"/>
    <mergeCell ref="L24:L25"/>
    <mergeCell ref="M24:M25"/>
    <mergeCell ref="N24:N25"/>
    <mergeCell ref="A24:A25"/>
    <mergeCell ref="B24:B25"/>
    <mergeCell ref="C24:C25"/>
    <mergeCell ref="D24:D25"/>
    <mergeCell ref="E24:E25"/>
    <mergeCell ref="F24:F25"/>
    <mergeCell ref="G24:G25"/>
    <mergeCell ref="H24:H25"/>
    <mergeCell ref="L22:L23"/>
    <mergeCell ref="F22:F23"/>
    <mergeCell ref="G22:G23"/>
    <mergeCell ref="H22:H23"/>
    <mergeCell ref="I22:I23"/>
    <mergeCell ref="J22:J23"/>
    <mergeCell ref="K22:K23"/>
    <mergeCell ref="A22:A23"/>
    <mergeCell ref="B22:B23"/>
    <mergeCell ref="C22:C23"/>
    <mergeCell ref="D22:D23"/>
    <mergeCell ref="E22:E23"/>
    <mergeCell ref="L20:L21"/>
    <mergeCell ref="A20:A21"/>
    <mergeCell ref="M14:M15"/>
    <mergeCell ref="AF18:AF19"/>
    <mergeCell ref="AG18:AG19"/>
    <mergeCell ref="A16:A17"/>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O20:O21"/>
    <mergeCell ref="AF20:AF21"/>
    <mergeCell ref="AG20:AG21"/>
    <mergeCell ref="O16:O17"/>
    <mergeCell ref="AF16:AF17"/>
    <mergeCell ref="AG16:AG17"/>
    <mergeCell ref="AH16:AH17"/>
    <mergeCell ref="A18:A19"/>
    <mergeCell ref="B18:B19"/>
    <mergeCell ref="C18:C19"/>
    <mergeCell ref="D18:D19"/>
    <mergeCell ref="E18:E19"/>
    <mergeCell ref="I16:I17"/>
    <mergeCell ref="J16:J17"/>
    <mergeCell ref="K16:K17"/>
    <mergeCell ref="L16:L17"/>
    <mergeCell ref="M16:M17"/>
    <mergeCell ref="N16:N17"/>
    <mergeCell ref="AH18:AH19"/>
    <mergeCell ref="M18:M19"/>
    <mergeCell ref="N18:N19"/>
    <mergeCell ref="O18:O19"/>
    <mergeCell ref="L12:L13"/>
    <mergeCell ref="A12:A13"/>
    <mergeCell ref="B16:B17"/>
    <mergeCell ref="C16:C17"/>
    <mergeCell ref="D16:D17"/>
    <mergeCell ref="E16:E17"/>
    <mergeCell ref="F16:F17"/>
    <mergeCell ref="G16:G17"/>
    <mergeCell ref="H16:H17"/>
    <mergeCell ref="L14:L15"/>
    <mergeCell ref="I14:I15"/>
    <mergeCell ref="J14:J15"/>
    <mergeCell ref="K14:K15"/>
    <mergeCell ref="P12:P13"/>
    <mergeCell ref="Q12:Q13"/>
    <mergeCell ref="AH12:AH13"/>
    <mergeCell ref="B12:B13"/>
    <mergeCell ref="C12:C13"/>
    <mergeCell ref="D12:D13"/>
    <mergeCell ref="E12:E13"/>
    <mergeCell ref="F12:F13"/>
    <mergeCell ref="N14:N15"/>
    <mergeCell ref="O14:O15"/>
    <mergeCell ref="AF14:AF15"/>
    <mergeCell ref="AG14:AG15"/>
    <mergeCell ref="F14:F15"/>
    <mergeCell ref="G14:G15"/>
    <mergeCell ref="H14:H15"/>
    <mergeCell ref="AE12:AE13"/>
    <mergeCell ref="AF12:AF13"/>
    <mergeCell ref="AG12:AG13"/>
    <mergeCell ref="R12:R13"/>
    <mergeCell ref="G12:G13"/>
    <mergeCell ref="H12:H13"/>
    <mergeCell ref="I12:I13"/>
    <mergeCell ref="J12:J13"/>
    <mergeCell ref="K12:K13"/>
    <mergeCell ref="AE6:AF10"/>
    <mergeCell ref="AG6:AG10"/>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H14:AH15"/>
    <mergeCell ref="O12:O13"/>
    <mergeCell ref="AI16:AI17"/>
    <mergeCell ref="AI14:AI15"/>
    <mergeCell ref="A1:C3"/>
    <mergeCell ref="D1:AI3"/>
    <mergeCell ref="A4:A5"/>
    <mergeCell ref="G4:G5"/>
    <mergeCell ref="A6:B10"/>
    <mergeCell ref="C6:D10"/>
    <mergeCell ref="E6:F10"/>
    <mergeCell ref="G6:G10"/>
    <mergeCell ref="H6:I10"/>
    <mergeCell ref="J6:J10"/>
    <mergeCell ref="AH6:AH10"/>
    <mergeCell ref="A11:F11"/>
    <mergeCell ref="G11:O11"/>
    <mergeCell ref="P11:AE11"/>
    <mergeCell ref="AF11:AI11"/>
    <mergeCell ref="K6:L10"/>
    <mergeCell ref="M6:M10"/>
    <mergeCell ref="N6:O10"/>
    <mergeCell ref="P6:R10"/>
    <mergeCell ref="S6:V10"/>
    <mergeCell ref="W6:Z10"/>
    <mergeCell ref="AA6:AD10"/>
    <mergeCell ref="B45:B46"/>
    <mergeCell ref="C45:C46"/>
    <mergeCell ref="D45:D46"/>
    <mergeCell ref="E45:E46"/>
    <mergeCell ref="F45:F46"/>
    <mergeCell ref="G45:G46"/>
    <mergeCell ref="M45:M46"/>
    <mergeCell ref="AI18:AI19"/>
    <mergeCell ref="AI20:AI21"/>
    <mergeCell ref="AI22:AI23"/>
    <mergeCell ref="AI24:AI25"/>
    <mergeCell ref="AH20:AH21"/>
    <mergeCell ref="M20:M21"/>
    <mergeCell ref="N20:N21"/>
    <mergeCell ref="AH22:AH23"/>
    <mergeCell ref="M22:M23"/>
    <mergeCell ref="N22:N23"/>
    <mergeCell ref="O22:O23"/>
    <mergeCell ref="AF22:AF23"/>
    <mergeCell ref="AG22:AG23"/>
    <mergeCell ref="H31:H34"/>
    <mergeCell ref="I20:I21"/>
    <mergeCell ref="J20:J21"/>
    <mergeCell ref="K20:K21"/>
  </mergeCells>
  <conditionalFormatting sqref="I4">
    <cfRule type="cellIs" dxfId="149" priority="19" operator="lessThanOrEqual">
      <formula>$C$4</formula>
    </cfRule>
  </conditionalFormatting>
  <conditionalFormatting sqref="J6">
    <cfRule type="cellIs" dxfId="148" priority="20" operator="greaterThanOrEqual">
      <formula>$C$5</formula>
    </cfRule>
    <cfRule type="cellIs" dxfId="147" priority="21" operator="lessThanOrEqual">
      <formula>$C$4</formula>
    </cfRule>
    <cfRule type="cellIs" dxfId="146" priority="22" operator="between">
      <formula>$C$5</formula>
      <formula>$C$4</formula>
    </cfRule>
  </conditionalFormatting>
  <conditionalFormatting sqref="P6">
    <cfRule type="cellIs" dxfId="145" priority="16" operator="greaterThanOrEqual">
      <formula>$I$5</formula>
    </cfRule>
    <cfRule type="cellIs" dxfId="144" priority="17" operator="lessThanOrEqual">
      <formula>$I$4</formula>
    </cfRule>
    <cfRule type="cellIs" dxfId="143" priority="18" operator="between">
      <formula>$I$5</formula>
      <formula>$I$4</formula>
    </cfRule>
  </conditionalFormatting>
  <conditionalFormatting sqref="R14:R29">
    <cfRule type="cellIs" dxfId="142" priority="13" operator="greaterThanOrEqual">
      <formula>$C$5</formula>
    </cfRule>
    <cfRule type="cellIs" dxfId="141" priority="14" operator="lessThanOrEqual">
      <formula>$C$4</formula>
    </cfRule>
    <cfRule type="cellIs" dxfId="140" priority="15" operator="between">
      <formula>$C$5</formula>
      <formula>$C$4</formula>
    </cfRule>
  </conditionalFormatting>
  <conditionalFormatting sqref="T35:T38 X35:X38 P35:P40 AB35:AB40 K36:O36 Q36:S36 U36:W36 Y36:AA36 AC36:AE36 J44">
    <cfRule type="cellIs" dxfId="139" priority="23" operator="greaterThanOrEqual">
      <formula>$D$9</formula>
    </cfRule>
    <cfRule type="cellIs" dxfId="138" priority="24" operator="lessThanOrEqual">
      <formula>$C$6</formula>
    </cfRule>
    <cfRule type="cellIs" dxfId="137" priority="25" operator="between">
      <formula>$C$6</formula>
      <formula>$D$9</formula>
    </cfRule>
  </conditionalFormatting>
  <conditionalFormatting sqref="W6">
    <cfRule type="cellIs" dxfId="136" priority="10" operator="greaterThanOrEqual">
      <formula>$I$5</formula>
    </cfRule>
    <cfRule type="cellIs" dxfId="135" priority="11" operator="lessThanOrEqual">
      <formula>$I$4</formula>
    </cfRule>
    <cfRule type="cellIs" dxfId="134" priority="12" operator="between">
      <formula>$I$5</formula>
      <formula>$I$4</formula>
    </cfRule>
  </conditionalFormatting>
  <conditionalFormatting sqref="AE6">
    <cfRule type="cellIs" dxfId="133" priority="1" operator="greaterThanOrEqual">
      <formula>$I$5</formula>
    </cfRule>
    <cfRule type="cellIs" dxfId="132" priority="2" operator="lessThanOrEqual">
      <formula>$I$4</formula>
    </cfRule>
    <cfRule type="cellIs" dxfId="131" priority="3" operator="between">
      <formula>$I$5</formula>
      <formula>$I$4</formula>
    </cfRule>
  </conditionalFormatting>
  <conditionalFormatting sqref="AH6">
    <cfRule type="cellIs" dxfId="130" priority="4" operator="greaterThanOrEqual">
      <formula>$I$5</formula>
    </cfRule>
    <cfRule type="cellIs" dxfId="129" priority="5" operator="lessThanOrEqual">
      <formula>$I$4</formula>
    </cfRule>
    <cfRule type="cellIs" dxfId="128" priority="6" operator="between">
      <formula>$I$5</formula>
      <formula>$I$4</formula>
    </cfRule>
  </conditionalFormatting>
  <dataValidations count="10">
    <dataValidation allowBlank="1" showErrorMessage="1" sqref="R14:R29" xr:uid="{668C2E6E-6849-4D50-8400-DEB90648B25D}"/>
    <dataValidation type="decimal" allowBlank="1" showInputMessage="1" showErrorMessage="1" prompt="% de avance en la actividad - indique el % programado de avance durante esta semana_x000a_" sqref="S14:U23 S25:U25 V14:AE29 S27:U27 S29:U29" xr:uid="{4BE4BED8-21FD-428F-B66B-9D3BF53F8CD3}">
      <formula1>0</formula1>
      <formula2>1</formula2>
    </dataValidation>
    <dataValidation type="decimal" allowBlank="1" showInputMessage="1" showErrorMessage="1" prompt="campo calculado  - indica el % de avance  que aporta la activadad a todo el proyecto" sqref="Q23 Q21 Q19 Q15 Q17 Q25 Q27 Q29" xr:uid="{616FA6CA-97C2-40F1-9899-3A03C23AB2B3}">
      <formula1>0</formula1>
      <formula2>1</formula2>
    </dataValidation>
    <dataValidation type="decimal" allowBlank="1" showInputMessage="1" showErrorMessage="1" prompt="valor porcentual de la activida - Indique el peso porcentual de la actividad dentro del proyecto" sqref="Q14 Q22 Q18 Q16 Q20 Q24 Q26 Q28" xr:uid="{05BA2F3B-9109-46C6-850A-0F4DCC4FAB44}">
      <formula1>0</formula1>
      <formula2>1</formula2>
    </dataValidation>
    <dataValidation type="list" allowBlank="1" showInputMessage="1" showErrorMessage="1" sqref="B14:B29" xr:uid="{7BCF11F9-69B0-4C56-9F94-34C6BFE99640}">
      <formula1>$B$47:$B$54</formula1>
    </dataValidation>
    <dataValidation type="list" allowBlank="1" showInputMessage="1" showErrorMessage="1" sqref="C14:C29" xr:uid="{5E77D0F2-8070-4882-A380-57B7E46BFAF9}">
      <formula1>$C$47:$C$56</formula1>
    </dataValidation>
    <dataValidation type="list" allowBlank="1" showInputMessage="1" showErrorMessage="1" sqref="D14:D29" xr:uid="{81449EE0-525A-4CF1-AA34-A11EA32D7175}">
      <formula1>$D$48:$D$53</formula1>
    </dataValidation>
    <dataValidation type="list" allowBlank="1" showInputMessage="1" showErrorMessage="1" sqref="E14:E29" xr:uid="{C6985619-1580-4085-9A5D-0E416DE64A49}">
      <formula1>$E$47:$E$65</formula1>
    </dataValidation>
    <dataValidation type="list" allowBlank="1" showInputMessage="1" showErrorMessage="1" sqref="G14:G29" xr:uid="{0CCCE230-83C8-412D-B008-D8450F356FAE}">
      <formula1>$G$47:$G$106</formula1>
    </dataValidation>
    <dataValidation type="list" allowBlank="1" showInputMessage="1" showErrorMessage="1" sqref="M14:M21 L22:L29" xr:uid="{ACEB133C-17B2-4544-AD04-EC337A2EF8AD}">
      <formula1>$N$34:$N$36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54E6-0E3C-4D28-A4A6-20A8902E70B4}">
  <dimension ref="A1:AF523"/>
  <sheetViews>
    <sheetView view="pageBreakPreview" zoomScale="50" zoomScaleNormal="60" zoomScaleSheetLayoutView="50" workbookViewId="0">
      <selection activeCell="A528" sqref="A528"/>
    </sheetView>
  </sheetViews>
  <sheetFormatPr baseColWidth="10" defaultColWidth="11.453125" defaultRowHeight="14.5" x14ac:dyDescent="0.35"/>
  <cols>
    <col min="1" max="1" width="77" style="68" customWidth="1"/>
    <col min="2" max="2" width="28.81640625" style="68" customWidth="1"/>
    <col min="3" max="3" width="30.453125" style="68" customWidth="1"/>
    <col min="4" max="4" width="19.453125" style="68" customWidth="1"/>
    <col min="5" max="5" width="31.7265625" style="68" customWidth="1"/>
    <col min="6" max="6" width="29.08984375" style="68" customWidth="1"/>
    <col min="7" max="7" width="29.26953125" style="68" customWidth="1"/>
    <col min="8" max="8" width="30.453125" style="68" customWidth="1"/>
    <col min="9" max="9" width="22.26953125" style="68" bestFit="1" customWidth="1"/>
    <col min="10" max="10" width="18.54296875" style="68" customWidth="1"/>
    <col min="11" max="11" width="27.54296875" style="68" customWidth="1"/>
    <col min="12" max="14" width="23" style="68" customWidth="1"/>
    <col min="15" max="15" width="51.1796875" style="68" bestFit="1" customWidth="1"/>
    <col min="16" max="16" width="23" style="68" customWidth="1"/>
    <col min="17" max="17" width="30.6328125" style="68" bestFit="1" customWidth="1"/>
    <col min="18" max="27" width="23" style="68" customWidth="1"/>
    <col min="28" max="16384" width="11.453125" style="68"/>
  </cols>
  <sheetData>
    <row r="1" spans="1:32" ht="40" customHeight="1" x14ac:dyDescent="0.35">
      <c r="A1" s="575"/>
      <c r="B1" s="577" t="s">
        <v>811</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row>
    <row r="2" spans="1:32" ht="40" customHeight="1" x14ac:dyDescent="0.35">
      <c r="A2" s="576"/>
      <c r="B2" s="577"/>
      <c r="C2" s="578"/>
      <c r="D2" s="578"/>
      <c r="E2" s="578"/>
      <c r="F2" s="578"/>
      <c r="G2" s="578"/>
      <c r="H2" s="578"/>
      <c r="I2" s="578"/>
      <c r="J2" s="578"/>
      <c r="K2" s="578"/>
      <c r="L2" s="578"/>
      <c r="M2" s="578"/>
      <c r="N2" s="578"/>
      <c r="O2" s="578"/>
      <c r="P2" s="578"/>
      <c r="Q2" s="578"/>
      <c r="R2" s="578"/>
      <c r="S2" s="578"/>
      <c r="T2" s="578"/>
      <c r="U2" s="578"/>
      <c r="V2" s="578"/>
      <c r="W2" s="578"/>
      <c r="X2" s="578"/>
      <c r="Y2" s="578"/>
      <c r="Z2" s="578"/>
      <c r="AA2" s="578"/>
    </row>
    <row r="3" spans="1:32" ht="40" customHeight="1" x14ac:dyDescent="0.35">
      <c r="A3" s="576"/>
      <c r="B3" s="577"/>
      <c r="C3" s="578"/>
      <c r="D3" s="578"/>
      <c r="E3" s="578"/>
      <c r="F3" s="578"/>
      <c r="G3" s="578"/>
      <c r="H3" s="578"/>
      <c r="I3" s="578"/>
      <c r="J3" s="578"/>
      <c r="K3" s="578"/>
      <c r="L3" s="578"/>
      <c r="M3" s="578"/>
      <c r="N3" s="578"/>
      <c r="O3" s="578"/>
      <c r="P3" s="578"/>
      <c r="Q3" s="578"/>
      <c r="R3" s="578"/>
      <c r="S3" s="578"/>
      <c r="T3" s="578"/>
      <c r="U3" s="578"/>
      <c r="V3" s="578"/>
      <c r="W3" s="578"/>
      <c r="X3" s="578"/>
      <c r="Y3" s="578"/>
      <c r="Z3" s="578"/>
      <c r="AA3" s="578"/>
    </row>
    <row r="4" spans="1:32" s="56" customFormat="1" ht="46.5" hidden="1" thickBot="1" x14ac:dyDescent="0.4">
      <c r="A4" s="405" t="s">
        <v>34</v>
      </c>
      <c r="B4" s="10"/>
      <c r="C4" s="10"/>
      <c r="D4" s="9"/>
      <c r="E4" s="405" t="s">
        <v>36</v>
      </c>
      <c r="F4" s="8" t="s">
        <v>35</v>
      </c>
      <c r="G4" s="10">
        <v>0.7</v>
      </c>
      <c r="H4" s="57"/>
      <c r="I4" s="58"/>
      <c r="J4" s="58"/>
      <c r="K4" s="58"/>
      <c r="L4" s="58"/>
      <c r="M4" s="58"/>
      <c r="N4" s="58"/>
      <c r="O4" s="58"/>
      <c r="P4" s="58"/>
      <c r="Q4" s="58"/>
      <c r="R4" s="58"/>
      <c r="S4" s="58"/>
      <c r="T4" s="58"/>
      <c r="U4" s="58"/>
      <c r="V4" s="58"/>
      <c r="W4" s="58"/>
      <c r="X4" s="58"/>
      <c r="Y4" s="58"/>
      <c r="Z4" s="58"/>
      <c r="AA4" s="58"/>
      <c r="AB4" s="58"/>
      <c r="AC4" s="58"/>
      <c r="AD4" s="58"/>
      <c r="AE4" s="58"/>
      <c r="AF4" s="58"/>
    </row>
    <row r="5" spans="1:32" s="56" customFormat="1" ht="46.5" hidden="1" thickBot="1" x14ac:dyDescent="0.4">
      <c r="A5" s="574"/>
      <c r="B5" s="11"/>
      <c r="C5" s="11"/>
      <c r="D5" s="11">
        <v>1</v>
      </c>
      <c r="E5" s="574"/>
      <c r="F5" s="8" t="s">
        <v>37</v>
      </c>
      <c r="G5" s="11">
        <v>0.95</v>
      </c>
      <c r="H5" s="57"/>
      <c r="I5" s="58"/>
      <c r="J5" s="58"/>
      <c r="K5" s="58"/>
      <c r="L5" s="58"/>
      <c r="M5" s="58"/>
      <c r="N5" s="58"/>
      <c r="O5" s="58"/>
      <c r="P5" s="58"/>
      <c r="Q5" s="58"/>
      <c r="R5" s="58"/>
      <c r="S5" s="58"/>
      <c r="T5" s="58"/>
      <c r="U5" s="58"/>
      <c r="V5" s="58"/>
      <c r="W5" s="58"/>
      <c r="X5" s="58"/>
      <c r="Y5" s="58"/>
      <c r="Z5" s="58"/>
      <c r="AA5" s="58"/>
      <c r="AB5" s="58"/>
      <c r="AC5" s="58"/>
      <c r="AD5" s="58"/>
      <c r="AE5" s="58"/>
      <c r="AF5" s="58"/>
    </row>
    <row r="6" spans="1:32" s="1" customFormat="1" ht="20.149999999999999" hidden="1" customHeight="1" x14ac:dyDescent="0.35">
      <c r="A6" s="560" t="s">
        <v>38</v>
      </c>
      <c r="B6" s="579"/>
      <c r="C6" s="554" t="s">
        <v>40</v>
      </c>
      <c r="D6" s="555"/>
      <c r="E6" s="515">
        <v>1</v>
      </c>
      <c r="F6" s="554" t="s">
        <v>41</v>
      </c>
      <c r="G6" s="555"/>
      <c r="H6" s="440">
        <f>262/315</f>
        <v>0.83174603174603179</v>
      </c>
      <c r="I6" s="554" t="s">
        <v>42</v>
      </c>
      <c r="J6" s="555"/>
      <c r="K6" s="515">
        <v>0.95</v>
      </c>
      <c r="L6" s="560" t="s">
        <v>43</v>
      </c>
      <c r="M6" s="562"/>
      <c r="N6" s="428">
        <f>(92/187)</f>
        <v>0.49197860962566847</v>
      </c>
      <c r="O6" s="430"/>
      <c r="P6" s="584" t="s">
        <v>44</v>
      </c>
      <c r="Q6" s="585"/>
      <c r="R6" s="590">
        <f>184/193</f>
        <v>0.95336787564766834</v>
      </c>
      <c r="S6" s="591"/>
      <c r="T6" s="584" t="s">
        <v>45</v>
      </c>
      <c r="U6" s="585"/>
      <c r="V6" s="428">
        <v>0.83</v>
      </c>
      <c r="W6" s="430"/>
      <c r="X6" s="584" t="s">
        <v>46</v>
      </c>
      <c r="Y6" s="598"/>
      <c r="Z6" s="431"/>
      <c r="AA6" s="432"/>
    </row>
    <row r="7" spans="1:32" s="1" customFormat="1" ht="14.9" hidden="1" customHeight="1" x14ac:dyDescent="0.35">
      <c r="A7" s="563"/>
      <c r="B7" s="580"/>
      <c r="C7" s="556"/>
      <c r="D7" s="557"/>
      <c r="E7" s="516"/>
      <c r="F7" s="556"/>
      <c r="G7" s="557"/>
      <c r="H7" s="441"/>
      <c r="I7" s="556"/>
      <c r="J7" s="557"/>
      <c r="K7" s="516"/>
      <c r="L7" s="563"/>
      <c r="M7" s="565"/>
      <c r="N7" s="431"/>
      <c r="O7" s="433"/>
      <c r="P7" s="586"/>
      <c r="Q7" s="587"/>
      <c r="R7" s="592"/>
      <c r="S7" s="593"/>
      <c r="T7" s="586"/>
      <c r="U7" s="587"/>
      <c r="V7" s="431"/>
      <c r="W7" s="433"/>
      <c r="X7" s="586"/>
      <c r="Y7" s="599"/>
      <c r="Z7" s="431"/>
      <c r="AA7" s="432"/>
    </row>
    <row r="8" spans="1:32" s="1" customFormat="1" ht="14.9" hidden="1" customHeight="1" x14ac:dyDescent="0.35">
      <c r="A8" s="563"/>
      <c r="B8" s="580"/>
      <c r="C8" s="556"/>
      <c r="D8" s="557"/>
      <c r="E8" s="516"/>
      <c r="F8" s="556"/>
      <c r="G8" s="557"/>
      <c r="H8" s="441"/>
      <c r="I8" s="556"/>
      <c r="J8" s="557"/>
      <c r="K8" s="516"/>
      <c r="L8" s="563"/>
      <c r="M8" s="565"/>
      <c r="N8" s="431"/>
      <c r="O8" s="433"/>
      <c r="P8" s="586"/>
      <c r="Q8" s="587"/>
      <c r="R8" s="592"/>
      <c r="S8" s="593"/>
      <c r="T8" s="586"/>
      <c r="U8" s="587"/>
      <c r="V8" s="431"/>
      <c r="W8" s="433"/>
      <c r="X8" s="586"/>
      <c r="Y8" s="599"/>
      <c r="Z8" s="431"/>
      <c r="AA8" s="432"/>
    </row>
    <row r="9" spans="1:32" s="1" customFormat="1" ht="14.9" hidden="1" customHeight="1" x14ac:dyDescent="0.35">
      <c r="A9" s="563"/>
      <c r="B9" s="580"/>
      <c r="C9" s="556"/>
      <c r="D9" s="557"/>
      <c r="E9" s="516"/>
      <c r="F9" s="556"/>
      <c r="G9" s="557"/>
      <c r="H9" s="441"/>
      <c r="I9" s="556"/>
      <c r="J9" s="557"/>
      <c r="K9" s="516"/>
      <c r="L9" s="563"/>
      <c r="M9" s="565"/>
      <c r="N9" s="431"/>
      <c r="O9" s="433"/>
      <c r="P9" s="586"/>
      <c r="Q9" s="587"/>
      <c r="R9" s="592"/>
      <c r="S9" s="593"/>
      <c r="T9" s="586"/>
      <c r="U9" s="587"/>
      <c r="V9" s="431"/>
      <c r="W9" s="433"/>
      <c r="X9" s="586"/>
      <c r="Y9" s="599"/>
      <c r="Z9" s="431"/>
      <c r="AA9" s="432"/>
    </row>
    <row r="10" spans="1:32" s="1" customFormat="1" ht="15" hidden="1" customHeight="1" x14ac:dyDescent="0.35">
      <c r="A10" s="566"/>
      <c r="B10" s="581"/>
      <c r="C10" s="582"/>
      <c r="D10" s="583"/>
      <c r="E10" s="550"/>
      <c r="F10" s="582"/>
      <c r="G10" s="583"/>
      <c r="H10" s="442"/>
      <c r="I10" s="558"/>
      <c r="J10" s="559"/>
      <c r="K10" s="550"/>
      <c r="L10" s="566"/>
      <c r="M10" s="568"/>
      <c r="N10" s="518"/>
      <c r="O10" s="519"/>
      <c r="P10" s="588"/>
      <c r="Q10" s="589"/>
      <c r="R10" s="594"/>
      <c r="S10" s="595"/>
      <c r="T10" s="596"/>
      <c r="U10" s="597"/>
      <c r="V10" s="434"/>
      <c r="W10" s="436"/>
      <c r="X10" s="596"/>
      <c r="Y10" s="600"/>
      <c r="Z10" s="431"/>
      <c r="AA10" s="432"/>
    </row>
    <row r="11" spans="1:32" ht="80" customHeight="1" x14ac:dyDescent="0.35">
      <c r="A11" s="208" t="s">
        <v>904</v>
      </c>
      <c r="B11" s="209" t="s">
        <v>905</v>
      </c>
      <c r="C11" s="208" t="s">
        <v>906</v>
      </c>
      <c r="D11" s="208" t="s">
        <v>907</v>
      </c>
      <c r="E11" s="210" t="s">
        <v>908</v>
      </c>
      <c r="F11" s="210" t="s">
        <v>909</v>
      </c>
      <c r="G11" s="208" t="s">
        <v>910</v>
      </c>
      <c r="H11" s="208" t="s">
        <v>911</v>
      </c>
      <c r="I11" s="211" t="s">
        <v>912</v>
      </c>
      <c r="J11" s="208" t="s">
        <v>913</v>
      </c>
      <c r="K11" s="212" t="s">
        <v>914</v>
      </c>
      <c r="L11" s="213" t="s">
        <v>915</v>
      </c>
      <c r="M11" s="208" t="s">
        <v>916</v>
      </c>
      <c r="N11" s="208" t="s">
        <v>184</v>
      </c>
      <c r="O11" s="208" t="s">
        <v>185</v>
      </c>
      <c r="P11" s="208" t="s">
        <v>186</v>
      </c>
      <c r="Q11" s="214" t="s">
        <v>917</v>
      </c>
      <c r="R11" s="214" t="s">
        <v>918</v>
      </c>
      <c r="S11" s="208" t="s">
        <v>919</v>
      </c>
      <c r="T11" s="208" t="s">
        <v>920</v>
      </c>
      <c r="U11" s="209" t="s">
        <v>921</v>
      </c>
      <c r="V11" s="210" t="s">
        <v>922</v>
      </c>
      <c r="W11" s="215" t="s">
        <v>923</v>
      </c>
      <c r="X11" s="210" t="s">
        <v>924</v>
      </c>
      <c r="Y11" s="210" t="s">
        <v>925</v>
      </c>
      <c r="Z11" s="210" t="s">
        <v>926</v>
      </c>
    </row>
    <row r="12" spans="1:32" ht="43" customHeight="1" x14ac:dyDescent="0.35">
      <c r="A12" s="203" t="s">
        <v>927</v>
      </c>
      <c r="B12" s="203" t="s">
        <v>928</v>
      </c>
      <c r="C12" s="203" t="s">
        <v>929</v>
      </c>
      <c r="D12" s="188">
        <v>84121804</v>
      </c>
      <c r="E12" s="216" t="s">
        <v>930</v>
      </c>
      <c r="F12" s="216" t="s">
        <v>725</v>
      </c>
      <c r="G12" s="188" t="s">
        <v>76</v>
      </c>
      <c r="H12" s="188" t="s">
        <v>77</v>
      </c>
      <c r="I12" s="217">
        <v>24</v>
      </c>
      <c r="J12" s="187" t="s">
        <v>931</v>
      </c>
      <c r="K12" s="218">
        <v>1605406107</v>
      </c>
      <c r="L12" s="219">
        <v>0.19</v>
      </c>
      <c r="M12" s="220">
        <v>11731813.856655952</v>
      </c>
      <c r="N12" s="220">
        <v>1617137920.8566558</v>
      </c>
      <c r="O12" s="203" t="s">
        <v>794</v>
      </c>
      <c r="P12" s="203" t="s">
        <v>932</v>
      </c>
      <c r="Q12" s="220">
        <v>0</v>
      </c>
      <c r="R12" s="220">
        <v>790062060.38400006</v>
      </c>
      <c r="S12" s="218">
        <v>815344046.31628811</v>
      </c>
      <c r="T12" s="218">
        <v>0</v>
      </c>
      <c r="U12" s="203" t="s">
        <v>801</v>
      </c>
      <c r="V12" s="216"/>
      <c r="W12" s="207">
        <v>0</v>
      </c>
      <c r="X12" s="204" t="s">
        <v>933</v>
      </c>
      <c r="Y12" s="204" t="s">
        <v>934</v>
      </c>
      <c r="Z12" s="204" t="s">
        <v>934</v>
      </c>
    </row>
    <row r="13" spans="1:32" ht="43" customHeight="1" x14ac:dyDescent="0.35">
      <c r="A13" s="203" t="s">
        <v>927</v>
      </c>
      <c r="B13" s="203" t="s">
        <v>928</v>
      </c>
      <c r="C13" s="203" t="s">
        <v>929</v>
      </c>
      <c r="D13" s="188">
        <v>84121804</v>
      </c>
      <c r="E13" s="216" t="s">
        <v>930</v>
      </c>
      <c r="F13" s="216" t="s">
        <v>726</v>
      </c>
      <c r="G13" s="188" t="s">
        <v>76</v>
      </c>
      <c r="H13" s="188" t="s">
        <v>77</v>
      </c>
      <c r="I13" s="217">
        <v>24</v>
      </c>
      <c r="J13" s="187" t="s">
        <v>931</v>
      </c>
      <c r="K13" s="218">
        <v>1445461802</v>
      </c>
      <c r="L13" s="219">
        <v>0.19</v>
      </c>
      <c r="M13" s="220">
        <v>10562990.091540333</v>
      </c>
      <c r="N13" s="220">
        <v>1456024792.0915403</v>
      </c>
      <c r="O13" s="203" t="s">
        <v>794</v>
      </c>
      <c r="P13" s="203" t="s">
        <v>932</v>
      </c>
      <c r="Q13" s="220">
        <v>0</v>
      </c>
      <c r="R13" s="220">
        <v>711349312.00800002</v>
      </c>
      <c r="S13" s="218">
        <v>734112489.99225605</v>
      </c>
      <c r="T13" s="218">
        <v>0</v>
      </c>
      <c r="U13" s="203" t="s">
        <v>801</v>
      </c>
      <c r="V13" s="216"/>
      <c r="W13" s="207">
        <v>0</v>
      </c>
      <c r="X13" s="204" t="s">
        <v>935</v>
      </c>
      <c r="Y13" s="204" t="s">
        <v>936</v>
      </c>
      <c r="Z13" s="204" t="s">
        <v>936</v>
      </c>
    </row>
    <row r="14" spans="1:32" ht="43" customHeight="1" x14ac:dyDescent="0.35">
      <c r="A14" s="203" t="s">
        <v>927</v>
      </c>
      <c r="B14" s="203" t="s">
        <v>928</v>
      </c>
      <c r="C14" s="203" t="s">
        <v>929</v>
      </c>
      <c r="D14" s="186">
        <v>84121804</v>
      </c>
      <c r="E14" s="216" t="s">
        <v>930</v>
      </c>
      <c r="F14" s="216" t="s">
        <v>727</v>
      </c>
      <c r="G14" s="188" t="s">
        <v>76</v>
      </c>
      <c r="H14" s="188" t="s">
        <v>77</v>
      </c>
      <c r="I14" s="217">
        <v>24</v>
      </c>
      <c r="J14" s="187" t="s">
        <v>931</v>
      </c>
      <c r="K14" s="221">
        <v>129469633</v>
      </c>
      <c r="L14" s="219">
        <v>0.19</v>
      </c>
      <c r="M14" s="220">
        <v>946124.2386166153</v>
      </c>
      <c r="N14" s="220">
        <v>130415757.23861662</v>
      </c>
      <c r="O14" s="203" t="s">
        <v>794</v>
      </c>
      <c r="P14" s="203" t="s">
        <v>932</v>
      </c>
      <c r="Q14" s="220">
        <v>0</v>
      </c>
      <c r="R14" s="220">
        <v>63715370.399999999</v>
      </c>
      <c r="S14" s="220">
        <v>65754262.252800003</v>
      </c>
      <c r="T14" s="220">
        <v>0</v>
      </c>
      <c r="U14" s="203" t="s">
        <v>801</v>
      </c>
      <c r="V14" s="216"/>
      <c r="W14" s="207">
        <v>0</v>
      </c>
      <c r="X14" s="204" t="s">
        <v>937</v>
      </c>
      <c r="Y14" s="204" t="s">
        <v>938</v>
      </c>
      <c r="Z14" s="204" t="s">
        <v>938</v>
      </c>
    </row>
    <row r="15" spans="1:32" ht="43" customHeight="1" x14ac:dyDescent="0.35">
      <c r="A15" s="203" t="s">
        <v>927</v>
      </c>
      <c r="B15" s="203" t="s">
        <v>928</v>
      </c>
      <c r="C15" s="203" t="s">
        <v>929</v>
      </c>
      <c r="D15" s="200">
        <v>80121706</v>
      </c>
      <c r="E15" s="216" t="s">
        <v>939</v>
      </c>
      <c r="F15" s="216" t="s">
        <v>728</v>
      </c>
      <c r="G15" s="188" t="s">
        <v>67</v>
      </c>
      <c r="H15" s="188" t="s">
        <v>67</v>
      </c>
      <c r="I15" s="217">
        <v>24</v>
      </c>
      <c r="J15" s="187" t="s">
        <v>940</v>
      </c>
      <c r="K15" s="220">
        <v>302472979</v>
      </c>
      <c r="L15" s="219">
        <v>0.19</v>
      </c>
      <c r="M15" s="220">
        <v>57469866.009999998</v>
      </c>
      <c r="N15" s="220">
        <v>359942845.00999999</v>
      </c>
      <c r="O15" s="203" t="s">
        <v>794</v>
      </c>
      <c r="P15" s="203" t="s">
        <v>932</v>
      </c>
      <c r="Q15" s="221">
        <v>148252104</v>
      </c>
      <c r="R15" s="220">
        <v>182824926</v>
      </c>
      <c r="S15" s="220">
        <v>28865814</v>
      </c>
      <c r="T15" s="220">
        <v>0</v>
      </c>
      <c r="U15" s="203" t="s">
        <v>801</v>
      </c>
      <c r="V15" s="216"/>
      <c r="W15" s="207">
        <v>124581600</v>
      </c>
      <c r="X15" s="204" t="s">
        <v>941</v>
      </c>
      <c r="Y15" s="204" t="s">
        <v>942</v>
      </c>
      <c r="Z15" s="204" t="s">
        <v>942</v>
      </c>
    </row>
    <row r="16" spans="1:32" ht="43" customHeight="1" x14ac:dyDescent="0.35">
      <c r="A16" s="203" t="s">
        <v>927</v>
      </c>
      <c r="B16" s="203" t="s">
        <v>928</v>
      </c>
      <c r="C16" s="203" t="s">
        <v>929</v>
      </c>
      <c r="D16" s="200">
        <v>84131601</v>
      </c>
      <c r="E16" s="216" t="s">
        <v>943</v>
      </c>
      <c r="F16" s="216" t="s">
        <v>729</v>
      </c>
      <c r="G16" s="188" t="s">
        <v>68</v>
      </c>
      <c r="H16" s="188" t="s">
        <v>69</v>
      </c>
      <c r="I16" s="217">
        <v>12</v>
      </c>
      <c r="J16" s="187" t="s">
        <v>931</v>
      </c>
      <c r="K16" s="220">
        <v>90000000</v>
      </c>
      <c r="L16" s="219">
        <v>0</v>
      </c>
      <c r="M16" s="220">
        <v>0</v>
      </c>
      <c r="N16" s="220">
        <v>90000000</v>
      </c>
      <c r="O16" s="203" t="s">
        <v>791</v>
      </c>
      <c r="P16" s="203" t="s">
        <v>89</v>
      </c>
      <c r="Q16" s="220">
        <v>90000000</v>
      </c>
      <c r="R16" s="220">
        <v>0</v>
      </c>
      <c r="S16" s="220">
        <v>0</v>
      </c>
      <c r="T16" s="220">
        <v>0</v>
      </c>
      <c r="U16" s="203" t="s">
        <v>801</v>
      </c>
      <c r="V16" s="216"/>
      <c r="W16" s="207">
        <v>90000000</v>
      </c>
      <c r="X16" s="204" t="s">
        <v>944</v>
      </c>
      <c r="Y16" s="204" t="s">
        <v>945</v>
      </c>
      <c r="Z16" s="204" t="s">
        <v>946</v>
      </c>
    </row>
    <row r="17" spans="1:26" ht="43" customHeight="1" x14ac:dyDescent="0.35">
      <c r="A17" s="203" t="s">
        <v>927</v>
      </c>
      <c r="B17" s="203" t="s">
        <v>928</v>
      </c>
      <c r="C17" s="203" t="s">
        <v>947</v>
      </c>
      <c r="D17" s="200">
        <v>80111703</v>
      </c>
      <c r="E17" s="216" t="s">
        <v>948</v>
      </c>
      <c r="F17" s="216" t="s">
        <v>730</v>
      </c>
      <c r="G17" s="188" t="s">
        <v>67</v>
      </c>
      <c r="H17" s="188" t="s">
        <v>69</v>
      </c>
      <c r="I17" s="217">
        <v>24</v>
      </c>
      <c r="J17" s="187" t="s">
        <v>949</v>
      </c>
      <c r="K17" s="220">
        <v>70000000</v>
      </c>
      <c r="L17" s="219">
        <v>0.19</v>
      </c>
      <c r="M17" s="220">
        <v>13300000</v>
      </c>
      <c r="N17" s="220">
        <v>83300000</v>
      </c>
      <c r="O17" s="203" t="s">
        <v>791</v>
      </c>
      <c r="P17" s="203" t="s">
        <v>89</v>
      </c>
      <c r="Q17" s="220">
        <v>83300000</v>
      </c>
      <c r="R17" s="220">
        <v>0</v>
      </c>
      <c r="S17" s="220">
        <v>0</v>
      </c>
      <c r="T17" s="220">
        <v>0</v>
      </c>
      <c r="U17" s="203" t="s">
        <v>798</v>
      </c>
      <c r="V17" s="216"/>
      <c r="W17" s="207">
        <v>70000000</v>
      </c>
      <c r="X17" s="204" t="s">
        <v>950</v>
      </c>
      <c r="Y17" s="204" t="s">
        <v>950</v>
      </c>
      <c r="Z17" s="204" t="s">
        <v>951</v>
      </c>
    </row>
    <row r="18" spans="1:26" ht="43" customHeight="1" x14ac:dyDescent="0.35">
      <c r="A18" s="203" t="s">
        <v>927</v>
      </c>
      <c r="B18" s="203" t="s">
        <v>928</v>
      </c>
      <c r="C18" s="203" t="s">
        <v>947</v>
      </c>
      <c r="D18" s="200">
        <v>81161801</v>
      </c>
      <c r="E18" s="216" t="s">
        <v>952</v>
      </c>
      <c r="F18" s="204" t="s">
        <v>731</v>
      </c>
      <c r="G18" s="188" t="s">
        <v>67</v>
      </c>
      <c r="H18" s="188" t="s">
        <v>67</v>
      </c>
      <c r="I18" s="217">
        <v>12</v>
      </c>
      <c r="J18" s="187" t="s">
        <v>940</v>
      </c>
      <c r="K18" s="220">
        <v>106000000</v>
      </c>
      <c r="L18" s="219">
        <v>0.19</v>
      </c>
      <c r="M18" s="220">
        <v>20140000</v>
      </c>
      <c r="N18" s="220">
        <v>126140000</v>
      </c>
      <c r="O18" s="203" t="s">
        <v>791</v>
      </c>
      <c r="P18" s="203" t="s">
        <v>89</v>
      </c>
      <c r="Q18" s="220">
        <v>126140000</v>
      </c>
      <c r="R18" s="220">
        <v>0</v>
      </c>
      <c r="S18" s="220">
        <v>0</v>
      </c>
      <c r="T18" s="220">
        <v>0</v>
      </c>
      <c r="U18" s="203" t="s">
        <v>798</v>
      </c>
      <c r="V18" s="216"/>
      <c r="W18" s="207">
        <v>106000000</v>
      </c>
      <c r="X18" s="204" t="s">
        <v>950</v>
      </c>
      <c r="Y18" s="204" t="s">
        <v>950</v>
      </c>
      <c r="Z18" s="204" t="s">
        <v>953</v>
      </c>
    </row>
    <row r="19" spans="1:26" ht="43" customHeight="1" x14ac:dyDescent="0.35">
      <c r="A19" s="203" t="s">
        <v>927</v>
      </c>
      <c r="B19" s="203" t="s">
        <v>928</v>
      </c>
      <c r="C19" s="203" t="s">
        <v>947</v>
      </c>
      <c r="D19" s="200">
        <v>80111504</v>
      </c>
      <c r="E19" s="216" t="s">
        <v>954</v>
      </c>
      <c r="F19" s="216" t="s">
        <v>732</v>
      </c>
      <c r="G19" s="188" t="s">
        <v>67</v>
      </c>
      <c r="H19" s="188" t="s">
        <v>68</v>
      </c>
      <c r="I19" s="217">
        <v>12</v>
      </c>
      <c r="J19" s="187" t="s">
        <v>940</v>
      </c>
      <c r="K19" s="220">
        <v>131000000</v>
      </c>
      <c r="L19" s="219">
        <v>0.19</v>
      </c>
      <c r="M19" s="220">
        <v>24890000</v>
      </c>
      <c r="N19" s="220">
        <v>155890000</v>
      </c>
      <c r="O19" s="203" t="s">
        <v>791</v>
      </c>
      <c r="P19" s="203" t="s">
        <v>89</v>
      </c>
      <c r="Q19" s="221">
        <v>155890000</v>
      </c>
      <c r="R19" s="221">
        <v>0</v>
      </c>
      <c r="S19" s="220">
        <v>0</v>
      </c>
      <c r="T19" s="220">
        <v>0</v>
      </c>
      <c r="U19" s="203" t="s">
        <v>798</v>
      </c>
      <c r="V19" s="216"/>
      <c r="W19" s="207">
        <v>131000000</v>
      </c>
      <c r="X19" s="204" t="s">
        <v>955</v>
      </c>
      <c r="Y19" s="204" t="s">
        <v>956</v>
      </c>
      <c r="Z19" s="204" t="s">
        <v>957</v>
      </c>
    </row>
    <row r="20" spans="1:26" ht="43" customHeight="1" x14ac:dyDescent="0.35">
      <c r="A20" s="203" t="s">
        <v>927</v>
      </c>
      <c r="B20" s="203" t="s">
        <v>928</v>
      </c>
      <c r="C20" s="203" t="s">
        <v>947</v>
      </c>
      <c r="D20" s="200">
        <v>81161801</v>
      </c>
      <c r="E20" s="216" t="s">
        <v>952</v>
      </c>
      <c r="F20" s="204" t="s">
        <v>958</v>
      </c>
      <c r="G20" s="188" t="s">
        <v>67</v>
      </c>
      <c r="H20" s="188" t="s">
        <v>68</v>
      </c>
      <c r="I20" s="217">
        <v>24</v>
      </c>
      <c r="J20" s="187" t="s">
        <v>940</v>
      </c>
      <c r="K20" s="220">
        <v>15070120</v>
      </c>
      <c r="L20" s="219">
        <v>0.19</v>
      </c>
      <c r="M20" s="220">
        <v>2863322.8</v>
      </c>
      <c r="N20" s="220">
        <v>17933442.800000001</v>
      </c>
      <c r="O20" s="203" t="s">
        <v>791</v>
      </c>
      <c r="P20" s="203" t="s">
        <v>89</v>
      </c>
      <c r="Q20" s="220">
        <v>17933442.800000001</v>
      </c>
      <c r="R20" s="220">
        <v>0</v>
      </c>
      <c r="S20" s="220">
        <v>0</v>
      </c>
      <c r="T20" s="220">
        <v>0</v>
      </c>
      <c r="U20" s="203" t="s">
        <v>798</v>
      </c>
      <c r="V20" s="216"/>
      <c r="W20" s="207">
        <v>15070120</v>
      </c>
      <c r="X20" s="204" t="s">
        <v>950</v>
      </c>
      <c r="Y20" s="204" t="s">
        <v>950</v>
      </c>
      <c r="Z20" s="204" t="s">
        <v>953</v>
      </c>
    </row>
    <row r="21" spans="1:26" ht="43" customHeight="1" x14ac:dyDescent="0.35">
      <c r="A21" s="203" t="s">
        <v>927</v>
      </c>
      <c r="B21" s="203" t="s">
        <v>928</v>
      </c>
      <c r="C21" s="203" t="s">
        <v>947</v>
      </c>
      <c r="D21" s="186">
        <v>80111504</v>
      </c>
      <c r="E21" s="216" t="s">
        <v>954</v>
      </c>
      <c r="F21" s="216" t="s">
        <v>959</v>
      </c>
      <c r="G21" s="188" t="s">
        <v>67</v>
      </c>
      <c r="H21" s="188" t="s">
        <v>68</v>
      </c>
      <c r="I21" s="217">
        <v>12</v>
      </c>
      <c r="J21" s="187" t="s">
        <v>940</v>
      </c>
      <c r="K21" s="220">
        <v>350000000</v>
      </c>
      <c r="L21" s="219">
        <v>0</v>
      </c>
      <c r="M21" s="220">
        <v>0</v>
      </c>
      <c r="N21" s="220">
        <v>350000000</v>
      </c>
      <c r="O21" s="203" t="s">
        <v>791</v>
      </c>
      <c r="P21" s="203" t="s">
        <v>89</v>
      </c>
      <c r="Q21" s="220">
        <v>350000000</v>
      </c>
      <c r="R21" s="220">
        <v>0</v>
      </c>
      <c r="S21" s="220">
        <v>0</v>
      </c>
      <c r="T21" s="220">
        <v>0</v>
      </c>
      <c r="U21" s="203" t="s">
        <v>798</v>
      </c>
      <c r="V21" s="216"/>
      <c r="W21" s="207">
        <v>350000000</v>
      </c>
      <c r="X21" s="204" t="s">
        <v>955</v>
      </c>
      <c r="Y21" s="204" t="s">
        <v>956</v>
      </c>
      <c r="Z21" s="204" t="s">
        <v>960</v>
      </c>
    </row>
    <row r="22" spans="1:26" ht="43" customHeight="1" x14ac:dyDescent="0.35">
      <c r="A22" s="203" t="s">
        <v>927</v>
      </c>
      <c r="B22" s="203" t="s">
        <v>928</v>
      </c>
      <c r="C22" s="203" t="s">
        <v>947</v>
      </c>
      <c r="D22" s="186">
        <v>80111504</v>
      </c>
      <c r="E22" s="216" t="s">
        <v>954</v>
      </c>
      <c r="F22" s="216" t="s">
        <v>961</v>
      </c>
      <c r="G22" s="188" t="s">
        <v>67</v>
      </c>
      <c r="H22" s="188" t="s">
        <v>68</v>
      </c>
      <c r="I22" s="217">
        <v>12</v>
      </c>
      <c r="J22" s="187" t="s">
        <v>940</v>
      </c>
      <c r="K22" s="220">
        <v>15885000</v>
      </c>
      <c r="L22" s="219">
        <v>0.19</v>
      </c>
      <c r="M22" s="220">
        <v>3018150</v>
      </c>
      <c r="N22" s="220">
        <v>18903150</v>
      </c>
      <c r="O22" s="203" t="s">
        <v>791</v>
      </c>
      <c r="P22" s="203" t="s">
        <v>89</v>
      </c>
      <c r="Q22" s="220">
        <v>18903150</v>
      </c>
      <c r="R22" s="220">
        <v>0</v>
      </c>
      <c r="S22" s="220">
        <v>0</v>
      </c>
      <c r="T22" s="220">
        <v>0</v>
      </c>
      <c r="U22" s="203" t="s">
        <v>798</v>
      </c>
      <c r="V22" s="216"/>
      <c r="W22" s="207">
        <v>15885000</v>
      </c>
      <c r="X22" s="204" t="s">
        <v>955</v>
      </c>
      <c r="Y22" s="204" t="s">
        <v>962</v>
      </c>
      <c r="Z22" s="204" t="s">
        <v>962</v>
      </c>
    </row>
    <row r="23" spans="1:26" ht="43" customHeight="1" x14ac:dyDescent="0.35">
      <c r="A23" s="203" t="s">
        <v>927</v>
      </c>
      <c r="B23" s="203" t="s">
        <v>928</v>
      </c>
      <c r="C23" s="203" t="s">
        <v>947</v>
      </c>
      <c r="D23" s="186">
        <v>80111504</v>
      </c>
      <c r="E23" s="216" t="s">
        <v>954</v>
      </c>
      <c r="F23" s="216" t="s">
        <v>733</v>
      </c>
      <c r="G23" s="188" t="s">
        <v>67</v>
      </c>
      <c r="H23" s="188" t="s">
        <v>67</v>
      </c>
      <c r="I23" s="217">
        <v>12</v>
      </c>
      <c r="J23" s="187" t="s">
        <v>940</v>
      </c>
      <c r="K23" s="220">
        <v>31770000</v>
      </c>
      <c r="L23" s="219">
        <v>0.19</v>
      </c>
      <c r="M23" s="220">
        <v>6036300</v>
      </c>
      <c r="N23" s="220">
        <v>37806300</v>
      </c>
      <c r="O23" s="203" t="s">
        <v>791</v>
      </c>
      <c r="P23" s="203" t="s">
        <v>89</v>
      </c>
      <c r="Q23" s="220">
        <v>37806300</v>
      </c>
      <c r="R23" s="220">
        <v>0</v>
      </c>
      <c r="S23" s="220">
        <v>0</v>
      </c>
      <c r="T23" s="220">
        <v>0</v>
      </c>
      <c r="U23" s="203" t="s">
        <v>798</v>
      </c>
      <c r="V23" s="216"/>
      <c r="W23" s="207">
        <v>31770000</v>
      </c>
      <c r="X23" s="204" t="s">
        <v>955</v>
      </c>
      <c r="Y23" s="204" t="s">
        <v>962</v>
      </c>
      <c r="Z23" s="204" t="s">
        <v>962</v>
      </c>
    </row>
    <row r="24" spans="1:26" ht="43" customHeight="1" x14ac:dyDescent="0.35">
      <c r="A24" s="203" t="s">
        <v>927</v>
      </c>
      <c r="B24" s="203" t="s">
        <v>928</v>
      </c>
      <c r="C24" s="203" t="s">
        <v>947</v>
      </c>
      <c r="D24" s="200">
        <v>80111504</v>
      </c>
      <c r="E24" s="216" t="s">
        <v>954</v>
      </c>
      <c r="F24" s="216" t="s">
        <v>734</v>
      </c>
      <c r="G24" s="186" t="s">
        <v>67</v>
      </c>
      <c r="H24" s="186" t="s">
        <v>67</v>
      </c>
      <c r="I24" s="222">
        <v>12</v>
      </c>
      <c r="J24" s="187" t="s">
        <v>940</v>
      </c>
      <c r="K24" s="220">
        <v>100000000</v>
      </c>
      <c r="L24" s="219">
        <v>0.19</v>
      </c>
      <c r="M24" s="220">
        <v>19000000</v>
      </c>
      <c r="N24" s="220">
        <v>119000000</v>
      </c>
      <c r="O24" s="203" t="s">
        <v>791</v>
      </c>
      <c r="P24" s="203" t="s">
        <v>89</v>
      </c>
      <c r="Q24" s="220">
        <v>119000000</v>
      </c>
      <c r="R24" s="220">
        <v>0</v>
      </c>
      <c r="S24" s="220">
        <v>0</v>
      </c>
      <c r="T24" s="220">
        <v>0</v>
      </c>
      <c r="U24" s="203" t="s">
        <v>798</v>
      </c>
      <c r="V24" s="216"/>
      <c r="W24" s="207">
        <v>100000000</v>
      </c>
      <c r="X24" s="204" t="s">
        <v>955</v>
      </c>
      <c r="Y24" s="204" t="s">
        <v>962</v>
      </c>
      <c r="Z24" s="204" t="s">
        <v>962</v>
      </c>
    </row>
    <row r="25" spans="1:26" ht="43" customHeight="1" x14ac:dyDescent="0.35">
      <c r="A25" s="203" t="s">
        <v>927</v>
      </c>
      <c r="B25" s="203" t="s">
        <v>928</v>
      </c>
      <c r="C25" s="203" t="s">
        <v>947</v>
      </c>
      <c r="D25" s="188">
        <v>80111504</v>
      </c>
      <c r="E25" s="216" t="s">
        <v>954</v>
      </c>
      <c r="F25" s="216" t="s">
        <v>735</v>
      </c>
      <c r="G25" s="188" t="s">
        <v>67</v>
      </c>
      <c r="H25" s="188" t="s">
        <v>78</v>
      </c>
      <c r="I25" s="217">
        <v>12</v>
      </c>
      <c r="J25" s="187" t="s">
        <v>940</v>
      </c>
      <c r="K25" s="223">
        <v>170000000</v>
      </c>
      <c r="L25" s="224">
        <v>0.19</v>
      </c>
      <c r="M25" s="220">
        <v>32300000</v>
      </c>
      <c r="N25" s="220">
        <v>202300000</v>
      </c>
      <c r="O25" s="203" t="s">
        <v>791</v>
      </c>
      <c r="P25" s="203" t="s">
        <v>89</v>
      </c>
      <c r="Q25" s="220">
        <v>202300000</v>
      </c>
      <c r="R25" s="220">
        <v>0</v>
      </c>
      <c r="S25" s="207">
        <v>0</v>
      </c>
      <c r="T25" s="207">
        <v>0</v>
      </c>
      <c r="U25" s="203" t="s">
        <v>798</v>
      </c>
      <c r="V25" s="216"/>
      <c r="W25" s="207">
        <v>170000000</v>
      </c>
      <c r="X25" s="225" t="s">
        <v>955</v>
      </c>
      <c r="Y25" s="225" t="s">
        <v>956</v>
      </c>
      <c r="Z25" s="225" t="s">
        <v>960</v>
      </c>
    </row>
    <row r="26" spans="1:26" ht="43" customHeight="1" x14ac:dyDescent="0.35">
      <c r="A26" s="203" t="s">
        <v>927</v>
      </c>
      <c r="B26" s="203" t="s">
        <v>928</v>
      </c>
      <c r="C26" s="203" t="s">
        <v>963</v>
      </c>
      <c r="D26" s="188">
        <v>42181500</v>
      </c>
      <c r="E26" s="216" t="s">
        <v>964</v>
      </c>
      <c r="F26" s="216" t="s">
        <v>736</v>
      </c>
      <c r="G26" s="188" t="s">
        <v>67</v>
      </c>
      <c r="H26" s="188" t="s">
        <v>67</v>
      </c>
      <c r="I26" s="217">
        <v>12</v>
      </c>
      <c r="J26" s="187" t="s">
        <v>940</v>
      </c>
      <c r="K26" s="223">
        <v>60000000</v>
      </c>
      <c r="L26" s="224">
        <v>0.19</v>
      </c>
      <c r="M26" s="220">
        <v>11400000</v>
      </c>
      <c r="N26" s="220">
        <v>71400000</v>
      </c>
      <c r="O26" s="203" t="s">
        <v>791</v>
      </c>
      <c r="P26" s="203" t="s">
        <v>89</v>
      </c>
      <c r="Q26" s="220">
        <v>71400000</v>
      </c>
      <c r="R26" s="220">
        <v>0</v>
      </c>
      <c r="S26" s="207">
        <v>0</v>
      </c>
      <c r="T26" s="207">
        <v>0</v>
      </c>
      <c r="U26" s="203" t="s">
        <v>799</v>
      </c>
      <c r="V26" s="216"/>
      <c r="W26" s="207">
        <v>60000000</v>
      </c>
      <c r="X26" s="225" t="s">
        <v>965</v>
      </c>
      <c r="Y26" s="225" t="s">
        <v>965</v>
      </c>
      <c r="Z26" s="225" t="s">
        <v>966</v>
      </c>
    </row>
    <row r="27" spans="1:26" ht="43" customHeight="1" x14ac:dyDescent="0.35">
      <c r="A27" s="203" t="s">
        <v>927</v>
      </c>
      <c r="B27" s="203" t="s">
        <v>928</v>
      </c>
      <c r="C27" s="203" t="s">
        <v>963</v>
      </c>
      <c r="D27" s="188">
        <v>42172002</v>
      </c>
      <c r="E27" s="216" t="s">
        <v>967</v>
      </c>
      <c r="F27" s="216" t="s">
        <v>968</v>
      </c>
      <c r="G27" s="188" t="s">
        <v>70</v>
      </c>
      <c r="H27" s="188" t="s">
        <v>71</v>
      </c>
      <c r="I27" s="217">
        <v>3</v>
      </c>
      <c r="J27" s="187" t="s">
        <v>940</v>
      </c>
      <c r="K27" s="223">
        <v>34000000</v>
      </c>
      <c r="L27" s="224">
        <v>0.19</v>
      </c>
      <c r="M27" s="220">
        <v>6460000</v>
      </c>
      <c r="N27" s="220">
        <v>40460000</v>
      </c>
      <c r="O27" s="203" t="s">
        <v>791</v>
      </c>
      <c r="P27" s="203" t="s">
        <v>89</v>
      </c>
      <c r="Q27" s="220">
        <v>40460000</v>
      </c>
      <c r="R27" s="220">
        <v>0</v>
      </c>
      <c r="S27" s="207">
        <v>0</v>
      </c>
      <c r="T27" s="207">
        <v>0</v>
      </c>
      <c r="U27" s="203" t="s">
        <v>799</v>
      </c>
      <c r="V27" s="216"/>
      <c r="W27" s="207">
        <v>34000000</v>
      </c>
      <c r="X27" s="225" t="s">
        <v>965</v>
      </c>
      <c r="Y27" s="225" t="s">
        <v>965</v>
      </c>
      <c r="Z27" s="225" t="s">
        <v>966</v>
      </c>
    </row>
    <row r="28" spans="1:26" ht="43" customHeight="1" x14ac:dyDescent="0.35">
      <c r="A28" s="203" t="s">
        <v>927</v>
      </c>
      <c r="B28" s="203" t="s">
        <v>928</v>
      </c>
      <c r="C28" s="203" t="s">
        <v>963</v>
      </c>
      <c r="D28" s="188">
        <v>80101500</v>
      </c>
      <c r="E28" s="216" t="s">
        <v>969</v>
      </c>
      <c r="F28" s="216" t="s">
        <v>737</v>
      </c>
      <c r="G28" s="188" t="s">
        <v>70</v>
      </c>
      <c r="H28" s="188" t="s">
        <v>71</v>
      </c>
      <c r="I28" s="217">
        <v>6</v>
      </c>
      <c r="J28" s="187" t="s">
        <v>940</v>
      </c>
      <c r="K28" s="223">
        <v>60000000</v>
      </c>
      <c r="L28" s="224">
        <v>0.19</v>
      </c>
      <c r="M28" s="220">
        <v>11400000</v>
      </c>
      <c r="N28" s="220">
        <v>71400000</v>
      </c>
      <c r="O28" s="203" t="s">
        <v>791</v>
      </c>
      <c r="P28" s="203" t="s">
        <v>89</v>
      </c>
      <c r="Q28" s="220">
        <v>71400000</v>
      </c>
      <c r="R28" s="220">
        <v>0</v>
      </c>
      <c r="S28" s="207">
        <v>0</v>
      </c>
      <c r="T28" s="207">
        <v>0</v>
      </c>
      <c r="U28" s="203" t="s">
        <v>800</v>
      </c>
      <c r="V28" s="216"/>
      <c r="W28" s="207">
        <v>60000000</v>
      </c>
      <c r="X28" s="225" t="s">
        <v>965</v>
      </c>
      <c r="Y28" s="225" t="s">
        <v>965</v>
      </c>
      <c r="Z28" s="225" t="s">
        <v>966</v>
      </c>
    </row>
    <row r="29" spans="1:26" ht="43" customHeight="1" x14ac:dyDescent="0.35">
      <c r="A29" s="203" t="s">
        <v>927</v>
      </c>
      <c r="B29" s="203" t="s">
        <v>928</v>
      </c>
      <c r="C29" s="203" t="s">
        <v>963</v>
      </c>
      <c r="D29" s="188">
        <v>90141500</v>
      </c>
      <c r="E29" s="216" t="s">
        <v>970</v>
      </c>
      <c r="F29" s="216" t="s">
        <v>738</v>
      </c>
      <c r="G29" s="188" t="s">
        <v>68</v>
      </c>
      <c r="H29" s="188" t="s">
        <v>69</v>
      </c>
      <c r="I29" s="217">
        <v>8</v>
      </c>
      <c r="J29" s="187" t="s">
        <v>940</v>
      </c>
      <c r="K29" s="223">
        <v>60000000</v>
      </c>
      <c r="L29" s="224">
        <v>0</v>
      </c>
      <c r="M29" s="220">
        <v>0</v>
      </c>
      <c r="N29" s="220">
        <v>60000000</v>
      </c>
      <c r="O29" s="203" t="s">
        <v>791</v>
      </c>
      <c r="P29" s="203" t="s">
        <v>89</v>
      </c>
      <c r="Q29" s="220">
        <v>60000000</v>
      </c>
      <c r="R29" s="220">
        <v>0</v>
      </c>
      <c r="S29" s="207">
        <v>0</v>
      </c>
      <c r="T29" s="207">
        <v>0</v>
      </c>
      <c r="U29" s="203" t="s">
        <v>800</v>
      </c>
      <c r="V29" s="216"/>
      <c r="W29" s="207">
        <v>50420168.067226894</v>
      </c>
      <c r="X29" s="225" t="s">
        <v>965</v>
      </c>
      <c r="Y29" s="225" t="s">
        <v>965</v>
      </c>
      <c r="Z29" s="225" t="s">
        <v>971</v>
      </c>
    </row>
    <row r="30" spans="1:26" ht="43" customHeight="1" x14ac:dyDescent="0.35">
      <c r="A30" s="203" t="s">
        <v>927</v>
      </c>
      <c r="B30" s="203" t="s">
        <v>928</v>
      </c>
      <c r="C30" s="203" t="s">
        <v>963</v>
      </c>
      <c r="D30" s="188">
        <v>80141607</v>
      </c>
      <c r="E30" s="216" t="s">
        <v>972</v>
      </c>
      <c r="F30" s="216" t="s">
        <v>739</v>
      </c>
      <c r="G30" s="188" t="s">
        <v>67</v>
      </c>
      <c r="H30" s="188" t="s">
        <v>67</v>
      </c>
      <c r="I30" s="217">
        <v>12</v>
      </c>
      <c r="J30" s="187" t="s">
        <v>940</v>
      </c>
      <c r="K30" s="223">
        <v>462700000</v>
      </c>
      <c r="L30" s="224">
        <v>0.19</v>
      </c>
      <c r="M30" s="220">
        <v>87913000</v>
      </c>
      <c r="N30" s="220">
        <v>550613000</v>
      </c>
      <c r="O30" s="203" t="s">
        <v>791</v>
      </c>
      <c r="P30" s="203" t="s">
        <v>89</v>
      </c>
      <c r="Q30" s="220">
        <v>550613000</v>
      </c>
      <c r="R30" s="220">
        <v>0</v>
      </c>
      <c r="S30" s="223">
        <v>0</v>
      </c>
      <c r="T30" s="223">
        <v>0</v>
      </c>
      <c r="U30" s="203" t="s">
        <v>800</v>
      </c>
      <c r="V30" s="216"/>
      <c r="W30" s="207">
        <v>462700000</v>
      </c>
      <c r="X30" s="204" t="s">
        <v>965</v>
      </c>
      <c r="Y30" s="204" t="s">
        <v>965</v>
      </c>
      <c r="Z30" s="204" t="s">
        <v>973</v>
      </c>
    </row>
    <row r="31" spans="1:26" ht="43" customHeight="1" x14ac:dyDescent="0.35">
      <c r="A31" s="203" t="s">
        <v>927</v>
      </c>
      <c r="B31" s="203" t="s">
        <v>928</v>
      </c>
      <c r="C31" s="203" t="s">
        <v>963</v>
      </c>
      <c r="D31" s="188">
        <v>84131602</v>
      </c>
      <c r="E31" s="216" t="s">
        <v>974</v>
      </c>
      <c r="F31" s="216" t="s">
        <v>740</v>
      </c>
      <c r="G31" s="188" t="s">
        <v>76</v>
      </c>
      <c r="H31" s="188" t="s">
        <v>78</v>
      </c>
      <c r="I31" s="217">
        <v>12</v>
      </c>
      <c r="J31" s="187" t="s">
        <v>940</v>
      </c>
      <c r="K31" s="223">
        <v>10251894374.74</v>
      </c>
      <c r="L31" s="224">
        <v>0.19</v>
      </c>
      <c r="M31" s="220">
        <v>1947859931.2005999</v>
      </c>
      <c r="N31" s="220">
        <v>12199754305.940599</v>
      </c>
      <c r="O31" s="203" t="s">
        <v>791</v>
      </c>
      <c r="P31" s="203" t="s">
        <v>89</v>
      </c>
      <c r="Q31" s="220">
        <v>12199754305.940599</v>
      </c>
      <c r="R31" s="220">
        <v>10251897375</v>
      </c>
      <c r="S31" s="223">
        <v>0</v>
      </c>
      <c r="T31" s="223">
        <v>0</v>
      </c>
      <c r="U31" s="203" t="s">
        <v>801</v>
      </c>
      <c r="V31" s="216"/>
      <c r="W31" s="207">
        <v>0</v>
      </c>
      <c r="X31" s="204" t="s">
        <v>944</v>
      </c>
      <c r="Y31" s="204" t="s">
        <v>945</v>
      </c>
      <c r="Z31" s="204" t="s">
        <v>975</v>
      </c>
    </row>
    <row r="32" spans="1:26" ht="43" customHeight="1" x14ac:dyDescent="0.35">
      <c r="A32" s="203" t="s">
        <v>927</v>
      </c>
      <c r="B32" s="203" t="s">
        <v>928</v>
      </c>
      <c r="C32" s="203" t="s">
        <v>963</v>
      </c>
      <c r="D32" s="226">
        <v>84131601</v>
      </c>
      <c r="E32" s="216" t="s">
        <v>943</v>
      </c>
      <c r="F32" s="216" t="s">
        <v>741</v>
      </c>
      <c r="G32" s="188" t="s">
        <v>76</v>
      </c>
      <c r="H32" s="188" t="s">
        <v>78</v>
      </c>
      <c r="I32" s="217">
        <v>12</v>
      </c>
      <c r="J32" s="187" t="s">
        <v>940</v>
      </c>
      <c r="K32" s="220">
        <v>1621736146.0299997</v>
      </c>
      <c r="L32" s="219">
        <v>0</v>
      </c>
      <c r="M32" s="220">
        <v>0</v>
      </c>
      <c r="N32" s="220">
        <v>1621736146.0299997</v>
      </c>
      <c r="O32" s="203" t="s">
        <v>791</v>
      </c>
      <c r="P32" s="203" t="s">
        <v>89</v>
      </c>
      <c r="Q32" s="220">
        <v>1621736146.0299997</v>
      </c>
      <c r="R32" s="220">
        <v>1621736146</v>
      </c>
      <c r="S32" s="220">
        <v>0</v>
      </c>
      <c r="T32" s="220">
        <v>0</v>
      </c>
      <c r="U32" s="203" t="s">
        <v>801</v>
      </c>
      <c r="V32" s="216"/>
      <c r="W32" s="207">
        <v>0</v>
      </c>
      <c r="X32" s="225" t="s">
        <v>944</v>
      </c>
      <c r="Y32" s="225" t="s">
        <v>945</v>
      </c>
      <c r="Z32" s="225" t="s">
        <v>946</v>
      </c>
    </row>
    <row r="33" spans="1:26" ht="43" customHeight="1" x14ac:dyDescent="0.35">
      <c r="A33" s="203" t="s">
        <v>927</v>
      </c>
      <c r="B33" s="203" t="s">
        <v>928</v>
      </c>
      <c r="C33" s="203" t="s">
        <v>963</v>
      </c>
      <c r="D33" s="226">
        <v>84131601</v>
      </c>
      <c r="E33" s="216" t="s">
        <v>943</v>
      </c>
      <c r="F33" s="216" t="s">
        <v>742</v>
      </c>
      <c r="G33" s="188" t="s">
        <v>76</v>
      </c>
      <c r="H33" s="188" t="s">
        <v>78</v>
      </c>
      <c r="I33" s="217">
        <v>12</v>
      </c>
      <c r="J33" s="187" t="s">
        <v>940</v>
      </c>
      <c r="K33" s="220">
        <v>89679063.389999986</v>
      </c>
      <c r="L33" s="219">
        <v>0</v>
      </c>
      <c r="M33" s="220">
        <v>0</v>
      </c>
      <c r="N33" s="220">
        <v>89679063.389999986</v>
      </c>
      <c r="O33" s="203" t="s">
        <v>791</v>
      </c>
      <c r="P33" s="203" t="s">
        <v>89</v>
      </c>
      <c r="Q33" s="220">
        <v>89679063.389999986</v>
      </c>
      <c r="R33" s="220">
        <v>89679063</v>
      </c>
      <c r="S33" s="220">
        <v>0</v>
      </c>
      <c r="T33" s="220">
        <v>0</v>
      </c>
      <c r="U33" s="203" t="s">
        <v>801</v>
      </c>
      <c r="V33" s="216"/>
      <c r="W33" s="207">
        <v>0</v>
      </c>
      <c r="X33" s="225" t="s">
        <v>944</v>
      </c>
      <c r="Y33" s="225" t="s">
        <v>945</v>
      </c>
      <c r="Z33" s="225" t="s">
        <v>976</v>
      </c>
    </row>
    <row r="34" spans="1:26" ht="43" customHeight="1" x14ac:dyDescent="0.35">
      <c r="A34" s="203" t="s">
        <v>927</v>
      </c>
      <c r="B34" s="203" t="s">
        <v>928</v>
      </c>
      <c r="C34" s="203" t="s">
        <v>963</v>
      </c>
      <c r="D34" s="226">
        <v>70171708</v>
      </c>
      <c r="E34" s="216" t="s">
        <v>977</v>
      </c>
      <c r="F34" s="216" t="s">
        <v>743</v>
      </c>
      <c r="G34" s="188" t="s">
        <v>69</v>
      </c>
      <c r="H34" s="188" t="s">
        <v>69</v>
      </c>
      <c r="I34" s="217">
        <v>36</v>
      </c>
      <c r="J34" s="187" t="s">
        <v>940</v>
      </c>
      <c r="K34" s="220">
        <v>0</v>
      </c>
      <c r="L34" s="224">
        <v>0</v>
      </c>
      <c r="M34" s="220">
        <v>0</v>
      </c>
      <c r="N34" s="220">
        <v>0</v>
      </c>
      <c r="O34" s="203" t="s">
        <v>791</v>
      </c>
      <c r="P34" s="203" t="s">
        <v>89</v>
      </c>
      <c r="Q34" s="220">
        <v>0</v>
      </c>
      <c r="R34" s="220">
        <v>0</v>
      </c>
      <c r="S34" s="220">
        <v>0</v>
      </c>
      <c r="T34" s="220">
        <v>0</v>
      </c>
      <c r="U34" s="203" t="s">
        <v>801</v>
      </c>
      <c r="V34" s="216" t="s">
        <v>978</v>
      </c>
      <c r="W34" s="207">
        <v>0</v>
      </c>
      <c r="X34" s="225" t="s">
        <v>792</v>
      </c>
      <c r="Y34" s="225" t="s">
        <v>792</v>
      </c>
      <c r="Z34" s="225" t="s">
        <v>792</v>
      </c>
    </row>
    <row r="35" spans="1:26" ht="43" customHeight="1" x14ac:dyDescent="0.35">
      <c r="A35" s="203" t="s">
        <v>927</v>
      </c>
      <c r="B35" s="203" t="s">
        <v>928</v>
      </c>
      <c r="C35" s="203" t="s">
        <v>963</v>
      </c>
      <c r="D35" s="226">
        <v>84131501</v>
      </c>
      <c r="E35" s="216" t="s">
        <v>979</v>
      </c>
      <c r="F35" s="216" t="s">
        <v>744</v>
      </c>
      <c r="G35" s="188" t="s">
        <v>76</v>
      </c>
      <c r="H35" s="188" t="s">
        <v>78</v>
      </c>
      <c r="I35" s="217">
        <v>12</v>
      </c>
      <c r="J35" s="187" t="s">
        <v>940</v>
      </c>
      <c r="K35" s="220">
        <v>153821815</v>
      </c>
      <c r="L35" s="224">
        <v>0.19</v>
      </c>
      <c r="M35" s="220">
        <v>29226144.850000001</v>
      </c>
      <c r="N35" s="220">
        <v>183047959.84999999</v>
      </c>
      <c r="O35" s="203" t="s">
        <v>791</v>
      </c>
      <c r="P35" s="203" t="s">
        <v>89</v>
      </c>
      <c r="Q35" s="220">
        <v>183047959.84999999</v>
      </c>
      <c r="R35" s="220">
        <v>183047960</v>
      </c>
      <c r="S35" s="220">
        <v>0</v>
      </c>
      <c r="T35" s="220">
        <v>0</v>
      </c>
      <c r="U35" s="203" t="s">
        <v>801</v>
      </c>
      <c r="V35" s="216"/>
      <c r="W35" s="207">
        <v>153821815</v>
      </c>
      <c r="X35" s="225" t="s">
        <v>944</v>
      </c>
      <c r="Y35" s="225" t="s">
        <v>945</v>
      </c>
      <c r="Z35" s="225" t="s">
        <v>980</v>
      </c>
    </row>
    <row r="36" spans="1:26" ht="43" customHeight="1" x14ac:dyDescent="0.35">
      <c r="A36" s="203" t="s">
        <v>927</v>
      </c>
      <c r="B36" s="203" t="s">
        <v>928</v>
      </c>
      <c r="C36" s="203" t="s">
        <v>963</v>
      </c>
      <c r="D36" s="226">
        <v>80121610</v>
      </c>
      <c r="E36" s="216" t="s">
        <v>981</v>
      </c>
      <c r="F36" s="216" t="s">
        <v>745</v>
      </c>
      <c r="G36" s="188" t="s">
        <v>67</v>
      </c>
      <c r="H36" s="188" t="s">
        <v>68</v>
      </c>
      <c r="I36" s="217">
        <v>12</v>
      </c>
      <c r="J36" s="187" t="s">
        <v>940</v>
      </c>
      <c r="K36" s="220">
        <v>939399553</v>
      </c>
      <c r="L36" s="224">
        <v>0.19</v>
      </c>
      <c r="M36" s="220">
        <v>178485915.06999999</v>
      </c>
      <c r="N36" s="220">
        <v>1117885468.0699999</v>
      </c>
      <c r="O36" s="203" t="s">
        <v>791</v>
      </c>
      <c r="P36" s="203" t="s">
        <v>89</v>
      </c>
      <c r="Q36" s="220">
        <v>1117885468.0699999</v>
      </c>
      <c r="R36" s="220">
        <v>295363988</v>
      </c>
      <c r="S36" s="220">
        <v>312790463</v>
      </c>
      <c r="T36" s="220">
        <v>331245102</v>
      </c>
      <c r="U36" s="203" t="s">
        <v>801</v>
      </c>
      <c r="V36" s="216"/>
      <c r="W36" s="207">
        <v>939399553</v>
      </c>
      <c r="X36" s="225" t="s">
        <v>941</v>
      </c>
      <c r="Y36" s="225" t="s">
        <v>941</v>
      </c>
      <c r="Z36" s="225" t="s">
        <v>982</v>
      </c>
    </row>
    <row r="37" spans="1:26" ht="43" customHeight="1" x14ac:dyDescent="0.35">
      <c r="A37" s="203" t="s">
        <v>927</v>
      </c>
      <c r="B37" s="203" t="s">
        <v>928</v>
      </c>
      <c r="C37" s="203" t="s">
        <v>963</v>
      </c>
      <c r="D37" s="227">
        <v>93131608</v>
      </c>
      <c r="E37" s="216" t="s">
        <v>983</v>
      </c>
      <c r="F37" s="216" t="s">
        <v>984</v>
      </c>
      <c r="G37" s="188" t="s">
        <v>69</v>
      </c>
      <c r="H37" s="188" t="s">
        <v>69</v>
      </c>
      <c r="I37" s="217">
        <v>12</v>
      </c>
      <c r="J37" s="187" t="s">
        <v>940</v>
      </c>
      <c r="K37" s="220">
        <v>20000000</v>
      </c>
      <c r="L37" s="224">
        <v>0.19</v>
      </c>
      <c r="M37" s="220">
        <v>3800000</v>
      </c>
      <c r="N37" s="220">
        <v>23800000</v>
      </c>
      <c r="O37" s="203" t="s">
        <v>791</v>
      </c>
      <c r="P37" s="203" t="s">
        <v>89</v>
      </c>
      <c r="Q37" s="220">
        <v>23800000</v>
      </c>
      <c r="R37" s="220">
        <v>0</v>
      </c>
      <c r="S37" s="220">
        <v>0</v>
      </c>
      <c r="T37" s="220">
        <v>0</v>
      </c>
      <c r="U37" s="203" t="s">
        <v>798</v>
      </c>
      <c r="V37" s="216"/>
      <c r="W37" s="207">
        <v>20000000</v>
      </c>
      <c r="X37" s="225" t="s">
        <v>985</v>
      </c>
      <c r="Y37" s="225" t="s">
        <v>986</v>
      </c>
      <c r="Z37" s="225" t="s">
        <v>987</v>
      </c>
    </row>
    <row r="38" spans="1:26" ht="43" customHeight="1" x14ac:dyDescent="0.35">
      <c r="A38" s="203" t="s">
        <v>927</v>
      </c>
      <c r="B38" s="203" t="s">
        <v>928</v>
      </c>
      <c r="C38" s="203" t="s">
        <v>963</v>
      </c>
      <c r="D38" s="226">
        <v>80111508</v>
      </c>
      <c r="E38" s="216" t="s">
        <v>988</v>
      </c>
      <c r="F38" s="216" t="s">
        <v>989</v>
      </c>
      <c r="G38" s="188" t="s">
        <v>67</v>
      </c>
      <c r="H38" s="188" t="s">
        <v>69</v>
      </c>
      <c r="I38" s="217">
        <v>12</v>
      </c>
      <c r="J38" s="187" t="s">
        <v>940</v>
      </c>
      <c r="K38" s="220">
        <v>78396921</v>
      </c>
      <c r="L38" s="224">
        <v>0.19</v>
      </c>
      <c r="M38" s="220">
        <v>14895414.99</v>
      </c>
      <c r="N38" s="220">
        <v>93292335.989999995</v>
      </c>
      <c r="O38" s="203" t="s">
        <v>791</v>
      </c>
      <c r="P38" s="203" t="s">
        <v>89</v>
      </c>
      <c r="Q38" s="220">
        <v>93292335.989999995</v>
      </c>
      <c r="R38" s="220">
        <v>0</v>
      </c>
      <c r="S38" s="220">
        <v>0</v>
      </c>
      <c r="T38" s="220">
        <v>0</v>
      </c>
      <c r="U38" s="203" t="s">
        <v>798</v>
      </c>
      <c r="V38" s="216"/>
      <c r="W38" s="207">
        <v>78396921</v>
      </c>
      <c r="X38" s="225" t="s">
        <v>990</v>
      </c>
      <c r="Y38" s="225" t="s">
        <v>991</v>
      </c>
      <c r="Z38" s="225" t="s">
        <v>992</v>
      </c>
    </row>
    <row r="39" spans="1:26" ht="43" customHeight="1" x14ac:dyDescent="0.35">
      <c r="A39" s="203" t="s">
        <v>927</v>
      </c>
      <c r="B39" s="203" t="s">
        <v>928</v>
      </c>
      <c r="C39" s="203" t="s">
        <v>993</v>
      </c>
      <c r="D39" s="226">
        <v>73131505</v>
      </c>
      <c r="E39" s="216" t="s">
        <v>994</v>
      </c>
      <c r="F39" s="216" t="s">
        <v>747</v>
      </c>
      <c r="G39" s="188" t="s">
        <v>67</v>
      </c>
      <c r="H39" s="188" t="s">
        <v>67</v>
      </c>
      <c r="I39" s="217">
        <v>12</v>
      </c>
      <c r="J39" s="188" t="s">
        <v>940</v>
      </c>
      <c r="K39" s="220">
        <v>50023670</v>
      </c>
      <c r="L39" s="224">
        <v>0</v>
      </c>
      <c r="M39" s="220">
        <v>0</v>
      </c>
      <c r="N39" s="220">
        <v>50023670</v>
      </c>
      <c r="O39" s="203" t="s">
        <v>791</v>
      </c>
      <c r="P39" s="203" t="s">
        <v>995</v>
      </c>
      <c r="Q39" s="220">
        <v>50023670</v>
      </c>
      <c r="R39" s="220">
        <v>0</v>
      </c>
      <c r="S39" s="220">
        <v>0</v>
      </c>
      <c r="T39" s="220">
        <v>0</v>
      </c>
      <c r="U39" s="203" t="s">
        <v>996</v>
      </c>
      <c r="V39" s="216" t="s">
        <v>997</v>
      </c>
      <c r="W39" s="207">
        <v>50023670</v>
      </c>
      <c r="X39" s="225" t="s">
        <v>998</v>
      </c>
      <c r="Y39" s="225" t="s">
        <v>999</v>
      </c>
      <c r="Z39" s="225" t="s">
        <v>999</v>
      </c>
    </row>
    <row r="40" spans="1:26" ht="43" customHeight="1" x14ac:dyDescent="0.35">
      <c r="A40" s="203" t="s">
        <v>927</v>
      </c>
      <c r="B40" s="203" t="s">
        <v>928</v>
      </c>
      <c r="C40" s="203" t="s">
        <v>993</v>
      </c>
      <c r="D40" s="226">
        <v>77101802</v>
      </c>
      <c r="E40" s="216" t="s">
        <v>748</v>
      </c>
      <c r="F40" s="216" t="s">
        <v>748</v>
      </c>
      <c r="G40" s="188" t="s">
        <v>72</v>
      </c>
      <c r="H40" s="188" t="s">
        <v>74</v>
      </c>
      <c r="I40" s="217">
        <v>12</v>
      </c>
      <c r="J40" s="187" t="s">
        <v>940</v>
      </c>
      <c r="K40" s="220">
        <v>2340390</v>
      </c>
      <c r="L40" s="224">
        <v>0.19</v>
      </c>
      <c r="M40" s="220">
        <v>444674.1</v>
      </c>
      <c r="N40" s="220">
        <v>2785064.1</v>
      </c>
      <c r="O40" s="203" t="s">
        <v>791</v>
      </c>
      <c r="P40" s="203" t="s">
        <v>932</v>
      </c>
      <c r="Q40" s="220">
        <v>2785064.1</v>
      </c>
      <c r="R40" s="220">
        <v>0</v>
      </c>
      <c r="S40" s="220">
        <v>0</v>
      </c>
      <c r="T40" s="220">
        <v>0</v>
      </c>
      <c r="U40" s="203" t="s">
        <v>1000</v>
      </c>
      <c r="V40" s="216"/>
      <c r="W40" s="207">
        <v>2340390</v>
      </c>
      <c r="X40" s="225" t="s">
        <v>1001</v>
      </c>
      <c r="Y40" s="225" t="s">
        <v>1001</v>
      </c>
      <c r="Z40" s="225" t="s">
        <v>1002</v>
      </c>
    </row>
    <row r="41" spans="1:26" ht="43" customHeight="1" x14ac:dyDescent="0.35">
      <c r="A41" s="203" t="s">
        <v>927</v>
      </c>
      <c r="B41" s="203" t="s">
        <v>928</v>
      </c>
      <c r="C41" s="203" t="s">
        <v>993</v>
      </c>
      <c r="D41" s="226">
        <v>48101705</v>
      </c>
      <c r="E41" s="216" t="s">
        <v>1003</v>
      </c>
      <c r="F41" s="216" t="s">
        <v>749</v>
      </c>
      <c r="G41" s="188" t="s">
        <v>67</v>
      </c>
      <c r="H41" s="188" t="s">
        <v>67</v>
      </c>
      <c r="I41" s="217">
        <v>12</v>
      </c>
      <c r="J41" s="188" t="s">
        <v>940</v>
      </c>
      <c r="K41" s="220">
        <v>4242568</v>
      </c>
      <c r="L41" s="224">
        <v>0.19</v>
      </c>
      <c r="M41" s="220">
        <v>806087.92</v>
      </c>
      <c r="N41" s="220">
        <v>5048655.92</v>
      </c>
      <c r="O41" s="203" t="s">
        <v>791</v>
      </c>
      <c r="P41" s="203" t="s">
        <v>995</v>
      </c>
      <c r="Q41" s="220">
        <v>5048656</v>
      </c>
      <c r="R41" s="220">
        <v>0</v>
      </c>
      <c r="S41" s="220">
        <v>0</v>
      </c>
      <c r="T41" s="220">
        <v>0</v>
      </c>
      <c r="U41" s="203" t="s">
        <v>1000</v>
      </c>
      <c r="V41" s="216" t="s">
        <v>1004</v>
      </c>
      <c r="W41" s="207">
        <v>4242568</v>
      </c>
      <c r="X41" s="225" t="s">
        <v>1005</v>
      </c>
      <c r="Y41" s="225" t="s">
        <v>1006</v>
      </c>
      <c r="Z41" s="225" t="s">
        <v>1006</v>
      </c>
    </row>
    <row r="42" spans="1:26" ht="43" customHeight="1" x14ac:dyDescent="0.35">
      <c r="A42" s="203" t="s">
        <v>927</v>
      </c>
      <c r="B42" s="203" t="s">
        <v>928</v>
      </c>
      <c r="C42" s="203" t="s">
        <v>993</v>
      </c>
      <c r="D42" s="226">
        <v>72101511</v>
      </c>
      <c r="E42" s="216" t="s">
        <v>1007</v>
      </c>
      <c r="F42" s="216" t="s">
        <v>750</v>
      </c>
      <c r="G42" s="188" t="s">
        <v>67</v>
      </c>
      <c r="H42" s="188" t="s">
        <v>67</v>
      </c>
      <c r="I42" s="217">
        <v>12</v>
      </c>
      <c r="J42" s="187" t="s">
        <v>940</v>
      </c>
      <c r="K42" s="220">
        <v>32642501</v>
      </c>
      <c r="L42" s="224">
        <v>0.19</v>
      </c>
      <c r="M42" s="220">
        <v>6202075.1900000004</v>
      </c>
      <c r="N42" s="220">
        <v>38844576.189999998</v>
      </c>
      <c r="O42" s="203" t="s">
        <v>791</v>
      </c>
      <c r="P42" s="203" t="s">
        <v>995</v>
      </c>
      <c r="Q42" s="220">
        <v>38844576</v>
      </c>
      <c r="R42" s="220">
        <v>0</v>
      </c>
      <c r="S42" s="220">
        <v>0</v>
      </c>
      <c r="T42" s="220">
        <v>0</v>
      </c>
      <c r="U42" s="203" t="s">
        <v>996</v>
      </c>
      <c r="V42" s="216" t="s">
        <v>1008</v>
      </c>
      <c r="W42" s="207">
        <v>32642501</v>
      </c>
      <c r="X42" s="225" t="s">
        <v>1005</v>
      </c>
      <c r="Y42" s="225" t="s">
        <v>1006</v>
      </c>
      <c r="Z42" s="225" t="s">
        <v>1009</v>
      </c>
    </row>
    <row r="43" spans="1:26" ht="43" customHeight="1" x14ac:dyDescent="0.35">
      <c r="A43" s="203" t="s">
        <v>927</v>
      </c>
      <c r="B43" s="203" t="s">
        <v>928</v>
      </c>
      <c r="C43" s="203" t="s">
        <v>993</v>
      </c>
      <c r="D43" s="226">
        <v>84131501</v>
      </c>
      <c r="E43" s="216" t="s">
        <v>979</v>
      </c>
      <c r="F43" s="216" t="s">
        <v>751</v>
      </c>
      <c r="G43" s="188" t="s">
        <v>70</v>
      </c>
      <c r="H43" s="188" t="s">
        <v>74</v>
      </c>
      <c r="I43" s="217">
        <v>12</v>
      </c>
      <c r="J43" s="188" t="s">
        <v>940</v>
      </c>
      <c r="K43" s="220">
        <v>0</v>
      </c>
      <c r="L43" s="224">
        <v>0</v>
      </c>
      <c r="M43" s="220">
        <v>0</v>
      </c>
      <c r="N43" s="220">
        <v>0</v>
      </c>
      <c r="O43" s="203" t="s">
        <v>791</v>
      </c>
      <c r="P43" s="203" t="s">
        <v>89</v>
      </c>
      <c r="Q43" s="220">
        <v>0</v>
      </c>
      <c r="R43" s="220">
        <v>0</v>
      </c>
      <c r="S43" s="220">
        <v>0</v>
      </c>
      <c r="T43" s="220">
        <v>0</v>
      </c>
      <c r="U43" s="203" t="s">
        <v>996</v>
      </c>
      <c r="V43" s="216"/>
      <c r="W43" s="207"/>
      <c r="X43" s="225" t="s">
        <v>792</v>
      </c>
      <c r="Y43" s="225" t="s">
        <v>792</v>
      </c>
      <c r="Z43" s="225" t="s">
        <v>792</v>
      </c>
    </row>
    <row r="44" spans="1:26" ht="43" customHeight="1" x14ac:dyDescent="0.35">
      <c r="A44" s="203" t="s">
        <v>927</v>
      </c>
      <c r="B44" s="203" t="s">
        <v>928</v>
      </c>
      <c r="C44" s="203" t="s">
        <v>993</v>
      </c>
      <c r="D44" s="188">
        <v>84131501</v>
      </c>
      <c r="E44" s="216" t="s">
        <v>1010</v>
      </c>
      <c r="F44" s="216" t="s">
        <v>752</v>
      </c>
      <c r="G44" s="188" t="s">
        <v>73</v>
      </c>
      <c r="H44" s="188" t="s">
        <v>75</v>
      </c>
      <c r="I44" s="217">
        <v>12</v>
      </c>
      <c r="J44" s="187" t="s">
        <v>931</v>
      </c>
      <c r="K44" s="220">
        <v>2632243154.8649001</v>
      </c>
      <c r="L44" s="219">
        <v>0.19</v>
      </c>
      <c r="M44" s="220">
        <v>500126199.42433101</v>
      </c>
      <c r="N44" s="220">
        <v>3132369354.2892313</v>
      </c>
      <c r="O44" s="203" t="s">
        <v>794</v>
      </c>
      <c r="P44" s="203" t="s">
        <v>932</v>
      </c>
      <c r="Q44" s="220">
        <v>0</v>
      </c>
      <c r="R44" s="220">
        <v>3132369354.2892313</v>
      </c>
      <c r="S44" s="220">
        <v>0</v>
      </c>
      <c r="T44" s="220">
        <v>0</v>
      </c>
      <c r="U44" s="203" t="s">
        <v>996</v>
      </c>
      <c r="V44" s="216"/>
      <c r="W44" s="207">
        <v>2632243154.8649001</v>
      </c>
      <c r="X44" s="204" t="s">
        <v>944</v>
      </c>
      <c r="Y44" s="204" t="s">
        <v>945</v>
      </c>
      <c r="Z44" s="204" t="s">
        <v>1011</v>
      </c>
    </row>
    <row r="45" spans="1:26" ht="43" customHeight="1" x14ac:dyDescent="0.35">
      <c r="A45" s="203" t="s">
        <v>927</v>
      </c>
      <c r="B45" s="203" t="s">
        <v>928</v>
      </c>
      <c r="C45" s="203" t="s">
        <v>993</v>
      </c>
      <c r="D45" s="188">
        <v>72154028</v>
      </c>
      <c r="E45" s="216" t="s">
        <v>1012</v>
      </c>
      <c r="F45" s="216" t="s">
        <v>753</v>
      </c>
      <c r="G45" s="188" t="s">
        <v>67</v>
      </c>
      <c r="H45" s="188" t="s">
        <v>67</v>
      </c>
      <c r="I45" s="217">
        <v>12</v>
      </c>
      <c r="J45" s="187" t="s">
        <v>940</v>
      </c>
      <c r="K45" s="220">
        <v>39615200</v>
      </c>
      <c r="L45" s="219">
        <v>0</v>
      </c>
      <c r="M45" s="220">
        <v>0</v>
      </c>
      <c r="N45" s="220">
        <v>39615200</v>
      </c>
      <c r="O45" s="203" t="s">
        <v>794</v>
      </c>
      <c r="P45" s="203" t="s">
        <v>995</v>
      </c>
      <c r="Q45" s="220">
        <v>36730600</v>
      </c>
      <c r="R45" s="220">
        <v>2884600</v>
      </c>
      <c r="S45" s="220">
        <v>0</v>
      </c>
      <c r="T45" s="220">
        <v>0</v>
      </c>
      <c r="U45" s="203" t="s">
        <v>996</v>
      </c>
      <c r="V45" s="216" t="s">
        <v>1013</v>
      </c>
      <c r="W45" s="207">
        <v>39615200</v>
      </c>
      <c r="X45" s="204" t="s">
        <v>1005</v>
      </c>
      <c r="Y45" s="204" t="s">
        <v>1006</v>
      </c>
      <c r="Z45" s="204" t="s">
        <v>1014</v>
      </c>
    </row>
    <row r="46" spans="1:26" ht="43" customHeight="1" x14ac:dyDescent="0.35">
      <c r="A46" s="203" t="s">
        <v>927</v>
      </c>
      <c r="B46" s="203" t="s">
        <v>928</v>
      </c>
      <c r="C46" s="203" t="s">
        <v>993</v>
      </c>
      <c r="D46" s="188">
        <v>70171704</v>
      </c>
      <c r="E46" s="216" t="s">
        <v>1015</v>
      </c>
      <c r="F46" s="228" t="s">
        <v>754</v>
      </c>
      <c r="G46" s="188" t="s">
        <v>67</v>
      </c>
      <c r="H46" s="200" t="s">
        <v>67</v>
      </c>
      <c r="I46" s="217">
        <v>24</v>
      </c>
      <c r="J46" s="188" t="s">
        <v>940</v>
      </c>
      <c r="K46" s="220">
        <v>23913400</v>
      </c>
      <c r="L46" s="219">
        <v>0.19</v>
      </c>
      <c r="M46" s="220">
        <v>4543546</v>
      </c>
      <c r="N46" s="220">
        <v>28456946</v>
      </c>
      <c r="O46" s="203" t="s">
        <v>794</v>
      </c>
      <c r="P46" s="203" t="s">
        <v>995</v>
      </c>
      <c r="Q46" s="220">
        <v>14018200</v>
      </c>
      <c r="R46" s="220">
        <v>14438746</v>
      </c>
      <c r="S46" s="220">
        <v>0</v>
      </c>
      <c r="T46" s="220">
        <v>0</v>
      </c>
      <c r="U46" s="203" t="s">
        <v>996</v>
      </c>
      <c r="V46" s="216" t="s">
        <v>1016</v>
      </c>
      <c r="W46" s="207">
        <v>11780000</v>
      </c>
      <c r="X46" s="204" t="s">
        <v>1005</v>
      </c>
      <c r="Y46" s="204" t="s">
        <v>1006</v>
      </c>
      <c r="Z46" s="204" t="s">
        <v>1014</v>
      </c>
    </row>
    <row r="47" spans="1:26" ht="43" customHeight="1" x14ac:dyDescent="0.35">
      <c r="A47" s="203" t="s">
        <v>927</v>
      </c>
      <c r="B47" s="203" t="s">
        <v>928</v>
      </c>
      <c r="C47" s="203" t="s">
        <v>993</v>
      </c>
      <c r="D47" s="188">
        <v>46191601</v>
      </c>
      <c r="E47" s="216" t="s">
        <v>1017</v>
      </c>
      <c r="F47" s="216" t="s">
        <v>755</v>
      </c>
      <c r="G47" s="188" t="s">
        <v>75</v>
      </c>
      <c r="H47" s="188" t="s">
        <v>77</v>
      </c>
      <c r="I47" s="217">
        <v>24</v>
      </c>
      <c r="J47" s="187" t="s">
        <v>940</v>
      </c>
      <c r="K47" s="220">
        <v>4737596.8</v>
      </c>
      <c r="L47" s="219">
        <v>0.19</v>
      </c>
      <c r="M47" s="220">
        <v>900143.39199999999</v>
      </c>
      <c r="N47" s="220">
        <v>5637740.1919999998</v>
      </c>
      <c r="O47" s="203" t="s">
        <v>794</v>
      </c>
      <c r="P47" s="203" t="s">
        <v>932</v>
      </c>
      <c r="Q47" s="220">
        <v>2774478</v>
      </c>
      <c r="R47" s="220">
        <v>2863262</v>
      </c>
      <c r="S47" s="220">
        <v>0</v>
      </c>
      <c r="T47" s="220">
        <v>0</v>
      </c>
      <c r="U47" s="203" t="s">
        <v>996</v>
      </c>
      <c r="V47" s="216"/>
      <c r="W47" s="207">
        <v>2331494.3999999999</v>
      </c>
      <c r="X47" s="204" t="s">
        <v>1005</v>
      </c>
      <c r="Y47" s="204" t="s">
        <v>1014</v>
      </c>
      <c r="Z47" s="204" t="s">
        <v>1018</v>
      </c>
    </row>
    <row r="48" spans="1:26" ht="43" customHeight="1" x14ac:dyDescent="0.35">
      <c r="A48" s="203" t="s">
        <v>927</v>
      </c>
      <c r="B48" s="229" t="s">
        <v>928</v>
      </c>
      <c r="C48" s="203" t="s">
        <v>993</v>
      </c>
      <c r="D48" s="188">
        <v>72101506</v>
      </c>
      <c r="E48" s="216" t="s">
        <v>1019</v>
      </c>
      <c r="F48" s="216" t="s">
        <v>756</v>
      </c>
      <c r="G48" s="188" t="s">
        <v>68</v>
      </c>
      <c r="H48" s="188" t="s">
        <v>70</v>
      </c>
      <c r="I48" s="217">
        <v>12</v>
      </c>
      <c r="J48" s="187" t="s">
        <v>940</v>
      </c>
      <c r="K48" s="230">
        <v>27360093.55882353</v>
      </c>
      <c r="L48" s="231">
        <v>0.19</v>
      </c>
      <c r="M48" s="220">
        <v>5198417.7761764703</v>
      </c>
      <c r="N48" s="220">
        <v>32558511.335000001</v>
      </c>
      <c r="O48" s="203" t="s">
        <v>794</v>
      </c>
      <c r="P48" s="203" t="s">
        <v>932</v>
      </c>
      <c r="Q48" s="230">
        <v>16279255.6675</v>
      </c>
      <c r="R48" s="220">
        <v>16279255.6675</v>
      </c>
      <c r="S48" s="220">
        <v>0</v>
      </c>
      <c r="T48" s="220">
        <v>0</v>
      </c>
      <c r="U48" s="203" t="s">
        <v>996</v>
      </c>
      <c r="V48" s="216"/>
      <c r="W48" s="207">
        <v>13680046.779411765</v>
      </c>
      <c r="X48" s="204" t="s">
        <v>1005</v>
      </c>
      <c r="Y48" s="204" t="s">
        <v>1014</v>
      </c>
      <c r="Z48" s="204" t="s">
        <v>1020</v>
      </c>
    </row>
    <row r="49" spans="1:26" ht="43" customHeight="1" x14ac:dyDescent="0.35">
      <c r="A49" s="203" t="s">
        <v>927</v>
      </c>
      <c r="B49" s="229" t="s">
        <v>928</v>
      </c>
      <c r="C49" s="203" t="s">
        <v>993</v>
      </c>
      <c r="D49" s="217">
        <v>92101501</v>
      </c>
      <c r="E49" s="216" t="s">
        <v>1021</v>
      </c>
      <c r="F49" s="216" t="s">
        <v>757</v>
      </c>
      <c r="G49" s="188" t="s">
        <v>67</v>
      </c>
      <c r="H49" s="188" t="s">
        <v>68</v>
      </c>
      <c r="I49" s="217">
        <v>36</v>
      </c>
      <c r="J49" s="187" t="s">
        <v>931</v>
      </c>
      <c r="K49" s="230">
        <v>7824161115.1999989</v>
      </c>
      <c r="L49" s="231">
        <v>0.05</v>
      </c>
      <c r="M49" s="220">
        <v>391208055.75999999</v>
      </c>
      <c r="N49" s="220">
        <v>8215369170.9599991</v>
      </c>
      <c r="O49" s="203" t="s">
        <v>794</v>
      </c>
      <c r="P49" s="203" t="s">
        <v>932</v>
      </c>
      <c r="Q49" s="230">
        <v>2198827624</v>
      </c>
      <c r="R49" s="220">
        <v>2723028130.3999996</v>
      </c>
      <c r="S49" s="220">
        <v>2810165030.3999996</v>
      </c>
      <c r="T49" s="220">
        <v>483348385.39999998</v>
      </c>
      <c r="U49" s="203" t="s">
        <v>996</v>
      </c>
      <c r="V49" s="216" t="s">
        <v>1022</v>
      </c>
      <c r="W49" s="207">
        <v>2094121547</v>
      </c>
      <c r="X49" s="204" t="s">
        <v>1023</v>
      </c>
      <c r="Y49" s="204" t="s">
        <v>1023</v>
      </c>
      <c r="Z49" s="204" t="s">
        <v>1024</v>
      </c>
    </row>
    <row r="50" spans="1:26" ht="43" customHeight="1" x14ac:dyDescent="0.35">
      <c r="A50" s="203" t="s">
        <v>927</v>
      </c>
      <c r="B50" s="203" t="s">
        <v>928</v>
      </c>
      <c r="C50" s="203" t="s">
        <v>993</v>
      </c>
      <c r="D50" s="217">
        <v>43232804</v>
      </c>
      <c r="E50" s="216" t="s">
        <v>1025</v>
      </c>
      <c r="F50" s="216" t="s">
        <v>758</v>
      </c>
      <c r="G50" s="188" t="s">
        <v>73</v>
      </c>
      <c r="H50" s="188" t="s">
        <v>75</v>
      </c>
      <c r="I50" s="217">
        <v>24</v>
      </c>
      <c r="J50" s="187" t="s">
        <v>940</v>
      </c>
      <c r="K50" s="220">
        <v>300753201</v>
      </c>
      <c r="L50" s="219">
        <v>0.19</v>
      </c>
      <c r="M50" s="220">
        <v>57143108.189999998</v>
      </c>
      <c r="N50" s="220">
        <v>357896309.19</v>
      </c>
      <c r="O50" s="203" t="s">
        <v>791</v>
      </c>
      <c r="P50" s="203" t="s">
        <v>89</v>
      </c>
      <c r="Q50" s="220">
        <v>357896309.19</v>
      </c>
      <c r="R50" s="220">
        <v>0</v>
      </c>
      <c r="S50" s="220">
        <v>0</v>
      </c>
      <c r="T50" s="220">
        <v>0</v>
      </c>
      <c r="U50" s="203" t="s">
        <v>1026</v>
      </c>
      <c r="V50" s="216"/>
      <c r="W50" s="207">
        <v>300753201</v>
      </c>
      <c r="X50" s="204" t="s">
        <v>1027</v>
      </c>
      <c r="Y50" s="204" t="s">
        <v>1028</v>
      </c>
      <c r="Z50" s="204" t="s">
        <v>1029</v>
      </c>
    </row>
    <row r="51" spans="1:26" ht="43" customHeight="1" x14ac:dyDescent="0.35">
      <c r="A51" s="203" t="s">
        <v>927</v>
      </c>
      <c r="B51" s="203" t="s">
        <v>928</v>
      </c>
      <c r="C51" s="203" t="s">
        <v>993</v>
      </c>
      <c r="D51" s="217">
        <v>80131802</v>
      </c>
      <c r="E51" s="216" t="s">
        <v>1030</v>
      </c>
      <c r="F51" s="216" t="s">
        <v>759</v>
      </c>
      <c r="G51" s="188" t="s">
        <v>72</v>
      </c>
      <c r="H51" s="188" t="s">
        <v>75</v>
      </c>
      <c r="I51" s="217">
        <v>3</v>
      </c>
      <c r="J51" s="187" t="s">
        <v>949</v>
      </c>
      <c r="K51" s="220">
        <v>69790161</v>
      </c>
      <c r="L51" s="219">
        <v>0.19</v>
      </c>
      <c r="M51" s="220">
        <v>13260130.59</v>
      </c>
      <c r="N51" s="220">
        <v>83050291.590000004</v>
      </c>
      <c r="O51" s="203" t="s">
        <v>791</v>
      </c>
      <c r="P51" s="203" t="s">
        <v>932</v>
      </c>
      <c r="Q51" s="230">
        <v>83050291.590000004</v>
      </c>
      <c r="R51" s="220">
        <v>0</v>
      </c>
      <c r="S51" s="220">
        <v>0</v>
      </c>
      <c r="T51" s="220">
        <v>0</v>
      </c>
      <c r="U51" s="203" t="s">
        <v>1026</v>
      </c>
      <c r="V51" s="216"/>
      <c r="W51" s="207">
        <v>69790161</v>
      </c>
      <c r="X51" s="204" t="s">
        <v>941</v>
      </c>
      <c r="Y51" s="204" t="s">
        <v>941</v>
      </c>
      <c r="Z51" s="204" t="s">
        <v>1031</v>
      </c>
    </row>
    <row r="52" spans="1:26" ht="43" customHeight="1" x14ac:dyDescent="0.35">
      <c r="A52" s="203" t="s">
        <v>927</v>
      </c>
      <c r="B52" s="203" t="s">
        <v>928</v>
      </c>
      <c r="C52" s="203" t="s">
        <v>993</v>
      </c>
      <c r="D52" s="226">
        <v>78102206</v>
      </c>
      <c r="E52" s="216" t="s">
        <v>1032</v>
      </c>
      <c r="F52" s="216" t="s">
        <v>760</v>
      </c>
      <c r="G52" s="188" t="s">
        <v>67</v>
      </c>
      <c r="H52" s="188" t="s">
        <v>68</v>
      </c>
      <c r="I52" s="217">
        <v>24</v>
      </c>
      <c r="J52" s="187" t="s">
        <v>949</v>
      </c>
      <c r="K52" s="220">
        <v>370543362</v>
      </c>
      <c r="L52" s="219">
        <v>0</v>
      </c>
      <c r="M52" s="220">
        <v>0</v>
      </c>
      <c r="N52" s="220">
        <v>370543362</v>
      </c>
      <c r="O52" s="203" t="s">
        <v>794</v>
      </c>
      <c r="P52" s="203" t="s">
        <v>932</v>
      </c>
      <c r="Q52" s="230">
        <v>193744926.51199999</v>
      </c>
      <c r="R52" s="220">
        <v>199944764.160384</v>
      </c>
      <c r="S52" s="220">
        <v>0</v>
      </c>
      <c r="T52" s="220">
        <v>0</v>
      </c>
      <c r="U52" s="203" t="s">
        <v>1000</v>
      </c>
      <c r="V52" s="216" t="s">
        <v>1033</v>
      </c>
      <c r="W52" s="207">
        <v>193744926.51199999</v>
      </c>
      <c r="X52" s="204" t="s">
        <v>1034</v>
      </c>
      <c r="Y52" s="204" t="s">
        <v>1035</v>
      </c>
      <c r="Z52" s="204" t="s">
        <v>1036</v>
      </c>
    </row>
    <row r="53" spans="1:26" ht="43" customHeight="1" x14ac:dyDescent="0.35">
      <c r="A53" s="203" t="s">
        <v>927</v>
      </c>
      <c r="B53" s="203" t="s">
        <v>928</v>
      </c>
      <c r="C53" s="203" t="s">
        <v>993</v>
      </c>
      <c r="D53" s="226">
        <v>81161600</v>
      </c>
      <c r="E53" s="216" t="s">
        <v>1037</v>
      </c>
      <c r="F53" s="216" t="s">
        <v>761</v>
      </c>
      <c r="G53" s="188" t="s">
        <v>72</v>
      </c>
      <c r="H53" s="188" t="s">
        <v>75</v>
      </c>
      <c r="I53" s="217">
        <v>12</v>
      </c>
      <c r="J53" s="187" t="s">
        <v>940</v>
      </c>
      <c r="K53" s="220">
        <v>143854560</v>
      </c>
      <c r="L53" s="219">
        <v>0.19</v>
      </c>
      <c r="M53" s="220">
        <v>27332366.399999999</v>
      </c>
      <c r="N53" s="220">
        <v>171186926.40000001</v>
      </c>
      <c r="O53" s="203" t="s">
        <v>794</v>
      </c>
      <c r="P53" s="203" t="s">
        <v>932</v>
      </c>
      <c r="Q53" s="230">
        <v>42796731.600000001</v>
      </c>
      <c r="R53" s="220">
        <v>128390194.8</v>
      </c>
      <c r="S53" s="220">
        <v>0</v>
      </c>
      <c r="T53" s="220">
        <v>0</v>
      </c>
      <c r="U53" s="203" t="s">
        <v>1038</v>
      </c>
      <c r="V53" s="216"/>
      <c r="W53" s="207">
        <v>35963640</v>
      </c>
      <c r="X53" s="204" t="s">
        <v>1027</v>
      </c>
      <c r="Y53" s="204" t="s">
        <v>1028</v>
      </c>
      <c r="Z53" s="204" t="s">
        <v>714</v>
      </c>
    </row>
    <row r="54" spans="1:26" ht="43" customHeight="1" x14ac:dyDescent="0.35">
      <c r="A54" s="203" t="s">
        <v>927</v>
      </c>
      <c r="B54" s="203" t="s">
        <v>928</v>
      </c>
      <c r="C54" s="203" t="s">
        <v>993</v>
      </c>
      <c r="D54" s="226">
        <v>31162800</v>
      </c>
      <c r="E54" s="216" t="s">
        <v>1039</v>
      </c>
      <c r="F54" s="216" t="s">
        <v>762</v>
      </c>
      <c r="G54" s="188" t="s">
        <v>67</v>
      </c>
      <c r="H54" s="188" t="s">
        <v>68</v>
      </c>
      <c r="I54" s="217">
        <v>24</v>
      </c>
      <c r="J54" s="187" t="s">
        <v>949</v>
      </c>
      <c r="K54" s="220">
        <v>210786934</v>
      </c>
      <c r="L54" s="219">
        <v>0.19</v>
      </c>
      <c r="M54" s="220">
        <v>40049517.460000001</v>
      </c>
      <c r="N54" s="220">
        <v>250836451.46000001</v>
      </c>
      <c r="O54" s="203" t="s">
        <v>794</v>
      </c>
      <c r="P54" s="203" t="s">
        <v>932</v>
      </c>
      <c r="Q54" s="220">
        <v>123443135</v>
      </c>
      <c r="R54" s="220">
        <v>127393316</v>
      </c>
      <c r="S54" s="220">
        <v>0</v>
      </c>
      <c r="T54" s="220">
        <v>0</v>
      </c>
      <c r="U54" s="203" t="s">
        <v>1000</v>
      </c>
      <c r="V54" s="216" t="s">
        <v>1040</v>
      </c>
      <c r="W54" s="207">
        <v>102733728</v>
      </c>
      <c r="X54" s="204" t="s">
        <v>1041</v>
      </c>
      <c r="Y54" s="204" t="s">
        <v>1041</v>
      </c>
      <c r="Z54" s="204" t="s">
        <v>1042</v>
      </c>
    </row>
    <row r="55" spans="1:26" ht="43" customHeight="1" x14ac:dyDescent="0.35">
      <c r="A55" s="203" t="s">
        <v>927</v>
      </c>
      <c r="B55" s="203" t="s">
        <v>928</v>
      </c>
      <c r="C55" s="203" t="s">
        <v>993</v>
      </c>
      <c r="D55" s="226">
        <v>72153600</v>
      </c>
      <c r="E55" s="216" t="s">
        <v>1043</v>
      </c>
      <c r="F55" s="216" t="s">
        <v>763</v>
      </c>
      <c r="G55" s="188" t="s">
        <v>69</v>
      </c>
      <c r="H55" s="188" t="s">
        <v>73</v>
      </c>
      <c r="I55" s="217">
        <v>5</v>
      </c>
      <c r="J55" s="187" t="s">
        <v>931</v>
      </c>
      <c r="K55" s="220">
        <v>3844267019.0000076</v>
      </c>
      <c r="L55" s="219">
        <v>0.19</v>
      </c>
      <c r="M55" s="220">
        <v>730410733.61000144</v>
      </c>
      <c r="N55" s="220">
        <v>4574677752.6100092</v>
      </c>
      <c r="O55" s="203" t="s">
        <v>794</v>
      </c>
      <c r="P55" s="203" t="s">
        <v>932</v>
      </c>
      <c r="Q55" s="230">
        <v>2041242211.0431747</v>
      </c>
      <c r="R55" s="220">
        <v>2533435541.9568329</v>
      </c>
      <c r="S55" s="220">
        <v>0</v>
      </c>
      <c r="T55" s="220">
        <v>0</v>
      </c>
      <c r="U55" s="203" t="s">
        <v>1044</v>
      </c>
      <c r="V55" s="216"/>
      <c r="W55" s="207">
        <v>1715329589.0431747</v>
      </c>
      <c r="X55" s="204" t="s">
        <v>1045</v>
      </c>
      <c r="Y55" s="204" t="s">
        <v>1045</v>
      </c>
      <c r="Z55" s="204" t="s">
        <v>1046</v>
      </c>
    </row>
    <row r="56" spans="1:26" ht="43" customHeight="1" x14ac:dyDescent="0.35">
      <c r="A56" s="203" t="s">
        <v>927</v>
      </c>
      <c r="B56" s="203" t="s">
        <v>928</v>
      </c>
      <c r="C56" s="203" t="s">
        <v>993</v>
      </c>
      <c r="D56" s="226">
        <v>55101506</v>
      </c>
      <c r="E56" s="216" t="s">
        <v>1047</v>
      </c>
      <c r="F56" s="216" t="s">
        <v>1048</v>
      </c>
      <c r="G56" s="188" t="s">
        <v>68</v>
      </c>
      <c r="H56" s="188" t="s">
        <v>69</v>
      </c>
      <c r="I56" s="217">
        <v>24</v>
      </c>
      <c r="J56" s="187" t="s">
        <v>940</v>
      </c>
      <c r="K56" s="220">
        <v>1400000</v>
      </c>
      <c r="L56" s="219">
        <v>0</v>
      </c>
      <c r="M56" s="220">
        <v>0</v>
      </c>
      <c r="N56" s="220">
        <v>1400000</v>
      </c>
      <c r="O56" s="203" t="s">
        <v>791</v>
      </c>
      <c r="P56" s="203" t="s">
        <v>89</v>
      </c>
      <c r="Q56" s="230">
        <v>1400000</v>
      </c>
      <c r="R56" s="220">
        <v>0</v>
      </c>
      <c r="S56" s="220">
        <v>0</v>
      </c>
      <c r="T56" s="220">
        <v>0</v>
      </c>
      <c r="U56" s="203" t="s">
        <v>1000</v>
      </c>
      <c r="V56" s="216"/>
      <c r="W56" s="207">
        <v>1400000</v>
      </c>
      <c r="X56" s="204" t="s">
        <v>1049</v>
      </c>
      <c r="Y56" s="204" t="s">
        <v>1049</v>
      </c>
      <c r="Z56" s="204" t="s">
        <v>1050</v>
      </c>
    </row>
    <row r="57" spans="1:26" ht="43" customHeight="1" x14ac:dyDescent="0.35">
      <c r="A57" s="203" t="s">
        <v>927</v>
      </c>
      <c r="B57" s="203" t="s">
        <v>928</v>
      </c>
      <c r="C57" s="203" t="s">
        <v>993</v>
      </c>
      <c r="D57" s="227">
        <v>95122401</v>
      </c>
      <c r="E57" s="216" t="s">
        <v>1051</v>
      </c>
      <c r="F57" s="216" t="s">
        <v>764</v>
      </c>
      <c r="G57" s="188" t="s">
        <v>67</v>
      </c>
      <c r="H57" s="188" t="s">
        <v>67</v>
      </c>
      <c r="I57" s="217">
        <v>12</v>
      </c>
      <c r="J57" s="187" t="s">
        <v>940</v>
      </c>
      <c r="K57" s="220">
        <v>22169634</v>
      </c>
      <c r="L57" s="219">
        <v>0.19</v>
      </c>
      <c r="M57" s="220">
        <v>4212230.46</v>
      </c>
      <c r="N57" s="220">
        <v>26381864.460000001</v>
      </c>
      <c r="O57" s="203" t="s">
        <v>791</v>
      </c>
      <c r="P57" s="203" t="s">
        <v>995</v>
      </c>
      <c r="Q57" s="230">
        <v>26381864</v>
      </c>
      <c r="R57" s="220">
        <v>0</v>
      </c>
      <c r="S57" s="220">
        <v>0</v>
      </c>
      <c r="T57" s="220">
        <v>0</v>
      </c>
      <c r="U57" s="203" t="s">
        <v>996</v>
      </c>
      <c r="V57" s="216" t="s">
        <v>1052</v>
      </c>
      <c r="W57" s="207">
        <v>22169634</v>
      </c>
      <c r="X57" s="204" t="s">
        <v>1005</v>
      </c>
      <c r="Y57" s="204" t="s">
        <v>1006</v>
      </c>
      <c r="Z57" s="204" t="s">
        <v>1053</v>
      </c>
    </row>
    <row r="58" spans="1:26" ht="43" customHeight="1" x14ac:dyDescent="0.35">
      <c r="A58" s="203" t="s">
        <v>927</v>
      </c>
      <c r="B58" s="202" t="s">
        <v>928</v>
      </c>
      <c r="C58" s="202" t="s">
        <v>993</v>
      </c>
      <c r="D58" s="227">
        <v>92121702</v>
      </c>
      <c r="E58" s="216" t="s">
        <v>1054</v>
      </c>
      <c r="F58" s="204" t="s">
        <v>1055</v>
      </c>
      <c r="G58" s="187" t="s">
        <v>67</v>
      </c>
      <c r="H58" s="187" t="s">
        <v>68</v>
      </c>
      <c r="I58" s="201">
        <v>24</v>
      </c>
      <c r="J58" s="187" t="s">
        <v>940</v>
      </c>
      <c r="K58" s="232">
        <v>51927533.818000004</v>
      </c>
      <c r="L58" s="233">
        <v>0.19</v>
      </c>
      <c r="M58" s="220">
        <v>9866231.4254200011</v>
      </c>
      <c r="N58" s="232">
        <v>61793765.243420005</v>
      </c>
      <c r="O58" s="202" t="s">
        <v>794</v>
      </c>
      <c r="P58" s="203" t="s">
        <v>932</v>
      </c>
      <c r="Q58" s="230">
        <v>30410317.801710002</v>
      </c>
      <c r="R58" s="232">
        <v>31383447.441710003</v>
      </c>
      <c r="S58" s="220">
        <v>0</v>
      </c>
      <c r="T58" s="220">
        <v>0</v>
      </c>
      <c r="U58" s="203" t="s">
        <v>996</v>
      </c>
      <c r="V58" s="204"/>
      <c r="W58" s="207">
        <v>25554888.909000002</v>
      </c>
      <c r="X58" s="204" t="s">
        <v>1005</v>
      </c>
      <c r="Y58" s="204" t="s">
        <v>1014</v>
      </c>
      <c r="Z58" s="204" t="s">
        <v>1014</v>
      </c>
    </row>
    <row r="59" spans="1:26" ht="43" customHeight="1" x14ac:dyDescent="0.35">
      <c r="A59" s="203" t="s">
        <v>927</v>
      </c>
      <c r="B59" s="203" t="s">
        <v>928</v>
      </c>
      <c r="C59" s="203" t="s">
        <v>993</v>
      </c>
      <c r="D59" s="226">
        <v>39121613</v>
      </c>
      <c r="E59" s="216" t="s">
        <v>1056</v>
      </c>
      <c r="F59" s="216" t="s">
        <v>1057</v>
      </c>
      <c r="G59" s="188" t="s">
        <v>74</v>
      </c>
      <c r="H59" s="188" t="s">
        <v>76</v>
      </c>
      <c r="I59" s="217">
        <v>24</v>
      </c>
      <c r="J59" s="187" t="s">
        <v>940</v>
      </c>
      <c r="K59" s="220">
        <v>40416605.949579835</v>
      </c>
      <c r="L59" s="219">
        <v>0.19</v>
      </c>
      <c r="M59" s="220">
        <v>7679155.1304201689</v>
      </c>
      <c r="N59" s="220">
        <v>48095761.080000006</v>
      </c>
      <c r="O59" s="203" t="s">
        <v>794</v>
      </c>
      <c r="P59" s="203" t="s">
        <v>932</v>
      </c>
      <c r="Q59" s="220">
        <v>5540162.926620001</v>
      </c>
      <c r="R59" s="220">
        <v>24745935.914028</v>
      </c>
      <c r="S59" s="220">
        <v>17809662.239351999</v>
      </c>
      <c r="T59" s="220">
        <v>0</v>
      </c>
      <c r="U59" s="203" t="s">
        <v>996</v>
      </c>
      <c r="V59" s="216"/>
      <c r="W59" s="207">
        <v>4655599.0980000012</v>
      </c>
      <c r="X59" s="204" t="s">
        <v>1005</v>
      </c>
      <c r="Y59" s="204" t="s">
        <v>1014</v>
      </c>
      <c r="Z59" s="204" t="s">
        <v>1014</v>
      </c>
    </row>
    <row r="60" spans="1:26" ht="43" customHeight="1" x14ac:dyDescent="0.35">
      <c r="A60" s="203" t="s">
        <v>927</v>
      </c>
      <c r="B60" s="203" t="s">
        <v>928</v>
      </c>
      <c r="C60" s="203" t="s">
        <v>993</v>
      </c>
      <c r="D60" s="226">
        <v>76111500</v>
      </c>
      <c r="E60" s="216" t="s">
        <v>1058</v>
      </c>
      <c r="F60" s="216" t="s">
        <v>1059</v>
      </c>
      <c r="G60" s="188" t="s">
        <v>72</v>
      </c>
      <c r="H60" s="188" t="s">
        <v>75</v>
      </c>
      <c r="I60" s="217">
        <v>24</v>
      </c>
      <c r="J60" s="187" t="s">
        <v>931</v>
      </c>
      <c r="K60" s="220">
        <v>2579695696.052</v>
      </c>
      <c r="L60" s="219">
        <v>0.19</v>
      </c>
      <c r="M60" s="220">
        <v>490142182.24988002</v>
      </c>
      <c r="N60" s="220">
        <v>3069837878.3018799</v>
      </c>
      <c r="O60" s="203" t="s">
        <v>794</v>
      </c>
      <c r="P60" s="203" t="s">
        <v>932</v>
      </c>
      <c r="Q60" s="220">
        <v>191837648.58187997</v>
      </c>
      <c r="R60" s="220">
        <v>1398423290.1800001</v>
      </c>
      <c r="S60" s="220">
        <v>1479576939.54</v>
      </c>
      <c r="T60" s="220">
        <v>0</v>
      </c>
      <c r="U60" s="203" t="s">
        <v>1000</v>
      </c>
      <c r="V60" s="216" t="s">
        <v>1060</v>
      </c>
      <c r="W60" s="207">
        <v>161208108.05199999</v>
      </c>
      <c r="X60" s="204" t="s">
        <v>1061</v>
      </c>
      <c r="Y60" s="204" t="s">
        <v>1062</v>
      </c>
      <c r="Z60" s="204" t="s">
        <v>1063</v>
      </c>
    </row>
    <row r="61" spans="1:26" ht="43" customHeight="1" x14ac:dyDescent="0.35">
      <c r="A61" s="203" t="s">
        <v>927</v>
      </c>
      <c r="B61" s="203" t="s">
        <v>928</v>
      </c>
      <c r="C61" s="203" t="s">
        <v>993</v>
      </c>
      <c r="D61" s="226">
        <v>55101506</v>
      </c>
      <c r="E61" s="216" t="s">
        <v>1047</v>
      </c>
      <c r="F61" s="216" t="s">
        <v>1064</v>
      </c>
      <c r="G61" s="188" t="s">
        <v>77</v>
      </c>
      <c r="H61" s="188" t="s">
        <v>78</v>
      </c>
      <c r="I61" s="217">
        <v>12</v>
      </c>
      <c r="J61" s="187" t="s">
        <v>940</v>
      </c>
      <c r="K61" s="220">
        <v>1417895.1</v>
      </c>
      <c r="L61" s="219">
        <v>0</v>
      </c>
      <c r="M61" s="220">
        <v>0</v>
      </c>
      <c r="N61" s="220">
        <v>1417895.1</v>
      </c>
      <c r="O61" s="203" t="s">
        <v>791</v>
      </c>
      <c r="P61" s="203" t="s">
        <v>89</v>
      </c>
      <c r="Q61" s="220">
        <v>1417895.1</v>
      </c>
      <c r="R61" s="220">
        <v>0</v>
      </c>
      <c r="S61" s="220">
        <v>0</v>
      </c>
      <c r="T61" s="220">
        <v>0</v>
      </c>
      <c r="U61" s="203" t="s">
        <v>1000</v>
      </c>
      <c r="V61" s="216"/>
      <c r="W61" s="207">
        <v>1417895.1</v>
      </c>
      <c r="X61" s="204" t="s">
        <v>1049</v>
      </c>
      <c r="Y61" s="204" t="s">
        <v>1049</v>
      </c>
      <c r="Z61" s="204" t="s">
        <v>1065</v>
      </c>
    </row>
    <row r="62" spans="1:26" ht="43" customHeight="1" x14ac:dyDescent="0.35">
      <c r="A62" s="203" t="s">
        <v>927</v>
      </c>
      <c r="B62" s="203" t="s">
        <v>928</v>
      </c>
      <c r="C62" s="203" t="s">
        <v>993</v>
      </c>
      <c r="D62" s="226">
        <v>72151703</v>
      </c>
      <c r="E62" s="216" t="s">
        <v>1066</v>
      </c>
      <c r="F62" s="216" t="s">
        <v>1067</v>
      </c>
      <c r="G62" s="188" t="s">
        <v>67</v>
      </c>
      <c r="H62" s="188" t="s">
        <v>68</v>
      </c>
      <c r="I62" s="217">
        <v>1</v>
      </c>
      <c r="J62" s="187" t="s">
        <v>940</v>
      </c>
      <c r="K62" s="220">
        <v>5139200</v>
      </c>
      <c r="L62" s="219">
        <v>0.19</v>
      </c>
      <c r="M62" s="220">
        <v>976448</v>
      </c>
      <c r="N62" s="220">
        <v>6115648</v>
      </c>
      <c r="O62" s="203" t="s">
        <v>791</v>
      </c>
      <c r="P62" s="203" t="s">
        <v>932</v>
      </c>
      <c r="Q62" s="220">
        <v>6115648</v>
      </c>
      <c r="R62" s="220">
        <v>0</v>
      </c>
      <c r="S62" s="220">
        <v>0</v>
      </c>
      <c r="T62" s="220">
        <v>0</v>
      </c>
      <c r="U62" s="203" t="s">
        <v>996</v>
      </c>
      <c r="V62" s="216"/>
      <c r="W62" s="207">
        <v>5139200</v>
      </c>
      <c r="X62" s="204" t="s">
        <v>1045</v>
      </c>
      <c r="Y62" s="204" t="s">
        <v>1045</v>
      </c>
      <c r="Z62" s="204" t="s">
        <v>1045</v>
      </c>
    </row>
    <row r="63" spans="1:26" ht="43" customHeight="1" x14ac:dyDescent="0.35">
      <c r="A63" s="203" t="s">
        <v>927</v>
      </c>
      <c r="B63" s="203" t="s">
        <v>928</v>
      </c>
      <c r="C63" s="203" t="s">
        <v>993</v>
      </c>
      <c r="D63" s="226">
        <v>43191504</v>
      </c>
      <c r="E63" s="216" t="s">
        <v>1068</v>
      </c>
      <c r="F63" s="216" t="s">
        <v>1069</v>
      </c>
      <c r="G63" s="188" t="s">
        <v>68</v>
      </c>
      <c r="H63" s="188" t="s">
        <v>69</v>
      </c>
      <c r="I63" s="217">
        <v>1</v>
      </c>
      <c r="J63" s="187" t="s">
        <v>949</v>
      </c>
      <c r="K63" s="220">
        <v>167634637.81512606</v>
      </c>
      <c r="L63" s="219">
        <v>0.19</v>
      </c>
      <c r="M63" s="220">
        <v>31850581.184873953</v>
      </c>
      <c r="N63" s="220">
        <v>199485219</v>
      </c>
      <c r="O63" s="203" t="s">
        <v>791</v>
      </c>
      <c r="P63" s="203" t="s">
        <v>932</v>
      </c>
      <c r="Q63" s="220">
        <v>199485219</v>
      </c>
      <c r="R63" s="220">
        <v>0</v>
      </c>
      <c r="S63" s="220">
        <v>0</v>
      </c>
      <c r="T63" s="220">
        <v>0</v>
      </c>
      <c r="U63" s="203" t="s">
        <v>1000</v>
      </c>
      <c r="V63" s="216"/>
      <c r="W63" s="207">
        <v>199485219</v>
      </c>
      <c r="X63" s="204" t="s">
        <v>1070</v>
      </c>
      <c r="Y63" s="204" t="s">
        <v>1071</v>
      </c>
      <c r="Z63" s="204" t="s">
        <v>1071</v>
      </c>
    </row>
    <row r="64" spans="1:26" ht="43" customHeight="1" x14ac:dyDescent="0.35">
      <c r="A64" s="203" t="s">
        <v>927</v>
      </c>
      <c r="B64" s="203" t="s">
        <v>928</v>
      </c>
      <c r="C64" s="203" t="s">
        <v>993</v>
      </c>
      <c r="D64" s="226">
        <v>78102206</v>
      </c>
      <c r="E64" s="216" t="s">
        <v>1072</v>
      </c>
      <c r="F64" s="216" t="s">
        <v>1073</v>
      </c>
      <c r="G64" s="188" t="s">
        <v>67</v>
      </c>
      <c r="H64" s="188" t="s">
        <v>68</v>
      </c>
      <c r="I64" s="217">
        <v>24</v>
      </c>
      <c r="J64" s="187" t="s">
        <v>931</v>
      </c>
      <c r="K64" s="220">
        <v>1919738203.4000001</v>
      </c>
      <c r="L64" s="219">
        <v>0.19</v>
      </c>
      <c r="M64" s="220">
        <v>364750258.64600003</v>
      </c>
      <c r="N64" s="220">
        <v>2284488462.046</v>
      </c>
      <c r="O64" s="203" t="s">
        <v>794</v>
      </c>
      <c r="P64" s="203" t="s">
        <v>932</v>
      </c>
      <c r="Q64" s="220">
        <v>818449309.98600006</v>
      </c>
      <c r="R64" s="220">
        <v>1158924229.5680001</v>
      </c>
      <c r="S64" s="220">
        <v>307114922.49199998</v>
      </c>
      <c r="T64" s="220">
        <v>0</v>
      </c>
      <c r="U64" s="203" t="s">
        <v>1000</v>
      </c>
      <c r="V64" s="216" t="s">
        <v>1074</v>
      </c>
      <c r="W64" s="207">
        <v>687772529.4000001</v>
      </c>
      <c r="X64" s="204" t="s">
        <v>1075</v>
      </c>
      <c r="Y64" s="204" t="s">
        <v>1076</v>
      </c>
      <c r="Z64" s="204" t="s">
        <v>1077</v>
      </c>
    </row>
    <row r="65" spans="1:26" ht="43" customHeight="1" x14ac:dyDescent="0.35">
      <c r="A65" s="203" t="s">
        <v>927</v>
      </c>
      <c r="B65" s="203" t="s">
        <v>928</v>
      </c>
      <c r="C65" s="203" t="s">
        <v>993</v>
      </c>
      <c r="D65" s="227">
        <v>77111600</v>
      </c>
      <c r="E65" s="216" t="s">
        <v>1078</v>
      </c>
      <c r="F65" s="216" t="s">
        <v>746</v>
      </c>
      <c r="G65" s="188" t="s">
        <v>72</v>
      </c>
      <c r="H65" s="188" t="s">
        <v>72</v>
      </c>
      <c r="I65" s="217">
        <v>1</v>
      </c>
      <c r="J65" s="187" t="s">
        <v>940</v>
      </c>
      <c r="K65" s="220">
        <v>3748500</v>
      </c>
      <c r="L65" s="219">
        <v>0</v>
      </c>
      <c r="M65" s="220">
        <v>0</v>
      </c>
      <c r="N65" s="220">
        <v>3748500</v>
      </c>
      <c r="O65" s="203" t="s">
        <v>791</v>
      </c>
      <c r="P65" s="203" t="s">
        <v>89</v>
      </c>
      <c r="Q65" s="220">
        <v>3748500</v>
      </c>
      <c r="R65" s="220">
        <v>0</v>
      </c>
      <c r="S65" s="220">
        <v>0</v>
      </c>
      <c r="T65" s="220">
        <v>0</v>
      </c>
      <c r="U65" s="203" t="s">
        <v>1079</v>
      </c>
      <c r="V65" s="216"/>
      <c r="W65" s="207">
        <v>3748500</v>
      </c>
      <c r="X65" s="204" t="s">
        <v>1080</v>
      </c>
      <c r="Y65" s="204" t="s">
        <v>1080</v>
      </c>
      <c r="Z65" s="204" t="s">
        <v>1081</v>
      </c>
    </row>
    <row r="66" spans="1:26" ht="43" customHeight="1" x14ac:dyDescent="0.35">
      <c r="A66" s="203" t="s">
        <v>927</v>
      </c>
      <c r="B66" s="203" t="s">
        <v>928</v>
      </c>
      <c r="C66" s="203" t="s">
        <v>993</v>
      </c>
      <c r="D66" s="226">
        <v>70111501</v>
      </c>
      <c r="E66" s="216" t="s">
        <v>1082</v>
      </c>
      <c r="F66" s="216" t="s">
        <v>1083</v>
      </c>
      <c r="G66" s="188" t="s">
        <v>76</v>
      </c>
      <c r="H66" s="188" t="s">
        <v>77</v>
      </c>
      <c r="I66" s="217">
        <v>1</v>
      </c>
      <c r="J66" s="187" t="s">
        <v>940</v>
      </c>
      <c r="K66" s="220">
        <v>70000000</v>
      </c>
      <c r="L66" s="219">
        <v>0</v>
      </c>
      <c r="M66" s="220">
        <v>0</v>
      </c>
      <c r="N66" s="220">
        <v>70000000</v>
      </c>
      <c r="O66" s="203" t="s">
        <v>791</v>
      </c>
      <c r="P66" s="203" t="s">
        <v>89</v>
      </c>
      <c r="Q66" s="220">
        <v>70000000</v>
      </c>
      <c r="R66" s="220">
        <v>0</v>
      </c>
      <c r="S66" s="220">
        <v>0</v>
      </c>
      <c r="T66" s="220">
        <v>0</v>
      </c>
      <c r="U66" s="203" t="s">
        <v>1079</v>
      </c>
      <c r="V66" s="216"/>
      <c r="W66" s="207">
        <v>70000000</v>
      </c>
      <c r="X66" s="204" t="s">
        <v>1041</v>
      </c>
      <c r="Y66" s="204" t="s">
        <v>1041</v>
      </c>
      <c r="Z66" s="204" t="s">
        <v>1041</v>
      </c>
    </row>
    <row r="67" spans="1:26" ht="43" customHeight="1" x14ac:dyDescent="0.35">
      <c r="A67" s="203" t="s">
        <v>927</v>
      </c>
      <c r="B67" s="203" t="s">
        <v>928</v>
      </c>
      <c r="C67" s="203" t="s">
        <v>993</v>
      </c>
      <c r="D67" s="227">
        <v>45121800</v>
      </c>
      <c r="E67" s="216" t="s">
        <v>1084</v>
      </c>
      <c r="F67" s="234" t="s">
        <v>1085</v>
      </c>
      <c r="G67" s="188" t="s">
        <v>69</v>
      </c>
      <c r="H67" s="188" t="s">
        <v>70</v>
      </c>
      <c r="I67" s="217">
        <v>6</v>
      </c>
      <c r="J67" s="187" t="s">
        <v>949</v>
      </c>
      <c r="K67" s="220">
        <v>80000000</v>
      </c>
      <c r="L67" s="219">
        <v>0.19</v>
      </c>
      <c r="M67" s="220">
        <v>15200000</v>
      </c>
      <c r="N67" s="220">
        <v>95200000</v>
      </c>
      <c r="O67" s="203" t="s">
        <v>791</v>
      </c>
      <c r="P67" s="203" t="s">
        <v>89</v>
      </c>
      <c r="Q67" s="220">
        <v>95200000</v>
      </c>
      <c r="R67" s="220">
        <v>0</v>
      </c>
      <c r="S67" s="220">
        <v>0</v>
      </c>
      <c r="T67" s="220">
        <v>0</v>
      </c>
      <c r="U67" s="203" t="s">
        <v>1038</v>
      </c>
      <c r="V67" s="216"/>
      <c r="W67" s="207">
        <v>80000000</v>
      </c>
      <c r="X67" s="204" t="s">
        <v>1086</v>
      </c>
      <c r="Y67" s="204" t="s">
        <v>1086</v>
      </c>
      <c r="Z67" s="204" t="s">
        <v>1087</v>
      </c>
    </row>
    <row r="68" spans="1:26" ht="43" customHeight="1" x14ac:dyDescent="0.35">
      <c r="A68" s="203" t="s">
        <v>927</v>
      </c>
      <c r="B68" s="203" t="s">
        <v>928</v>
      </c>
      <c r="C68" s="203" t="s">
        <v>993</v>
      </c>
      <c r="D68" s="227">
        <v>48101516</v>
      </c>
      <c r="E68" s="216" t="s">
        <v>1088</v>
      </c>
      <c r="F68" s="234" t="s">
        <v>1089</v>
      </c>
      <c r="G68" s="188" t="s">
        <v>70</v>
      </c>
      <c r="H68" s="188" t="s">
        <v>72</v>
      </c>
      <c r="I68" s="217">
        <v>1</v>
      </c>
      <c r="J68" s="187" t="s">
        <v>940</v>
      </c>
      <c r="K68" s="220">
        <v>1260504</v>
      </c>
      <c r="L68" s="219">
        <v>0.19</v>
      </c>
      <c r="M68" s="220">
        <v>239495.76</v>
      </c>
      <c r="N68" s="220">
        <v>1499999.76</v>
      </c>
      <c r="O68" s="203" t="s">
        <v>791</v>
      </c>
      <c r="P68" s="203" t="s">
        <v>89</v>
      </c>
      <c r="Q68" s="220">
        <v>1499999.76</v>
      </c>
      <c r="R68" s="220">
        <v>0</v>
      </c>
      <c r="S68" s="220">
        <v>0</v>
      </c>
      <c r="T68" s="220">
        <v>0</v>
      </c>
      <c r="U68" s="203" t="s">
        <v>1000</v>
      </c>
      <c r="V68" s="216"/>
      <c r="W68" s="207">
        <v>1499999.76</v>
      </c>
      <c r="X68" s="204" t="s">
        <v>1070</v>
      </c>
      <c r="Y68" s="204" t="s">
        <v>1071</v>
      </c>
      <c r="Z68" s="204" t="s">
        <v>1090</v>
      </c>
    </row>
    <row r="69" spans="1:26" ht="43" customHeight="1" x14ac:dyDescent="0.35">
      <c r="A69" s="203" t="s">
        <v>927</v>
      </c>
      <c r="B69" s="203" t="s">
        <v>928</v>
      </c>
      <c r="C69" s="203" t="s">
        <v>993</v>
      </c>
      <c r="D69" s="227">
        <v>40101701</v>
      </c>
      <c r="E69" s="216" t="s">
        <v>1091</v>
      </c>
      <c r="F69" s="234" t="s">
        <v>1092</v>
      </c>
      <c r="G69" s="188" t="s">
        <v>69</v>
      </c>
      <c r="H69" s="188" t="s">
        <v>70</v>
      </c>
      <c r="I69" s="217">
        <v>1</v>
      </c>
      <c r="J69" s="187" t="s">
        <v>940</v>
      </c>
      <c r="K69" s="220">
        <v>10084033.613445379</v>
      </c>
      <c r="L69" s="219">
        <v>0.19</v>
      </c>
      <c r="M69" s="220">
        <v>1915966.3865546221</v>
      </c>
      <c r="N69" s="220">
        <v>12000000</v>
      </c>
      <c r="O69" s="203" t="s">
        <v>791</v>
      </c>
      <c r="P69" s="203" t="s">
        <v>89</v>
      </c>
      <c r="Q69" s="220">
        <v>12000000</v>
      </c>
      <c r="R69" s="220">
        <v>0</v>
      </c>
      <c r="S69" s="220">
        <v>0</v>
      </c>
      <c r="T69" s="220">
        <v>0</v>
      </c>
      <c r="U69" s="203" t="s">
        <v>1000</v>
      </c>
      <c r="V69" s="216"/>
      <c r="W69" s="207">
        <v>12000000</v>
      </c>
      <c r="X69" s="204" t="s">
        <v>1070</v>
      </c>
      <c r="Y69" s="204" t="s">
        <v>1071</v>
      </c>
      <c r="Z69" s="204" t="s">
        <v>1090</v>
      </c>
    </row>
    <row r="70" spans="1:26" ht="43" customHeight="1" x14ac:dyDescent="0.35">
      <c r="A70" s="203" t="s">
        <v>927</v>
      </c>
      <c r="B70" s="203" t="s">
        <v>928</v>
      </c>
      <c r="C70" s="203" t="s">
        <v>993</v>
      </c>
      <c r="D70" s="227">
        <v>45101515</v>
      </c>
      <c r="E70" s="216" t="s">
        <v>1093</v>
      </c>
      <c r="F70" s="234" t="s">
        <v>1094</v>
      </c>
      <c r="G70" s="188" t="s">
        <v>69</v>
      </c>
      <c r="H70" s="188" t="s">
        <v>70</v>
      </c>
      <c r="I70" s="217">
        <v>1</v>
      </c>
      <c r="J70" s="187" t="s">
        <v>940</v>
      </c>
      <c r="K70" s="220">
        <v>16806722.68907563</v>
      </c>
      <c r="L70" s="219">
        <v>0.19</v>
      </c>
      <c r="M70" s="220">
        <v>3193277.3109243698</v>
      </c>
      <c r="N70" s="220">
        <v>20000000</v>
      </c>
      <c r="O70" s="203" t="s">
        <v>791</v>
      </c>
      <c r="P70" s="203" t="s">
        <v>89</v>
      </c>
      <c r="Q70" s="220">
        <v>20000000</v>
      </c>
      <c r="R70" s="220">
        <v>0</v>
      </c>
      <c r="S70" s="220">
        <v>0</v>
      </c>
      <c r="T70" s="220">
        <v>0</v>
      </c>
      <c r="U70" s="203" t="s">
        <v>1000</v>
      </c>
      <c r="V70" s="216"/>
      <c r="W70" s="207">
        <v>20000000</v>
      </c>
      <c r="X70" s="204" t="s">
        <v>1070</v>
      </c>
      <c r="Y70" s="204" t="s">
        <v>1071</v>
      </c>
      <c r="Z70" s="204" t="s">
        <v>1090</v>
      </c>
    </row>
    <row r="71" spans="1:26" ht="43" customHeight="1" x14ac:dyDescent="0.35">
      <c r="A71" s="203" t="s">
        <v>927</v>
      </c>
      <c r="B71" s="203" t="s">
        <v>928</v>
      </c>
      <c r="C71" s="203" t="s">
        <v>993</v>
      </c>
      <c r="D71" s="227">
        <v>46191505</v>
      </c>
      <c r="E71" s="216" t="s">
        <v>1095</v>
      </c>
      <c r="F71" s="234" t="s">
        <v>1096</v>
      </c>
      <c r="G71" s="188" t="s">
        <v>69</v>
      </c>
      <c r="H71" s="188" t="s">
        <v>73</v>
      </c>
      <c r="I71" s="217">
        <v>2</v>
      </c>
      <c r="J71" s="187" t="s">
        <v>949</v>
      </c>
      <c r="K71" s="220">
        <v>235294117.64705884</v>
      </c>
      <c r="L71" s="219">
        <v>0.19</v>
      </c>
      <c r="M71" s="220">
        <v>44705882.352941178</v>
      </c>
      <c r="N71" s="220">
        <v>280000000</v>
      </c>
      <c r="O71" s="203" t="s">
        <v>791</v>
      </c>
      <c r="P71" s="203" t="s">
        <v>89</v>
      </c>
      <c r="Q71" s="220">
        <v>280000000</v>
      </c>
      <c r="R71" s="220">
        <v>0</v>
      </c>
      <c r="S71" s="220">
        <v>0</v>
      </c>
      <c r="T71" s="220">
        <v>0</v>
      </c>
      <c r="U71" s="203" t="s">
        <v>1000</v>
      </c>
      <c r="V71" s="216"/>
      <c r="W71" s="207">
        <v>280000000</v>
      </c>
      <c r="X71" s="204" t="s">
        <v>1070</v>
      </c>
      <c r="Y71" s="204" t="s">
        <v>1071</v>
      </c>
      <c r="Z71" s="204" t="s">
        <v>1090</v>
      </c>
    </row>
    <row r="72" spans="1:26" ht="43" customHeight="1" x14ac:dyDescent="0.35">
      <c r="A72" s="203" t="s">
        <v>927</v>
      </c>
      <c r="B72" s="203" t="s">
        <v>928</v>
      </c>
      <c r="C72" s="203" t="s">
        <v>993</v>
      </c>
      <c r="D72" s="226">
        <v>24111803</v>
      </c>
      <c r="E72" s="216" t="s">
        <v>1097</v>
      </c>
      <c r="F72" s="234" t="s">
        <v>1098</v>
      </c>
      <c r="G72" s="188" t="s">
        <v>69</v>
      </c>
      <c r="H72" s="188" t="s">
        <v>70</v>
      </c>
      <c r="I72" s="217">
        <v>1</v>
      </c>
      <c r="J72" s="187" t="s">
        <v>940</v>
      </c>
      <c r="K72" s="220">
        <v>2370000</v>
      </c>
      <c r="L72" s="219">
        <v>0.19</v>
      </c>
      <c r="M72" s="220">
        <v>450300</v>
      </c>
      <c r="N72" s="220">
        <v>2820300</v>
      </c>
      <c r="O72" s="203" t="s">
        <v>791</v>
      </c>
      <c r="P72" s="203" t="s">
        <v>89</v>
      </c>
      <c r="Q72" s="220">
        <v>2820300</v>
      </c>
      <c r="R72" s="220">
        <v>0</v>
      </c>
      <c r="S72" s="220">
        <v>0</v>
      </c>
      <c r="T72" s="220">
        <v>0</v>
      </c>
      <c r="U72" s="203" t="s">
        <v>1000</v>
      </c>
      <c r="V72" s="216"/>
      <c r="W72" s="207">
        <v>2820300</v>
      </c>
      <c r="X72" s="204" t="s">
        <v>1070</v>
      </c>
      <c r="Y72" s="204" t="s">
        <v>1071</v>
      </c>
      <c r="Z72" s="204" t="s">
        <v>1090</v>
      </c>
    </row>
    <row r="73" spans="1:26" ht="43" customHeight="1" x14ac:dyDescent="0.35">
      <c r="A73" s="203" t="s">
        <v>927</v>
      </c>
      <c r="B73" s="203" t="s">
        <v>928</v>
      </c>
      <c r="C73" s="203" t="s">
        <v>993</v>
      </c>
      <c r="D73" s="227">
        <v>43211509</v>
      </c>
      <c r="E73" s="216" t="s">
        <v>1099</v>
      </c>
      <c r="F73" s="234" t="s">
        <v>1100</v>
      </c>
      <c r="G73" s="188" t="s">
        <v>70</v>
      </c>
      <c r="H73" s="188" t="s">
        <v>72</v>
      </c>
      <c r="I73" s="217">
        <v>1</v>
      </c>
      <c r="J73" s="187" t="s">
        <v>940</v>
      </c>
      <c r="K73" s="220">
        <v>3000000</v>
      </c>
      <c r="L73" s="219">
        <v>0.19</v>
      </c>
      <c r="M73" s="220">
        <v>570000</v>
      </c>
      <c r="N73" s="220">
        <v>3570000</v>
      </c>
      <c r="O73" s="203" t="s">
        <v>791</v>
      </c>
      <c r="P73" s="203" t="s">
        <v>89</v>
      </c>
      <c r="Q73" s="220">
        <v>3570000</v>
      </c>
      <c r="R73" s="220">
        <v>0</v>
      </c>
      <c r="S73" s="220">
        <v>0</v>
      </c>
      <c r="T73" s="220">
        <v>0</v>
      </c>
      <c r="U73" s="203" t="s">
        <v>1000</v>
      </c>
      <c r="V73" s="216"/>
      <c r="W73" s="207">
        <v>3570000</v>
      </c>
      <c r="X73" s="204" t="s">
        <v>1070</v>
      </c>
      <c r="Y73" s="204" t="s">
        <v>1071</v>
      </c>
      <c r="Z73" s="204" t="s">
        <v>1090</v>
      </c>
    </row>
    <row r="74" spans="1:26" ht="43" customHeight="1" x14ac:dyDescent="0.35">
      <c r="A74" s="203" t="s">
        <v>927</v>
      </c>
      <c r="B74" s="203" t="s">
        <v>928</v>
      </c>
      <c r="C74" s="203" t="s">
        <v>993</v>
      </c>
      <c r="D74" s="188">
        <v>24111803</v>
      </c>
      <c r="E74" s="216" t="s">
        <v>1097</v>
      </c>
      <c r="F74" s="234" t="s">
        <v>1101</v>
      </c>
      <c r="G74" s="188" t="s">
        <v>70</v>
      </c>
      <c r="H74" s="188" t="s">
        <v>72</v>
      </c>
      <c r="I74" s="217">
        <v>12</v>
      </c>
      <c r="J74" s="187" t="s">
        <v>940</v>
      </c>
      <c r="K74" s="220">
        <v>12268487</v>
      </c>
      <c r="L74" s="219">
        <v>0.19</v>
      </c>
      <c r="M74" s="220">
        <v>2331012.5299999998</v>
      </c>
      <c r="N74" s="220">
        <v>14599499.529999999</v>
      </c>
      <c r="O74" s="203" t="s">
        <v>791</v>
      </c>
      <c r="P74" s="203" t="s">
        <v>89</v>
      </c>
      <c r="Q74" s="220">
        <v>14599499.529999999</v>
      </c>
      <c r="R74" s="220">
        <v>0</v>
      </c>
      <c r="S74" s="220">
        <v>0</v>
      </c>
      <c r="T74" s="220">
        <v>0</v>
      </c>
      <c r="U74" s="203" t="s">
        <v>996</v>
      </c>
      <c r="V74" s="216"/>
      <c r="W74" s="207">
        <v>12268487</v>
      </c>
      <c r="X74" s="204" t="s">
        <v>1005</v>
      </c>
      <c r="Y74" s="204" t="s">
        <v>1014</v>
      </c>
      <c r="Z74" s="204" t="s">
        <v>1014</v>
      </c>
    </row>
    <row r="75" spans="1:26" ht="43" customHeight="1" x14ac:dyDescent="0.35">
      <c r="A75" s="203" t="s">
        <v>927</v>
      </c>
      <c r="B75" s="203" t="s">
        <v>928</v>
      </c>
      <c r="C75" s="203" t="s">
        <v>993</v>
      </c>
      <c r="D75" s="188">
        <v>15101506</v>
      </c>
      <c r="E75" s="216" t="s">
        <v>1102</v>
      </c>
      <c r="F75" s="234" t="s">
        <v>1103</v>
      </c>
      <c r="G75" s="188" t="s">
        <v>68</v>
      </c>
      <c r="H75" s="188" t="s">
        <v>69</v>
      </c>
      <c r="I75" s="217">
        <v>12</v>
      </c>
      <c r="J75" s="187" t="s">
        <v>940</v>
      </c>
      <c r="K75" s="220">
        <v>12108120.1</v>
      </c>
      <c r="L75" s="219">
        <v>0</v>
      </c>
      <c r="M75" s="220">
        <v>0</v>
      </c>
      <c r="N75" s="220">
        <v>12108120.1</v>
      </c>
      <c r="O75" s="203" t="s">
        <v>791</v>
      </c>
      <c r="P75" s="203" t="s">
        <v>89</v>
      </c>
      <c r="Q75" s="220">
        <v>12108120.1</v>
      </c>
      <c r="R75" s="220">
        <v>0</v>
      </c>
      <c r="S75" s="220">
        <v>0</v>
      </c>
      <c r="T75" s="220">
        <v>0</v>
      </c>
      <c r="U75" s="203" t="s">
        <v>996</v>
      </c>
      <c r="V75" s="216"/>
      <c r="W75" s="207">
        <v>12108120.1</v>
      </c>
      <c r="X75" s="204" t="s">
        <v>1005</v>
      </c>
      <c r="Y75" s="204" t="s">
        <v>1104</v>
      </c>
      <c r="Z75" s="204" t="s">
        <v>1104</v>
      </c>
    </row>
    <row r="76" spans="1:26" ht="43" customHeight="1" x14ac:dyDescent="0.35">
      <c r="A76" s="203" t="s">
        <v>927</v>
      </c>
      <c r="B76" s="203" t="s">
        <v>928</v>
      </c>
      <c r="C76" s="203" t="s">
        <v>993</v>
      </c>
      <c r="D76" s="188">
        <v>46171608</v>
      </c>
      <c r="E76" s="216" t="s">
        <v>1105</v>
      </c>
      <c r="F76" s="234" t="s">
        <v>1106</v>
      </c>
      <c r="G76" s="188" t="s">
        <v>68</v>
      </c>
      <c r="H76" s="188" t="s">
        <v>69</v>
      </c>
      <c r="I76" s="217">
        <v>24</v>
      </c>
      <c r="J76" s="187" t="s">
        <v>949</v>
      </c>
      <c r="K76" s="220">
        <v>69923495.268000007</v>
      </c>
      <c r="L76" s="219">
        <v>0.19</v>
      </c>
      <c r="M76" s="220">
        <v>13285464.100920001</v>
      </c>
      <c r="N76" s="220">
        <v>83208959.368920013</v>
      </c>
      <c r="O76" s="203" t="s">
        <v>791</v>
      </c>
      <c r="P76" s="203" t="s">
        <v>89</v>
      </c>
      <c r="Q76" s="220">
        <v>83208959.368920013</v>
      </c>
      <c r="R76" s="220">
        <v>0</v>
      </c>
      <c r="S76" s="220">
        <v>0</v>
      </c>
      <c r="T76" s="220">
        <v>0</v>
      </c>
      <c r="U76" s="203" t="s">
        <v>996</v>
      </c>
      <c r="V76" s="216"/>
      <c r="W76" s="207">
        <v>69923495.268000007</v>
      </c>
      <c r="X76" s="204" t="s">
        <v>1027</v>
      </c>
      <c r="Y76" s="204" t="s">
        <v>1028</v>
      </c>
      <c r="Z76" s="204" t="s">
        <v>1107</v>
      </c>
    </row>
    <row r="77" spans="1:26" ht="43" customHeight="1" x14ac:dyDescent="0.35">
      <c r="A77" s="203" t="s">
        <v>927</v>
      </c>
      <c r="B77" s="203" t="s">
        <v>928</v>
      </c>
      <c r="C77" s="203" t="s">
        <v>993</v>
      </c>
      <c r="D77" s="188">
        <v>80100000</v>
      </c>
      <c r="E77" s="216" t="s">
        <v>1108</v>
      </c>
      <c r="F77" s="216" t="s">
        <v>1109</v>
      </c>
      <c r="G77" s="188" t="s">
        <v>69</v>
      </c>
      <c r="H77" s="188" t="s">
        <v>71</v>
      </c>
      <c r="I77" s="217">
        <v>6</v>
      </c>
      <c r="J77" s="187" t="s">
        <v>940</v>
      </c>
      <c r="K77" s="220">
        <v>59810924</v>
      </c>
      <c r="L77" s="219">
        <v>0.19</v>
      </c>
      <c r="M77" s="220">
        <v>11364075.560000001</v>
      </c>
      <c r="N77" s="220">
        <v>71174999.560000002</v>
      </c>
      <c r="O77" s="203" t="s">
        <v>791</v>
      </c>
      <c r="P77" s="203" t="s">
        <v>89</v>
      </c>
      <c r="Q77" s="220">
        <v>71174999.560000002</v>
      </c>
      <c r="R77" s="220">
        <v>0</v>
      </c>
      <c r="S77" s="220">
        <v>0</v>
      </c>
      <c r="T77" s="220">
        <v>0</v>
      </c>
      <c r="U77" s="203" t="s">
        <v>1038</v>
      </c>
      <c r="V77" s="216" t="s">
        <v>1110</v>
      </c>
      <c r="W77" s="207">
        <v>59810924</v>
      </c>
      <c r="X77" s="204" t="s">
        <v>941</v>
      </c>
      <c r="Y77" s="204" t="s">
        <v>941</v>
      </c>
      <c r="Z77" s="204" t="s">
        <v>1111</v>
      </c>
    </row>
    <row r="78" spans="1:26" ht="43" customHeight="1" x14ac:dyDescent="0.35">
      <c r="A78" s="203" t="s">
        <v>927</v>
      </c>
      <c r="B78" s="203" t="s">
        <v>928</v>
      </c>
      <c r="C78" s="203" t="s">
        <v>993</v>
      </c>
      <c r="D78" s="188">
        <v>80100000</v>
      </c>
      <c r="E78" s="216" t="s">
        <v>1108</v>
      </c>
      <c r="F78" s="216" t="s">
        <v>1112</v>
      </c>
      <c r="G78" s="188" t="s">
        <v>69</v>
      </c>
      <c r="H78" s="188" t="s">
        <v>71</v>
      </c>
      <c r="I78" s="217">
        <v>6</v>
      </c>
      <c r="J78" s="187" t="s">
        <v>940</v>
      </c>
      <c r="K78" s="220">
        <v>59810924</v>
      </c>
      <c r="L78" s="219">
        <v>0.19</v>
      </c>
      <c r="M78" s="220">
        <v>11364075.560000001</v>
      </c>
      <c r="N78" s="220">
        <v>71174999.560000002</v>
      </c>
      <c r="O78" s="203" t="s">
        <v>791</v>
      </c>
      <c r="P78" s="203" t="s">
        <v>89</v>
      </c>
      <c r="Q78" s="220">
        <v>71174999.560000002</v>
      </c>
      <c r="R78" s="220">
        <v>0</v>
      </c>
      <c r="S78" s="220">
        <v>0</v>
      </c>
      <c r="T78" s="220">
        <v>0</v>
      </c>
      <c r="U78" s="203" t="s">
        <v>1038</v>
      </c>
      <c r="V78" s="216" t="s">
        <v>1110</v>
      </c>
      <c r="W78" s="207">
        <v>59810924</v>
      </c>
      <c r="X78" s="204" t="s">
        <v>941</v>
      </c>
      <c r="Y78" s="204" t="s">
        <v>941</v>
      </c>
      <c r="Z78" s="204" t="s">
        <v>1111</v>
      </c>
    </row>
    <row r="79" spans="1:26" ht="43" customHeight="1" x14ac:dyDescent="0.35">
      <c r="A79" s="203" t="s">
        <v>927</v>
      </c>
      <c r="B79" s="203" t="s">
        <v>928</v>
      </c>
      <c r="C79" s="203" t="s">
        <v>1113</v>
      </c>
      <c r="D79" s="188">
        <v>80101706</v>
      </c>
      <c r="E79" s="216" t="s">
        <v>1114</v>
      </c>
      <c r="F79" s="216" t="s">
        <v>1115</v>
      </c>
      <c r="G79" s="188" t="s">
        <v>67</v>
      </c>
      <c r="H79" s="188" t="s">
        <v>67</v>
      </c>
      <c r="I79" s="217">
        <v>11</v>
      </c>
      <c r="J79" s="187" t="s">
        <v>940</v>
      </c>
      <c r="K79" s="220">
        <v>64460000</v>
      </c>
      <c r="L79" s="219">
        <v>0</v>
      </c>
      <c r="M79" s="220">
        <v>11364075.560000001</v>
      </c>
      <c r="N79" s="220">
        <v>71174999.560000002</v>
      </c>
      <c r="O79" s="203" t="s">
        <v>791</v>
      </c>
      <c r="P79" s="203" t="s">
        <v>89</v>
      </c>
      <c r="Q79" s="220">
        <v>59810924</v>
      </c>
      <c r="R79" s="220">
        <v>0</v>
      </c>
      <c r="S79" s="220">
        <v>0</v>
      </c>
      <c r="T79" s="220">
        <v>0</v>
      </c>
      <c r="U79" s="203" t="s">
        <v>1116</v>
      </c>
      <c r="V79" s="216"/>
      <c r="W79" s="207">
        <v>59810924</v>
      </c>
      <c r="X79" s="204" t="s">
        <v>941</v>
      </c>
      <c r="Y79" s="204" t="s">
        <v>941</v>
      </c>
      <c r="Z79" s="204" t="s">
        <v>1117</v>
      </c>
    </row>
    <row r="80" spans="1:26" ht="43" customHeight="1" x14ac:dyDescent="0.35">
      <c r="A80" s="203" t="s">
        <v>927</v>
      </c>
      <c r="B80" s="203" t="s">
        <v>928</v>
      </c>
      <c r="C80" s="203" t="s">
        <v>1113</v>
      </c>
      <c r="D80" s="188">
        <v>84121806</v>
      </c>
      <c r="E80" s="216" t="s">
        <v>1118</v>
      </c>
      <c r="F80" s="216" t="s">
        <v>1119</v>
      </c>
      <c r="G80" s="188" t="s">
        <v>77</v>
      </c>
      <c r="H80" s="188" t="s">
        <v>77</v>
      </c>
      <c r="I80" s="217">
        <v>12</v>
      </c>
      <c r="J80" s="187" t="s">
        <v>940</v>
      </c>
      <c r="K80" s="220">
        <v>71079515</v>
      </c>
      <c r="L80" s="219">
        <v>0.19</v>
      </c>
      <c r="M80" s="220">
        <v>11364075.560000001</v>
      </c>
      <c r="N80" s="220">
        <v>71174999.560000002</v>
      </c>
      <c r="O80" s="203" t="s">
        <v>794</v>
      </c>
      <c r="P80" s="203" t="s">
        <v>932</v>
      </c>
      <c r="Q80" s="220">
        <v>1184659</v>
      </c>
      <c r="R80" s="220">
        <v>11364076</v>
      </c>
      <c r="S80" s="220">
        <v>0</v>
      </c>
      <c r="T80" s="220">
        <v>0</v>
      </c>
      <c r="U80" s="203" t="s">
        <v>1120</v>
      </c>
      <c r="V80" s="216"/>
      <c r="W80" s="207">
        <v>59810924</v>
      </c>
      <c r="X80" s="204" t="s">
        <v>1121</v>
      </c>
      <c r="Y80" s="204" t="s">
        <v>1121</v>
      </c>
      <c r="Z80" s="204" t="s">
        <v>1122</v>
      </c>
    </row>
    <row r="81" spans="1:26" ht="43" customHeight="1" x14ac:dyDescent="0.35">
      <c r="A81" s="203" t="s">
        <v>927</v>
      </c>
      <c r="B81" s="203" t="s">
        <v>928</v>
      </c>
      <c r="C81" s="203" t="s">
        <v>1113</v>
      </c>
      <c r="D81" s="188">
        <v>43231600</v>
      </c>
      <c r="E81" s="216" t="s">
        <v>1123</v>
      </c>
      <c r="F81" s="216" t="s">
        <v>1124</v>
      </c>
      <c r="G81" s="188" t="s">
        <v>69</v>
      </c>
      <c r="H81" s="188" t="s">
        <v>70</v>
      </c>
      <c r="I81" s="217">
        <v>24</v>
      </c>
      <c r="J81" s="187" t="s">
        <v>940</v>
      </c>
      <c r="K81" s="220">
        <v>360000000</v>
      </c>
      <c r="L81" s="219">
        <v>0.19</v>
      </c>
      <c r="M81" s="220">
        <v>68400000</v>
      </c>
      <c r="N81" s="220">
        <v>428400000</v>
      </c>
      <c r="O81" s="203" t="s">
        <v>794</v>
      </c>
      <c r="P81" s="203" t="s">
        <v>932</v>
      </c>
      <c r="Q81" s="220">
        <v>428400000</v>
      </c>
      <c r="R81" s="220">
        <v>453675600</v>
      </c>
      <c r="S81" s="220">
        <v>480442460.39999998</v>
      </c>
      <c r="T81" s="220">
        <v>0</v>
      </c>
      <c r="U81" s="203" t="s">
        <v>1120</v>
      </c>
      <c r="V81" s="216" t="s">
        <v>1125</v>
      </c>
      <c r="W81" s="207">
        <v>360000000</v>
      </c>
      <c r="X81" s="204" t="s">
        <v>1027</v>
      </c>
      <c r="Y81" s="204" t="s">
        <v>1126</v>
      </c>
      <c r="Z81" s="204" t="s">
        <v>1127</v>
      </c>
    </row>
    <row r="82" spans="1:26" ht="43" customHeight="1" x14ac:dyDescent="0.35">
      <c r="A82" s="203" t="s">
        <v>927</v>
      </c>
      <c r="B82" s="203" t="s">
        <v>928</v>
      </c>
      <c r="C82" s="203" t="s">
        <v>1113</v>
      </c>
      <c r="D82" s="188">
        <v>43231600</v>
      </c>
      <c r="E82" s="216" t="s">
        <v>1123</v>
      </c>
      <c r="F82" s="216" t="s">
        <v>1124</v>
      </c>
      <c r="G82" s="188" t="s">
        <v>69</v>
      </c>
      <c r="H82" s="188" t="s">
        <v>70</v>
      </c>
      <c r="I82" s="217">
        <v>24</v>
      </c>
      <c r="J82" s="187" t="s">
        <v>940</v>
      </c>
      <c r="K82" s="220">
        <v>249000000</v>
      </c>
      <c r="L82" s="219">
        <v>0.19</v>
      </c>
      <c r="M82" s="220">
        <v>47310000</v>
      </c>
      <c r="N82" s="220">
        <v>296310000</v>
      </c>
      <c r="O82" s="203" t="s">
        <v>794</v>
      </c>
      <c r="P82" s="203" t="s">
        <v>932</v>
      </c>
      <c r="Q82" s="220">
        <v>296310000</v>
      </c>
      <c r="R82" s="220">
        <v>313792290</v>
      </c>
      <c r="S82" s="220">
        <v>332306035.11000001</v>
      </c>
      <c r="T82" s="220">
        <v>0</v>
      </c>
      <c r="U82" s="203" t="s">
        <v>1120</v>
      </c>
      <c r="V82" s="216" t="s">
        <v>1125</v>
      </c>
      <c r="W82" s="207">
        <v>249000000</v>
      </c>
      <c r="X82" s="204" t="s">
        <v>1128</v>
      </c>
      <c r="Y82" s="204" t="s">
        <v>1129</v>
      </c>
      <c r="Z82" s="204" t="s">
        <v>1127</v>
      </c>
    </row>
    <row r="83" spans="1:26" ht="43" customHeight="1" x14ac:dyDescent="0.35">
      <c r="A83" s="203" t="s">
        <v>927</v>
      </c>
      <c r="B83" s="203" t="s">
        <v>928</v>
      </c>
      <c r="C83" s="203" t="s">
        <v>1113</v>
      </c>
      <c r="D83" s="188">
        <v>80101706</v>
      </c>
      <c r="E83" s="216" t="s">
        <v>1114</v>
      </c>
      <c r="F83" s="216" t="s">
        <v>1130</v>
      </c>
      <c r="G83" s="188" t="s">
        <v>69</v>
      </c>
      <c r="H83" s="188" t="s">
        <v>69</v>
      </c>
      <c r="I83" s="217">
        <v>5</v>
      </c>
      <c r="J83" s="187" t="s">
        <v>940</v>
      </c>
      <c r="K83" s="220">
        <v>25000000</v>
      </c>
      <c r="L83" s="219">
        <v>0</v>
      </c>
      <c r="M83" s="220">
        <v>13505107.85</v>
      </c>
      <c r="N83" s="220">
        <v>84584622.849999994</v>
      </c>
      <c r="O83" s="203" t="s">
        <v>791</v>
      </c>
      <c r="P83" s="203" t="s">
        <v>89</v>
      </c>
      <c r="Q83" s="220">
        <v>84584622.849999994</v>
      </c>
      <c r="R83" s="220">
        <v>0</v>
      </c>
      <c r="S83" s="220">
        <v>0</v>
      </c>
      <c r="T83" s="220">
        <v>0</v>
      </c>
      <c r="U83" s="203" t="s">
        <v>1131</v>
      </c>
      <c r="V83" s="216"/>
      <c r="W83" s="207">
        <v>25000000</v>
      </c>
      <c r="X83" s="204" t="s">
        <v>941</v>
      </c>
      <c r="Y83" s="204" t="s">
        <v>941</v>
      </c>
      <c r="Z83" s="204" t="s">
        <v>1117</v>
      </c>
    </row>
    <row r="84" spans="1:26" ht="43" customHeight="1" x14ac:dyDescent="0.35">
      <c r="A84" s="203" t="s">
        <v>927</v>
      </c>
      <c r="B84" s="203" t="s">
        <v>928</v>
      </c>
      <c r="C84" s="203" t="s">
        <v>1113</v>
      </c>
      <c r="D84" s="188">
        <v>80101706</v>
      </c>
      <c r="E84" s="216" t="s">
        <v>1114</v>
      </c>
      <c r="F84" s="216" t="s">
        <v>1132</v>
      </c>
      <c r="G84" s="188" t="s">
        <v>70</v>
      </c>
      <c r="H84" s="188" t="s">
        <v>70</v>
      </c>
      <c r="I84" s="217">
        <v>12</v>
      </c>
      <c r="J84" s="187" t="s">
        <v>940</v>
      </c>
      <c r="K84" s="220">
        <v>100000000</v>
      </c>
      <c r="L84" s="219">
        <v>0.19</v>
      </c>
      <c r="M84" s="220">
        <v>115814955.62</v>
      </c>
      <c r="N84" s="220">
        <v>725367353.62</v>
      </c>
      <c r="O84" s="203" t="s">
        <v>794</v>
      </c>
      <c r="P84" s="203" t="s">
        <v>932</v>
      </c>
      <c r="Q84" s="220">
        <v>60000000</v>
      </c>
      <c r="R84" s="220">
        <v>40000000</v>
      </c>
      <c r="S84" s="220">
        <v>0</v>
      </c>
      <c r="T84" s="220">
        <v>0</v>
      </c>
      <c r="U84" s="203" t="s">
        <v>1131</v>
      </c>
      <c r="V84" s="216"/>
      <c r="W84" s="207">
        <v>60000000</v>
      </c>
      <c r="X84" s="204" t="s">
        <v>941</v>
      </c>
      <c r="Y84" s="204" t="s">
        <v>941</v>
      </c>
      <c r="Z84" s="204" t="s">
        <v>1117</v>
      </c>
    </row>
    <row r="85" spans="1:26" ht="43" customHeight="1" x14ac:dyDescent="0.35">
      <c r="A85" s="203" t="s">
        <v>927</v>
      </c>
      <c r="B85" s="203" t="s">
        <v>1133</v>
      </c>
      <c r="C85" s="203" t="s">
        <v>1134</v>
      </c>
      <c r="D85" s="188">
        <v>81111700</v>
      </c>
      <c r="E85" s="216" t="s">
        <v>1135</v>
      </c>
      <c r="F85" s="216" t="s">
        <v>699</v>
      </c>
      <c r="G85" s="188" t="s">
        <v>72</v>
      </c>
      <c r="H85" s="188" t="s">
        <v>72</v>
      </c>
      <c r="I85" s="217">
        <v>24</v>
      </c>
      <c r="J85" s="187" t="s">
        <v>931</v>
      </c>
      <c r="K85" s="235">
        <v>1008792354</v>
      </c>
      <c r="L85" s="219">
        <v>0.19</v>
      </c>
      <c r="M85" s="220">
        <v>191670547.25999999</v>
      </c>
      <c r="N85" s="220">
        <v>1200462901.26</v>
      </c>
      <c r="O85" s="203" t="s">
        <v>794</v>
      </c>
      <c r="P85" s="203" t="s">
        <v>932</v>
      </c>
      <c r="Q85" s="220">
        <v>390883584</v>
      </c>
      <c r="R85" s="220">
        <v>406518927</v>
      </c>
      <c r="S85" s="220">
        <v>211389842</v>
      </c>
      <c r="T85" s="220">
        <v>0</v>
      </c>
      <c r="U85" s="203" t="s">
        <v>1136</v>
      </c>
      <c r="V85" s="216"/>
      <c r="W85" s="207">
        <v>328473600</v>
      </c>
      <c r="X85" s="236" t="s">
        <v>1137</v>
      </c>
      <c r="Y85" s="236" t="s">
        <v>1138</v>
      </c>
      <c r="Z85" s="204" t="s">
        <v>1139</v>
      </c>
    </row>
    <row r="86" spans="1:26" ht="43" customHeight="1" x14ac:dyDescent="0.35">
      <c r="A86" s="203" t="s">
        <v>927</v>
      </c>
      <c r="B86" s="203" t="s">
        <v>1133</v>
      </c>
      <c r="C86" s="203" t="s">
        <v>1140</v>
      </c>
      <c r="D86" s="188">
        <v>85122201</v>
      </c>
      <c r="E86" s="216" t="s">
        <v>1141</v>
      </c>
      <c r="F86" s="216" t="s">
        <v>700</v>
      </c>
      <c r="G86" s="188" t="s">
        <v>74</v>
      </c>
      <c r="H86" s="188" t="s">
        <v>75</v>
      </c>
      <c r="I86" s="217">
        <v>12</v>
      </c>
      <c r="J86" s="187" t="s">
        <v>940</v>
      </c>
      <c r="K86" s="218">
        <v>1500000000</v>
      </c>
      <c r="L86" s="219">
        <v>0</v>
      </c>
      <c r="M86" s="220">
        <v>0</v>
      </c>
      <c r="N86" s="220">
        <v>1500000000</v>
      </c>
      <c r="O86" s="203" t="s">
        <v>791</v>
      </c>
      <c r="P86" s="203" t="s">
        <v>89</v>
      </c>
      <c r="Q86" s="220">
        <v>1500000000</v>
      </c>
      <c r="R86" s="220">
        <v>0</v>
      </c>
      <c r="S86" s="220">
        <v>0</v>
      </c>
      <c r="T86" s="220">
        <v>0</v>
      </c>
      <c r="U86" s="203" t="s">
        <v>1142</v>
      </c>
      <c r="V86" s="216" t="s">
        <v>1143</v>
      </c>
      <c r="W86" s="207">
        <v>1500000000</v>
      </c>
      <c r="X86" s="204" t="s">
        <v>1137</v>
      </c>
      <c r="Y86" s="204" t="s">
        <v>1138</v>
      </c>
      <c r="Z86" s="204"/>
    </row>
    <row r="87" spans="1:26" ht="43" customHeight="1" x14ac:dyDescent="0.35">
      <c r="A87" s="203" t="s">
        <v>927</v>
      </c>
      <c r="B87" s="203" t="s">
        <v>1133</v>
      </c>
      <c r="C87" s="203" t="s">
        <v>1140</v>
      </c>
      <c r="D87" s="186">
        <v>80111601</v>
      </c>
      <c r="E87" s="216" t="s">
        <v>1144</v>
      </c>
      <c r="F87" s="216" t="s">
        <v>1145</v>
      </c>
      <c r="G87" s="188" t="s">
        <v>67</v>
      </c>
      <c r="H87" s="188" t="s">
        <v>67</v>
      </c>
      <c r="I87" s="217">
        <v>12</v>
      </c>
      <c r="J87" s="187" t="s">
        <v>940</v>
      </c>
      <c r="K87" s="221">
        <v>389934600</v>
      </c>
      <c r="L87" s="219">
        <v>0</v>
      </c>
      <c r="M87" s="220">
        <v>0</v>
      </c>
      <c r="N87" s="220">
        <v>389934600</v>
      </c>
      <c r="O87" s="203" t="s">
        <v>791</v>
      </c>
      <c r="P87" s="203" t="s">
        <v>89</v>
      </c>
      <c r="Q87" s="220">
        <v>389934600</v>
      </c>
      <c r="R87" s="220">
        <v>0</v>
      </c>
      <c r="S87" s="220">
        <v>0</v>
      </c>
      <c r="T87" s="220">
        <v>0</v>
      </c>
      <c r="U87" s="203" t="s">
        <v>1142</v>
      </c>
      <c r="V87" s="216" t="s">
        <v>1143</v>
      </c>
      <c r="W87" s="207">
        <v>389934600</v>
      </c>
      <c r="X87" s="204" t="s">
        <v>1137</v>
      </c>
      <c r="Y87" s="204" t="s">
        <v>1138</v>
      </c>
      <c r="Z87" s="204"/>
    </row>
    <row r="88" spans="1:26" ht="43" customHeight="1" x14ac:dyDescent="0.35">
      <c r="A88" s="203" t="s">
        <v>927</v>
      </c>
      <c r="B88" s="203" t="s">
        <v>1133</v>
      </c>
      <c r="C88" s="203" t="s">
        <v>1140</v>
      </c>
      <c r="D88" s="200">
        <v>84111600</v>
      </c>
      <c r="E88" s="216" t="s">
        <v>1146</v>
      </c>
      <c r="F88" s="237" t="s">
        <v>1147</v>
      </c>
      <c r="G88" s="188" t="s">
        <v>68</v>
      </c>
      <c r="H88" s="188" t="s">
        <v>70</v>
      </c>
      <c r="I88" s="217">
        <v>36</v>
      </c>
      <c r="J88" s="187" t="s">
        <v>931</v>
      </c>
      <c r="K88" s="221">
        <v>93970088866.230011</v>
      </c>
      <c r="L88" s="219">
        <v>0.19</v>
      </c>
      <c r="M88" s="220">
        <v>17854316884.583702</v>
      </c>
      <c r="N88" s="220">
        <v>111824405750.81372</v>
      </c>
      <c r="O88" s="203" t="s">
        <v>794</v>
      </c>
      <c r="P88" s="203" t="s">
        <v>932</v>
      </c>
      <c r="Q88" s="235">
        <v>15836377660.73</v>
      </c>
      <c r="R88" s="235">
        <v>29824981216.849998</v>
      </c>
      <c r="S88" s="235">
        <v>31584655108.650002</v>
      </c>
      <c r="T88" s="238">
        <v>16724074880</v>
      </c>
      <c r="U88" s="203" t="s">
        <v>1142</v>
      </c>
      <c r="V88" s="216" t="s">
        <v>1148</v>
      </c>
      <c r="W88" s="207">
        <v>15836377660.73</v>
      </c>
      <c r="X88" s="204" t="s">
        <v>1137</v>
      </c>
      <c r="Y88" s="204" t="s">
        <v>1138</v>
      </c>
      <c r="Z88" s="204"/>
    </row>
    <row r="89" spans="1:26" ht="43" customHeight="1" x14ac:dyDescent="0.35">
      <c r="A89" s="203" t="s">
        <v>927</v>
      </c>
      <c r="B89" s="203" t="s">
        <v>1149</v>
      </c>
      <c r="C89" s="203" t="s">
        <v>1150</v>
      </c>
      <c r="D89" s="188">
        <v>82101500</v>
      </c>
      <c r="E89" s="216" t="s">
        <v>1151</v>
      </c>
      <c r="F89" s="216" t="s">
        <v>765</v>
      </c>
      <c r="G89" s="188" t="s">
        <v>70</v>
      </c>
      <c r="H89" s="188" t="s">
        <v>70</v>
      </c>
      <c r="I89" s="217">
        <v>24</v>
      </c>
      <c r="J89" s="187" t="s">
        <v>931</v>
      </c>
      <c r="K89" s="220">
        <v>800000000</v>
      </c>
      <c r="L89" s="219">
        <v>0.19</v>
      </c>
      <c r="M89" s="220">
        <v>152000000</v>
      </c>
      <c r="N89" s="220">
        <v>952000000</v>
      </c>
      <c r="O89" s="203" t="s">
        <v>794</v>
      </c>
      <c r="P89" s="203" t="s">
        <v>932</v>
      </c>
      <c r="Q89" s="220">
        <v>226209076</v>
      </c>
      <c r="R89" s="220">
        <v>384300000</v>
      </c>
      <c r="S89" s="220">
        <v>189490924</v>
      </c>
      <c r="T89" s="220">
        <v>0</v>
      </c>
      <c r="U89" s="203" t="s">
        <v>1152</v>
      </c>
      <c r="V89" s="216"/>
      <c r="W89" s="207">
        <v>226209076</v>
      </c>
      <c r="X89" s="225" t="s">
        <v>1153</v>
      </c>
      <c r="Y89" s="225" t="s">
        <v>1154</v>
      </c>
      <c r="Z89" s="225" t="s">
        <v>1155</v>
      </c>
    </row>
    <row r="90" spans="1:26" ht="43" customHeight="1" x14ac:dyDescent="0.35">
      <c r="A90" s="203" t="s">
        <v>927</v>
      </c>
      <c r="B90" s="203" t="s">
        <v>1149</v>
      </c>
      <c r="C90" s="203" t="s">
        <v>1150</v>
      </c>
      <c r="D90" s="188">
        <v>80141607</v>
      </c>
      <c r="E90" s="216" t="s">
        <v>972</v>
      </c>
      <c r="F90" s="216" t="s">
        <v>1156</v>
      </c>
      <c r="G90" s="188" t="s">
        <v>67</v>
      </c>
      <c r="H90" s="188" t="s">
        <v>67</v>
      </c>
      <c r="I90" s="217">
        <v>1</v>
      </c>
      <c r="J90" s="187" t="s">
        <v>940</v>
      </c>
      <c r="K90" s="220">
        <v>70000000</v>
      </c>
      <c r="L90" s="219">
        <v>0.19</v>
      </c>
      <c r="M90" s="220">
        <v>13300000</v>
      </c>
      <c r="N90" s="220">
        <v>83300000</v>
      </c>
      <c r="O90" s="203" t="s">
        <v>791</v>
      </c>
      <c r="P90" s="203" t="s">
        <v>89</v>
      </c>
      <c r="Q90" s="220">
        <v>83300000</v>
      </c>
      <c r="R90" s="220">
        <v>0</v>
      </c>
      <c r="S90" s="220">
        <v>0</v>
      </c>
      <c r="T90" s="220">
        <v>0</v>
      </c>
      <c r="U90" s="203" t="s">
        <v>1152</v>
      </c>
      <c r="V90" s="216"/>
      <c r="W90" s="207">
        <v>70000000</v>
      </c>
      <c r="X90" s="225" t="s">
        <v>1157</v>
      </c>
      <c r="Y90" s="225" t="s">
        <v>1157</v>
      </c>
      <c r="Z90" s="225" t="s">
        <v>1158</v>
      </c>
    </row>
    <row r="91" spans="1:26" ht="43" customHeight="1" x14ac:dyDescent="0.35">
      <c r="A91" s="203" t="s">
        <v>927</v>
      </c>
      <c r="B91" s="203" t="s">
        <v>1149</v>
      </c>
      <c r="C91" s="203" t="s">
        <v>1150</v>
      </c>
      <c r="D91" s="188">
        <v>80141607</v>
      </c>
      <c r="E91" s="216" t="s">
        <v>972</v>
      </c>
      <c r="F91" s="216" t="s">
        <v>1159</v>
      </c>
      <c r="G91" s="188" t="s">
        <v>73</v>
      </c>
      <c r="H91" s="188" t="s">
        <v>73</v>
      </c>
      <c r="I91" s="217">
        <v>1</v>
      </c>
      <c r="J91" s="187" t="s">
        <v>940</v>
      </c>
      <c r="K91" s="220">
        <v>70000000</v>
      </c>
      <c r="L91" s="219">
        <v>0.19</v>
      </c>
      <c r="M91" s="220">
        <v>13300000</v>
      </c>
      <c r="N91" s="220">
        <v>83300000</v>
      </c>
      <c r="O91" s="203" t="s">
        <v>791</v>
      </c>
      <c r="P91" s="203" t="s">
        <v>89</v>
      </c>
      <c r="Q91" s="220">
        <v>83300000</v>
      </c>
      <c r="R91" s="220">
        <v>0</v>
      </c>
      <c r="S91" s="220">
        <v>0</v>
      </c>
      <c r="T91" s="220">
        <v>0</v>
      </c>
      <c r="U91" s="203" t="s">
        <v>1152</v>
      </c>
      <c r="V91" s="216"/>
      <c r="W91" s="207">
        <v>70000000</v>
      </c>
      <c r="X91" s="225" t="s">
        <v>1157</v>
      </c>
      <c r="Y91" s="225" t="s">
        <v>1157</v>
      </c>
      <c r="Z91" s="225" t="s">
        <v>1158</v>
      </c>
    </row>
    <row r="92" spans="1:26" ht="43" customHeight="1" x14ac:dyDescent="0.35">
      <c r="A92" s="203" t="s">
        <v>927</v>
      </c>
      <c r="B92" s="203" t="s">
        <v>1149</v>
      </c>
      <c r="C92" s="203" t="s">
        <v>1150</v>
      </c>
      <c r="D92" s="188">
        <v>80141605</v>
      </c>
      <c r="E92" s="216" t="s">
        <v>1160</v>
      </c>
      <c r="F92" s="216" t="s">
        <v>1161</v>
      </c>
      <c r="G92" s="188" t="s">
        <v>69</v>
      </c>
      <c r="H92" s="188" t="s">
        <v>69</v>
      </c>
      <c r="I92" s="217">
        <v>12</v>
      </c>
      <c r="J92" s="187" t="s">
        <v>949</v>
      </c>
      <c r="K92" s="220">
        <v>105900000</v>
      </c>
      <c r="L92" s="219">
        <v>0.19</v>
      </c>
      <c r="M92" s="220">
        <v>20121000</v>
      </c>
      <c r="N92" s="220">
        <v>126021000</v>
      </c>
      <c r="O92" s="203" t="s">
        <v>791</v>
      </c>
      <c r="P92" s="203" t="s">
        <v>89</v>
      </c>
      <c r="Q92" s="220">
        <v>126021000</v>
      </c>
      <c r="R92" s="220">
        <v>0</v>
      </c>
      <c r="S92" s="220">
        <v>0</v>
      </c>
      <c r="T92" s="220">
        <v>0</v>
      </c>
      <c r="U92" s="203" t="s">
        <v>1152</v>
      </c>
      <c r="V92" s="216" t="s">
        <v>1162</v>
      </c>
      <c r="W92" s="207">
        <v>105900000</v>
      </c>
      <c r="X92" s="225" t="s">
        <v>1163</v>
      </c>
      <c r="Y92" s="225" t="s">
        <v>1164</v>
      </c>
      <c r="Z92" s="225" t="s">
        <v>1165</v>
      </c>
    </row>
    <row r="93" spans="1:26" ht="43" customHeight="1" x14ac:dyDescent="0.35">
      <c r="A93" s="203" t="s">
        <v>927</v>
      </c>
      <c r="B93" s="203" t="s">
        <v>1149</v>
      </c>
      <c r="C93" s="203" t="s">
        <v>1166</v>
      </c>
      <c r="D93" s="188">
        <v>43232313</v>
      </c>
      <c r="E93" s="216" t="s">
        <v>1167</v>
      </c>
      <c r="F93" s="216" t="s">
        <v>1168</v>
      </c>
      <c r="G93" s="188" t="s">
        <v>68</v>
      </c>
      <c r="H93" s="188" t="s">
        <v>69</v>
      </c>
      <c r="I93" s="217">
        <v>12</v>
      </c>
      <c r="J93" s="187" t="s">
        <v>940</v>
      </c>
      <c r="K93" s="220">
        <v>117000000</v>
      </c>
      <c r="L93" s="219">
        <v>0.19</v>
      </c>
      <c r="M93" s="220">
        <v>22230000</v>
      </c>
      <c r="N93" s="220">
        <v>139230000</v>
      </c>
      <c r="O93" s="203" t="s">
        <v>791</v>
      </c>
      <c r="P93" s="203" t="s">
        <v>89</v>
      </c>
      <c r="Q93" s="220">
        <v>139230000</v>
      </c>
      <c r="R93" s="220">
        <v>0</v>
      </c>
      <c r="S93" s="220">
        <v>0</v>
      </c>
      <c r="T93" s="220">
        <v>0</v>
      </c>
      <c r="U93" s="203" t="s">
        <v>1169</v>
      </c>
      <c r="V93" s="216" t="s">
        <v>1170</v>
      </c>
      <c r="W93" s="207">
        <v>117000000</v>
      </c>
      <c r="X93" s="225" t="s">
        <v>1171</v>
      </c>
      <c r="Y93" s="225" t="s">
        <v>1172</v>
      </c>
      <c r="Z93" s="225" t="s">
        <v>1172</v>
      </c>
    </row>
    <row r="94" spans="1:26" ht="43" customHeight="1" x14ac:dyDescent="0.35">
      <c r="A94" s="203" t="s">
        <v>927</v>
      </c>
      <c r="B94" s="203" t="s">
        <v>1149</v>
      </c>
      <c r="C94" s="203" t="s">
        <v>1173</v>
      </c>
      <c r="D94" s="188">
        <v>55101519</v>
      </c>
      <c r="E94" s="216" t="s">
        <v>1174</v>
      </c>
      <c r="F94" s="216" t="s">
        <v>1175</v>
      </c>
      <c r="G94" s="188" t="s">
        <v>68</v>
      </c>
      <c r="H94" s="188" t="s">
        <v>69</v>
      </c>
      <c r="I94" s="217">
        <v>6</v>
      </c>
      <c r="J94" s="188" t="s">
        <v>940</v>
      </c>
      <c r="K94" s="220">
        <v>16274440</v>
      </c>
      <c r="L94" s="219">
        <v>0.19</v>
      </c>
      <c r="M94" s="220">
        <v>3092143.6</v>
      </c>
      <c r="N94" s="220">
        <v>19366583.600000001</v>
      </c>
      <c r="O94" s="203" t="s">
        <v>791</v>
      </c>
      <c r="P94" s="203" t="s">
        <v>89</v>
      </c>
      <c r="Q94" s="220">
        <v>19366583.600000001</v>
      </c>
      <c r="R94" s="220">
        <v>0</v>
      </c>
      <c r="S94" s="220">
        <v>0</v>
      </c>
      <c r="T94" s="220">
        <v>0</v>
      </c>
      <c r="U94" s="203" t="s">
        <v>1176</v>
      </c>
      <c r="V94" s="216"/>
      <c r="W94" s="207">
        <v>16274440</v>
      </c>
      <c r="X94" s="225" t="s">
        <v>1177</v>
      </c>
      <c r="Y94" s="225" t="s">
        <v>1178</v>
      </c>
      <c r="Z94" s="225" t="s">
        <v>1179</v>
      </c>
    </row>
    <row r="95" spans="1:26" ht="43" customHeight="1" x14ac:dyDescent="0.35">
      <c r="A95" s="203" t="s">
        <v>927</v>
      </c>
      <c r="B95" s="203" t="s">
        <v>1149</v>
      </c>
      <c r="C95" s="203" t="s">
        <v>1180</v>
      </c>
      <c r="D95" s="188">
        <v>82111902</v>
      </c>
      <c r="E95" s="216" t="s">
        <v>1181</v>
      </c>
      <c r="F95" s="216" t="s">
        <v>1182</v>
      </c>
      <c r="G95" s="188" t="s">
        <v>68</v>
      </c>
      <c r="H95" s="188" t="s">
        <v>68</v>
      </c>
      <c r="I95" s="217">
        <v>12</v>
      </c>
      <c r="J95" s="187" t="s">
        <v>940</v>
      </c>
      <c r="K95" s="220">
        <v>1492000</v>
      </c>
      <c r="L95" s="219">
        <v>0.19</v>
      </c>
      <c r="M95" s="220">
        <v>283480</v>
      </c>
      <c r="N95" s="220">
        <v>1775480</v>
      </c>
      <c r="O95" s="203" t="s">
        <v>791</v>
      </c>
      <c r="P95" s="203" t="s">
        <v>89</v>
      </c>
      <c r="Q95" s="220">
        <v>1775480</v>
      </c>
      <c r="R95" s="220">
        <v>0</v>
      </c>
      <c r="S95" s="220">
        <v>0</v>
      </c>
      <c r="T95" s="220">
        <v>0</v>
      </c>
      <c r="U95" s="203" t="s">
        <v>1183</v>
      </c>
      <c r="V95" s="216"/>
      <c r="W95" s="207">
        <v>1253782</v>
      </c>
      <c r="X95" s="225" t="s">
        <v>1178</v>
      </c>
      <c r="Y95" s="225" t="s">
        <v>1178</v>
      </c>
      <c r="Z95" s="225" t="s">
        <v>1178</v>
      </c>
    </row>
    <row r="96" spans="1:26" ht="43" customHeight="1" x14ac:dyDescent="0.35">
      <c r="A96" s="203" t="s">
        <v>927</v>
      </c>
      <c r="B96" s="203" t="s">
        <v>1149</v>
      </c>
      <c r="C96" s="203" t="s">
        <v>1184</v>
      </c>
      <c r="D96" s="188">
        <v>86132000</v>
      </c>
      <c r="E96" s="216" t="s">
        <v>719</v>
      </c>
      <c r="F96" s="216" t="s">
        <v>1185</v>
      </c>
      <c r="G96" s="188" t="s">
        <v>76</v>
      </c>
      <c r="H96" s="188" t="s">
        <v>76</v>
      </c>
      <c r="I96" s="217">
        <v>1</v>
      </c>
      <c r="J96" s="187" t="s">
        <v>1186</v>
      </c>
      <c r="K96" s="220">
        <v>826020</v>
      </c>
      <c r="L96" s="219">
        <v>0.19</v>
      </c>
      <c r="M96" s="220">
        <v>156943.79999999999</v>
      </c>
      <c r="N96" s="220">
        <v>982963.8</v>
      </c>
      <c r="O96" s="203" t="s">
        <v>791</v>
      </c>
      <c r="P96" s="203" t="s">
        <v>89</v>
      </c>
      <c r="Q96" s="220">
        <v>982963.8</v>
      </c>
      <c r="R96" s="220">
        <v>0</v>
      </c>
      <c r="S96" s="220">
        <v>0</v>
      </c>
      <c r="T96" s="220">
        <v>0</v>
      </c>
      <c r="U96" s="203" t="s">
        <v>1187</v>
      </c>
      <c r="V96" s="216" t="s">
        <v>1188</v>
      </c>
      <c r="W96" s="207">
        <v>826020</v>
      </c>
      <c r="X96" s="239" t="s">
        <v>1189</v>
      </c>
      <c r="Y96" s="239" t="s">
        <v>1190</v>
      </c>
      <c r="Z96" s="239" t="s">
        <v>1191</v>
      </c>
    </row>
    <row r="97" spans="1:26" ht="43" customHeight="1" x14ac:dyDescent="0.35">
      <c r="A97" s="203" t="s">
        <v>927</v>
      </c>
      <c r="B97" s="203" t="s">
        <v>1149</v>
      </c>
      <c r="C97" s="203" t="s">
        <v>1184</v>
      </c>
      <c r="D97" s="188">
        <v>43232408</v>
      </c>
      <c r="E97" s="216" t="s">
        <v>1192</v>
      </c>
      <c r="F97" s="228" t="s">
        <v>767</v>
      </c>
      <c r="G97" s="188" t="s">
        <v>76</v>
      </c>
      <c r="H97" s="188" t="s">
        <v>67</v>
      </c>
      <c r="I97" s="217">
        <v>12</v>
      </c>
      <c r="J97" s="205" t="s">
        <v>940</v>
      </c>
      <c r="K97" s="220">
        <v>26657683</v>
      </c>
      <c r="L97" s="219">
        <v>0.19</v>
      </c>
      <c r="M97" s="220">
        <v>5064959.7700000005</v>
      </c>
      <c r="N97" s="220">
        <v>31722642.77</v>
      </c>
      <c r="O97" s="203" t="s">
        <v>791</v>
      </c>
      <c r="P97" s="203" t="s">
        <v>89</v>
      </c>
      <c r="Q97" s="220">
        <v>31100108.550000001</v>
      </c>
      <c r="R97" s="220">
        <v>0</v>
      </c>
      <c r="S97" s="220">
        <v>0</v>
      </c>
      <c r="T97" s="220">
        <v>0</v>
      </c>
      <c r="U97" s="203" t="s">
        <v>1187</v>
      </c>
      <c r="V97" s="204" t="s">
        <v>1193</v>
      </c>
      <c r="W97" s="207">
        <v>26657683</v>
      </c>
      <c r="X97" s="204" t="s">
        <v>1194</v>
      </c>
      <c r="Y97" s="204" t="s">
        <v>1195</v>
      </c>
      <c r="Z97" s="204" t="s">
        <v>1196</v>
      </c>
    </row>
    <row r="98" spans="1:26" ht="43" customHeight="1" x14ac:dyDescent="0.35">
      <c r="A98" s="203" t="s">
        <v>927</v>
      </c>
      <c r="B98" s="203" t="s">
        <v>1149</v>
      </c>
      <c r="C98" s="203" t="s">
        <v>1184</v>
      </c>
      <c r="D98" s="187">
        <v>80141605</v>
      </c>
      <c r="E98" s="216" t="s">
        <v>1160</v>
      </c>
      <c r="F98" s="228" t="s">
        <v>768</v>
      </c>
      <c r="G98" s="188" t="s">
        <v>68</v>
      </c>
      <c r="H98" s="188" t="s">
        <v>69</v>
      </c>
      <c r="I98" s="201">
        <v>12</v>
      </c>
      <c r="J98" s="187" t="s">
        <v>940</v>
      </c>
      <c r="K98" s="240">
        <v>31192845</v>
      </c>
      <c r="L98" s="241">
        <v>0.19</v>
      </c>
      <c r="M98" s="240">
        <v>5926640.5499999998</v>
      </c>
      <c r="N98" s="242">
        <v>37119485.549999997</v>
      </c>
      <c r="O98" s="203" t="s">
        <v>791</v>
      </c>
      <c r="P98" s="203" t="s">
        <v>89</v>
      </c>
      <c r="Q98" s="220">
        <v>37119485.549999997</v>
      </c>
      <c r="R98" s="220">
        <v>0</v>
      </c>
      <c r="S98" s="220">
        <v>0</v>
      </c>
      <c r="T98" s="220">
        <v>0</v>
      </c>
      <c r="U98" s="203" t="s">
        <v>1197</v>
      </c>
      <c r="V98" s="204" t="s">
        <v>1198</v>
      </c>
      <c r="W98" s="207">
        <v>31192845</v>
      </c>
      <c r="X98" s="204" t="s">
        <v>1199</v>
      </c>
      <c r="Y98" s="204" t="s">
        <v>1195</v>
      </c>
      <c r="Z98" s="204" t="s">
        <v>1200</v>
      </c>
    </row>
    <row r="99" spans="1:26" ht="43" customHeight="1" x14ac:dyDescent="0.35">
      <c r="A99" s="203" t="s">
        <v>927</v>
      </c>
      <c r="B99" s="203" t="s">
        <v>1149</v>
      </c>
      <c r="C99" s="203" t="s">
        <v>1184</v>
      </c>
      <c r="D99" s="187">
        <v>60105200</v>
      </c>
      <c r="E99" s="216" t="s">
        <v>1201</v>
      </c>
      <c r="F99" s="228" t="s">
        <v>769</v>
      </c>
      <c r="G99" s="188" t="s">
        <v>68</v>
      </c>
      <c r="H99" s="188" t="s">
        <v>69</v>
      </c>
      <c r="I99" s="201">
        <v>12</v>
      </c>
      <c r="J99" s="187" t="s">
        <v>940</v>
      </c>
      <c r="K99" s="240">
        <v>120428844.59999999</v>
      </c>
      <c r="L99" s="241">
        <v>0.19</v>
      </c>
      <c r="M99" s="240">
        <v>22881480.473999999</v>
      </c>
      <c r="N99" s="242">
        <v>143310325.074</v>
      </c>
      <c r="O99" s="203" t="s">
        <v>791</v>
      </c>
      <c r="P99" s="203" t="s">
        <v>89</v>
      </c>
      <c r="Q99" s="220">
        <v>143310325.074</v>
      </c>
      <c r="R99" s="220">
        <v>0</v>
      </c>
      <c r="S99" s="220">
        <v>0</v>
      </c>
      <c r="T99" s="220">
        <v>0</v>
      </c>
      <c r="U99" s="203" t="s">
        <v>1187</v>
      </c>
      <c r="V99" s="204" t="s">
        <v>1202</v>
      </c>
      <c r="W99" s="207">
        <v>120428844.59999999</v>
      </c>
      <c r="X99" s="204" t="s">
        <v>1203</v>
      </c>
      <c r="Y99" s="204" t="s">
        <v>1203</v>
      </c>
      <c r="Z99" s="204" t="s">
        <v>1204</v>
      </c>
    </row>
    <row r="100" spans="1:26" ht="43" customHeight="1" x14ac:dyDescent="0.35">
      <c r="A100" s="203" t="s">
        <v>927</v>
      </c>
      <c r="B100" s="203" t="s">
        <v>1149</v>
      </c>
      <c r="C100" s="203" t="s">
        <v>1184</v>
      </c>
      <c r="D100" s="187">
        <v>93151514</v>
      </c>
      <c r="E100" s="216" t="s">
        <v>1205</v>
      </c>
      <c r="F100" s="228" t="s">
        <v>1206</v>
      </c>
      <c r="G100" s="188" t="s">
        <v>67</v>
      </c>
      <c r="H100" s="188" t="s">
        <v>68</v>
      </c>
      <c r="I100" s="201">
        <v>24</v>
      </c>
      <c r="J100" s="187" t="s">
        <v>940</v>
      </c>
      <c r="K100" s="240">
        <v>42166092.863999993</v>
      </c>
      <c r="L100" s="241">
        <v>0.19</v>
      </c>
      <c r="M100" s="240">
        <v>8011557.6441599987</v>
      </c>
      <c r="N100" s="242">
        <v>50177650.508159995</v>
      </c>
      <c r="O100" s="203" t="s">
        <v>791</v>
      </c>
      <c r="P100" s="203" t="s">
        <v>89</v>
      </c>
      <c r="Q100" s="220">
        <v>18965800</v>
      </c>
      <c r="R100" s="220">
        <v>0</v>
      </c>
      <c r="S100" s="220">
        <v>0</v>
      </c>
      <c r="T100" s="220">
        <v>0</v>
      </c>
      <c r="U100" s="203" t="s">
        <v>1187</v>
      </c>
      <c r="V100" s="204" t="s">
        <v>1207</v>
      </c>
      <c r="W100" s="207">
        <v>42166092.863999993</v>
      </c>
      <c r="X100" s="204" t="s">
        <v>1203</v>
      </c>
      <c r="Y100" s="204" t="s">
        <v>1203</v>
      </c>
      <c r="Z100" s="204" t="s">
        <v>1208</v>
      </c>
    </row>
    <row r="101" spans="1:26" ht="43" customHeight="1" x14ac:dyDescent="0.35">
      <c r="A101" s="203" t="s">
        <v>927</v>
      </c>
      <c r="B101" s="203" t="s">
        <v>1149</v>
      </c>
      <c r="C101" s="203" t="s">
        <v>1184</v>
      </c>
      <c r="D101" s="187">
        <v>80141626</v>
      </c>
      <c r="E101" s="216" t="s">
        <v>1209</v>
      </c>
      <c r="F101" s="204" t="s">
        <v>1210</v>
      </c>
      <c r="G101" s="188" t="s">
        <v>69</v>
      </c>
      <c r="H101" s="205" t="s">
        <v>71</v>
      </c>
      <c r="I101" s="201">
        <v>12</v>
      </c>
      <c r="J101" s="187" t="s">
        <v>940</v>
      </c>
      <c r="K101" s="240">
        <v>200000000</v>
      </c>
      <c r="L101" s="241">
        <v>0.19</v>
      </c>
      <c r="M101" s="240">
        <v>38000000</v>
      </c>
      <c r="N101" s="242">
        <v>238000000</v>
      </c>
      <c r="O101" s="203" t="s">
        <v>791</v>
      </c>
      <c r="P101" s="203" t="s">
        <v>932</v>
      </c>
      <c r="Q101" s="220">
        <v>238000000</v>
      </c>
      <c r="R101" s="220">
        <v>0</v>
      </c>
      <c r="S101" s="220">
        <v>0</v>
      </c>
      <c r="T101" s="220">
        <v>0</v>
      </c>
      <c r="U101" s="203" t="s">
        <v>1211</v>
      </c>
      <c r="V101" s="204" t="s">
        <v>1212</v>
      </c>
      <c r="W101" s="207">
        <v>200000000</v>
      </c>
      <c r="X101" s="204" t="s">
        <v>1203</v>
      </c>
      <c r="Y101" s="204" t="s">
        <v>1203</v>
      </c>
      <c r="Z101" s="204" t="s">
        <v>1213</v>
      </c>
    </row>
    <row r="102" spans="1:26" ht="43" customHeight="1" x14ac:dyDescent="0.35">
      <c r="A102" s="203" t="s">
        <v>927</v>
      </c>
      <c r="B102" s="203" t="s">
        <v>1149</v>
      </c>
      <c r="C102" s="203" t="s">
        <v>1184</v>
      </c>
      <c r="D102" s="187">
        <v>80141626</v>
      </c>
      <c r="E102" s="216" t="s">
        <v>1209</v>
      </c>
      <c r="F102" s="204" t="s">
        <v>1214</v>
      </c>
      <c r="G102" s="188" t="s">
        <v>75</v>
      </c>
      <c r="H102" s="206" t="s">
        <v>76</v>
      </c>
      <c r="I102" s="201">
        <v>12</v>
      </c>
      <c r="J102" s="187" t="s">
        <v>949</v>
      </c>
      <c r="K102" s="240">
        <v>320000000</v>
      </c>
      <c r="L102" s="241">
        <v>0.19</v>
      </c>
      <c r="M102" s="240">
        <v>60800000</v>
      </c>
      <c r="N102" s="242">
        <v>380800000</v>
      </c>
      <c r="O102" s="203" t="s">
        <v>791</v>
      </c>
      <c r="P102" s="203" t="s">
        <v>932</v>
      </c>
      <c r="Q102" s="220">
        <v>380800000</v>
      </c>
      <c r="R102" s="220">
        <v>0</v>
      </c>
      <c r="S102" s="220">
        <v>0</v>
      </c>
      <c r="T102" s="220">
        <v>0</v>
      </c>
      <c r="U102" s="203" t="s">
        <v>1211</v>
      </c>
      <c r="V102" s="204" t="s">
        <v>1215</v>
      </c>
      <c r="W102" s="207">
        <v>320000000</v>
      </c>
      <c r="X102" s="204" t="s">
        <v>1203</v>
      </c>
      <c r="Y102" s="204" t="s">
        <v>1203</v>
      </c>
      <c r="Z102" s="204" t="s">
        <v>1216</v>
      </c>
    </row>
    <row r="103" spans="1:26" ht="43" customHeight="1" x14ac:dyDescent="0.35">
      <c r="A103" s="203" t="s">
        <v>927</v>
      </c>
      <c r="B103" s="203" t="s">
        <v>1149</v>
      </c>
      <c r="C103" s="203" t="s">
        <v>1184</v>
      </c>
      <c r="D103" s="187">
        <v>81112001</v>
      </c>
      <c r="E103" s="216" t="s">
        <v>1217</v>
      </c>
      <c r="F103" s="204" t="s">
        <v>1218</v>
      </c>
      <c r="G103" s="188" t="s">
        <v>75</v>
      </c>
      <c r="H103" s="206" t="s">
        <v>78</v>
      </c>
      <c r="I103" s="201">
        <v>36</v>
      </c>
      <c r="J103" s="187" t="s">
        <v>940</v>
      </c>
      <c r="K103" s="240">
        <v>446300000</v>
      </c>
      <c r="L103" s="241">
        <v>0.19</v>
      </c>
      <c r="M103" s="240">
        <v>84797000</v>
      </c>
      <c r="N103" s="242">
        <v>531097000</v>
      </c>
      <c r="O103" s="203" t="s">
        <v>794</v>
      </c>
      <c r="P103" s="203" t="s">
        <v>932</v>
      </c>
      <c r="Q103" s="220">
        <v>0</v>
      </c>
      <c r="R103" s="220">
        <v>168385000</v>
      </c>
      <c r="S103" s="220">
        <v>176953000</v>
      </c>
      <c r="T103" s="220">
        <v>185759000</v>
      </c>
      <c r="U103" s="203" t="s">
        <v>1211</v>
      </c>
      <c r="V103" s="204" t="s">
        <v>1219</v>
      </c>
      <c r="W103" s="207"/>
      <c r="X103" s="204" t="s">
        <v>1203</v>
      </c>
      <c r="Y103" s="204" t="s">
        <v>1203</v>
      </c>
      <c r="Z103" s="204" t="s">
        <v>1220</v>
      </c>
    </row>
    <row r="104" spans="1:26" ht="43" customHeight="1" x14ac:dyDescent="0.35">
      <c r="A104" s="203" t="s">
        <v>927</v>
      </c>
      <c r="B104" s="203" t="s">
        <v>1149</v>
      </c>
      <c r="C104" s="203" t="s">
        <v>1221</v>
      </c>
      <c r="D104" s="187">
        <v>81112001</v>
      </c>
      <c r="E104" s="216" t="s">
        <v>1217</v>
      </c>
      <c r="F104" s="204" t="s">
        <v>1222</v>
      </c>
      <c r="G104" s="188" t="s">
        <v>75</v>
      </c>
      <c r="H104" s="206" t="s">
        <v>78</v>
      </c>
      <c r="I104" s="201">
        <v>36</v>
      </c>
      <c r="J104" s="187" t="s">
        <v>940</v>
      </c>
      <c r="K104" s="240">
        <v>22062269</v>
      </c>
      <c r="L104" s="241">
        <v>0.19</v>
      </c>
      <c r="M104" s="240">
        <v>4191831.11</v>
      </c>
      <c r="N104" s="242">
        <v>26254100.109999999</v>
      </c>
      <c r="O104" s="203" t="s">
        <v>794</v>
      </c>
      <c r="P104" s="203" t="s">
        <v>932</v>
      </c>
      <c r="Q104" s="220">
        <v>0</v>
      </c>
      <c r="R104" s="220">
        <v>8087143</v>
      </c>
      <c r="S104" s="220">
        <v>8734114</v>
      </c>
      <c r="T104" s="220">
        <v>9432843</v>
      </c>
      <c r="U104" s="203" t="s">
        <v>1223</v>
      </c>
      <c r="V104" s="204" t="s">
        <v>1219</v>
      </c>
      <c r="W104" s="207"/>
      <c r="X104" s="204" t="s">
        <v>1203</v>
      </c>
      <c r="Y104" s="204" t="s">
        <v>1203</v>
      </c>
      <c r="Z104" s="204" t="s">
        <v>1224</v>
      </c>
    </row>
    <row r="105" spans="1:26" ht="43" customHeight="1" x14ac:dyDescent="0.35">
      <c r="A105" s="203" t="s">
        <v>927</v>
      </c>
      <c r="B105" s="203" t="s">
        <v>1149</v>
      </c>
      <c r="C105" s="203" t="s">
        <v>1221</v>
      </c>
      <c r="D105" s="187">
        <v>86121700</v>
      </c>
      <c r="E105" s="216" t="s">
        <v>1225</v>
      </c>
      <c r="F105" s="228" t="s">
        <v>766</v>
      </c>
      <c r="G105" s="188" t="s">
        <v>71</v>
      </c>
      <c r="H105" s="205" t="s">
        <v>71</v>
      </c>
      <c r="I105" s="201">
        <v>7</v>
      </c>
      <c r="J105" s="187" t="s">
        <v>940</v>
      </c>
      <c r="K105" s="240">
        <v>50000000</v>
      </c>
      <c r="L105" s="241">
        <v>0</v>
      </c>
      <c r="M105" s="240">
        <v>0</v>
      </c>
      <c r="N105" s="242">
        <v>50000000</v>
      </c>
      <c r="O105" s="203" t="s">
        <v>791</v>
      </c>
      <c r="P105" s="203" t="s">
        <v>89</v>
      </c>
      <c r="Q105" s="220">
        <v>50000000</v>
      </c>
      <c r="R105" s="220">
        <v>0</v>
      </c>
      <c r="S105" s="220">
        <v>0</v>
      </c>
      <c r="T105" s="220">
        <v>0</v>
      </c>
      <c r="U105" s="203" t="s">
        <v>1226</v>
      </c>
      <c r="V105" s="204" t="s">
        <v>1227</v>
      </c>
      <c r="W105" s="207">
        <v>50000000</v>
      </c>
      <c r="X105" s="204" t="s">
        <v>1228</v>
      </c>
      <c r="Y105" s="204" t="s">
        <v>1229</v>
      </c>
      <c r="Z105" s="204" t="s">
        <v>1230</v>
      </c>
    </row>
    <row r="106" spans="1:26" ht="43" customHeight="1" x14ac:dyDescent="0.35">
      <c r="A106" s="203" t="s">
        <v>927</v>
      </c>
      <c r="B106" s="203" t="s">
        <v>1149</v>
      </c>
      <c r="C106" s="202" t="s">
        <v>1221</v>
      </c>
      <c r="D106" s="187">
        <v>90121502</v>
      </c>
      <c r="E106" s="216" t="s">
        <v>1231</v>
      </c>
      <c r="F106" s="204" t="s">
        <v>1232</v>
      </c>
      <c r="G106" s="188" t="s">
        <v>68</v>
      </c>
      <c r="H106" s="205" t="s">
        <v>69</v>
      </c>
      <c r="I106" s="201">
        <v>5</v>
      </c>
      <c r="J106" s="187" t="s">
        <v>931</v>
      </c>
      <c r="K106" s="240">
        <v>1111964264</v>
      </c>
      <c r="L106" s="241">
        <v>0.19</v>
      </c>
      <c r="M106" s="240">
        <v>211273210.16</v>
      </c>
      <c r="N106" s="242">
        <v>1323237474.1600001</v>
      </c>
      <c r="O106" s="203" t="s">
        <v>791</v>
      </c>
      <c r="P106" s="203" t="s">
        <v>89</v>
      </c>
      <c r="Q106" s="220">
        <v>1323237474.1600001</v>
      </c>
      <c r="R106" s="220">
        <v>0</v>
      </c>
      <c r="S106" s="220">
        <v>0</v>
      </c>
      <c r="T106" s="220">
        <v>0</v>
      </c>
      <c r="U106" s="203" t="s">
        <v>1233</v>
      </c>
      <c r="V106" s="204"/>
      <c r="W106" s="207">
        <v>1111964264</v>
      </c>
      <c r="X106" s="225" t="s">
        <v>1228</v>
      </c>
      <c r="Y106" s="225" t="s">
        <v>1234</v>
      </c>
      <c r="Z106" s="225" t="s">
        <v>1235</v>
      </c>
    </row>
    <row r="107" spans="1:26" ht="43" customHeight="1" x14ac:dyDescent="0.35">
      <c r="A107" s="203" t="s">
        <v>927</v>
      </c>
      <c r="B107" s="203" t="s">
        <v>1149</v>
      </c>
      <c r="C107" s="202" t="s">
        <v>1221</v>
      </c>
      <c r="D107" s="187">
        <v>86121700</v>
      </c>
      <c r="E107" s="216" t="s">
        <v>1225</v>
      </c>
      <c r="F107" s="204" t="s">
        <v>1236</v>
      </c>
      <c r="G107" s="188" t="s">
        <v>71</v>
      </c>
      <c r="H107" s="205" t="s">
        <v>71</v>
      </c>
      <c r="I107" s="201">
        <v>2</v>
      </c>
      <c r="J107" s="187" t="s">
        <v>940</v>
      </c>
      <c r="K107" s="240">
        <v>50000000</v>
      </c>
      <c r="L107" s="241">
        <v>0.19</v>
      </c>
      <c r="M107" s="240">
        <v>9500000</v>
      </c>
      <c r="N107" s="242">
        <v>59500000</v>
      </c>
      <c r="O107" s="203" t="s">
        <v>791</v>
      </c>
      <c r="P107" s="203" t="s">
        <v>89</v>
      </c>
      <c r="Q107" s="220">
        <v>59500000</v>
      </c>
      <c r="R107" s="220">
        <v>0</v>
      </c>
      <c r="S107" s="220">
        <v>0</v>
      </c>
      <c r="T107" s="220">
        <v>0</v>
      </c>
      <c r="U107" s="203" t="s">
        <v>1233</v>
      </c>
      <c r="V107" s="204"/>
      <c r="W107" s="207">
        <v>50000000</v>
      </c>
      <c r="X107" s="225" t="s">
        <v>1228</v>
      </c>
      <c r="Y107" s="225" t="s">
        <v>1229</v>
      </c>
      <c r="Z107" s="225" t="s">
        <v>1230</v>
      </c>
    </row>
    <row r="108" spans="1:26" ht="43" customHeight="1" x14ac:dyDescent="0.35">
      <c r="A108" s="203" t="s">
        <v>927</v>
      </c>
      <c r="B108" s="203" t="s">
        <v>1149</v>
      </c>
      <c r="C108" s="202" t="s">
        <v>1221</v>
      </c>
      <c r="D108" s="187">
        <v>86121700</v>
      </c>
      <c r="E108" s="216" t="s">
        <v>1225</v>
      </c>
      <c r="F108" s="204" t="s">
        <v>1237</v>
      </c>
      <c r="G108" s="188" t="s">
        <v>75</v>
      </c>
      <c r="H108" s="205" t="s">
        <v>75</v>
      </c>
      <c r="I108" s="201">
        <v>2</v>
      </c>
      <c r="J108" s="187" t="s">
        <v>940</v>
      </c>
      <c r="K108" s="240">
        <v>50000000</v>
      </c>
      <c r="L108" s="241">
        <v>0.19</v>
      </c>
      <c r="M108" s="240">
        <v>9500000</v>
      </c>
      <c r="N108" s="242">
        <v>59500000</v>
      </c>
      <c r="O108" s="203" t="s">
        <v>791</v>
      </c>
      <c r="P108" s="203" t="s">
        <v>89</v>
      </c>
      <c r="Q108" s="220">
        <v>59500000</v>
      </c>
      <c r="R108" s="220">
        <v>0</v>
      </c>
      <c r="S108" s="220">
        <v>0</v>
      </c>
      <c r="T108" s="220">
        <v>0</v>
      </c>
      <c r="U108" s="203" t="s">
        <v>1233</v>
      </c>
      <c r="V108" s="204"/>
      <c r="W108" s="207">
        <v>50000000</v>
      </c>
      <c r="X108" s="225" t="s">
        <v>1228</v>
      </c>
      <c r="Y108" s="225" t="s">
        <v>1229</v>
      </c>
      <c r="Z108" s="225" t="s">
        <v>1230</v>
      </c>
    </row>
    <row r="109" spans="1:26" ht="43" customHeight="1" x14ac:dyDescent="0.35">
      <c r="A109" s="203" t="s">
        <v>927</v>
      </c>
      <c r="B109" s="203" t="s">
        <v>1149</v>
      </c>
      <c r="C109" s="202" t="s">
        <v>1221</v>
      </c>
      <c r="D109" s="187">
        <v>86121700</v>
      </c>
      <c r="E109" s="216" t="s">
        <v>1225</v>
      </c>
      <c r="F109" s="204" t="s">
        <v>1238</v>
      </c>
      <c r="G109" s="188" t="s">
        <v>77</v>
      </c>
      <c r="H109" s="205" t="s">
        <v>77</v>
      </c>
      <c r="I109" s="201">
        <v>2</v>
      </c>
      <c r="J109" s="187" t="s">
        <v>940</v>
      </c>
      <c r="K109" s="240">
        <v>50000000</v>
      </c>
      <c r="L109" s="241">
        <v>0.19</v>
      </c>
      <c r="M109" s="240">
        <v>9500000</v>
      </c>
      <c r="N109" s="242">
        <v>59500000</v>
      </c>
      <c r="O109" s="203" t="s">
        <v>791</v>
      </c>
      <c r="P109" s="203" t="s">
        <v>89</v>
      </c>
      <c r="Q109" s="220">
        <v>59500000</v>
      </c>
      <c r="R109" s="220">
        <v>0</v>
      </c>
      <c r="S109" s="220">
        <v>0</v>
      </c>
      <c r="T109" s="220">
        <v>0</v>
      </c>
      <c r="U109" s="203" t="s">
        <v>1233</v>
      </c>
      <c r="V109" s="204"/>
      <c r="W109" s="207">
        <v>50000000</v>
      </c>
      <c r="X109" s="225" t="s">
        <v>1228</v>
      </c>
      <c r="Y109" s="225" t="s">
        <v>1229</v>
      </c>
      <c r="Z109" s="225" t="s">
        <v>1230</v>
      </c>
    </row>
    <row r="110" spans="1:26" ht="43" customHeight="1" x14ac:dyDescent="0.35">
      <c r="A110" s="203" t="s">
        <v>927</v>
      </c>
      <c r="B110" s="203" t="s">
        <v>1149</v>
      </c>
      <c r="C110" s="202" t="s">
        <v>1221</v>
      </c>
      <c r="D110" s="187">
        <v>43232300</v>
      </c>
      <c r="E110" s="216" t="s">
        <v>1239</v>
      </c>
      <c r="F110" s="204" t="s">
        <v>1240</v>
      </c>
      <c r="G110" s="188" t="s">
        <v>77</v>
      </c>
      <c r="H110" s="205" t="s">
        <v>78</v>
      </c>
      <c r="I110" s="201">
        <v>2</v>
      </c>
      <c r="J110" s="187" t="s">
        <v>940</v>
      </c>
      <c r="K110" s="240">
        <v>12881165</v>
      </c>
      <c r="L110" s="241">
        <v>0.19</v>
      </c>
      <c r="M110" s="240">
        <v>2447421.35</v>
      </c>
      <c r="N110" s="242">
        <v>15328586.35</v>
      </c>
      <c r="O110" s="203" t="s">
        <v>791</v>
      </c>
      <c r="P110" s="203" t="s">
        <v>89</v>
      </c>
      <c r="Q110" s="220">
        <v>15328586.35</v>
      </c>
      <c r="R110" s="220">
        <v>0</v>
      </c>
      <c r="S110" s="220">
        <v>0</v>
      </c>
      <c r="T110" s="220">
        <v>0</v>
      </c>
      <c r="U110" s="203" t="s">
        <v>1241</v>
      </c>
      <c r="V110" s="204" t="s">
        <v>1242</v>
      </c>
      <c r="W110" s="207">
        <v>12881165</v>
      </c>
      <c r="X110" s="225" t="s">
        <v>1228</v>
      </c>
      <c r="Y110" s="225" t="s">
        <v>1229</v>
      </c>
      <c r="Z110" s="225" t="s">
        <v>1243</v>
      </c>
    </row>
    <row r="111" spans="1:26" ht="43" customHeight="1" x14ac:dyDescent="0.35">
      <c r="A111" s="203" t="s">
        <v>927</v>
      </c>
      <c r="B111" s="203" t="s">
        <v>1244</v>
      </c>
      <c r="C111" s="203" t="s">
        <v>1245</v>
      </c>
      <c r="D111" s="243">
        <v>78141602</v>
      </c>
      <c r="E111" s="216" t="s">
        <v>1246</v>
      </c>
      <c r="F111" s="228" t="s">
        <v>1247</v>
      </c>
      <c r="G111" s="188" t="s">
        <v>67</v>
      </c>
      <c r="H111" s="205" t="s">
        <v>67</v>
      </c>
      <c r="I111" s="217">
        <v>12</v>
      </c>
      <c r="J111" s="187" t="s">
        <v>940</v>
      </c>
      <c r="K111" s="218">
        <v>30000000</v>
      </c>
      <c r="L111" s="219">
        <v>0.19</v>
      </c>
      <c r="M111" s="218">
        <v>5700000</v>
      </c>
      <c r="N111" s="218">
        <v>35700000</v>
      </c>
      <c r="O111" s="203" t="s">
        <v>791</v>
      </c>
      <c r="P111" s="203" t="s">
        <v>89</v>
      </c>
      <c r="Q111" s="220">
        <v>35700000</v>
      </c>
      <c r="R111" s="220">
        <v>0</v>
      </c>
      <c r="S111" s="220">
        <v>0</v>
      </c>
      <c r="T111" s="220">
        <v>0</v>
      </c>
      <c r="U111" s="203" t="s">
        <v>1248</v>
      </c>
      <c r="V111" s="204"/>
      <c r="W111" s="207">
        <v>30000000</v>
      </c>
      <c r="X111" s="225" t="s">
        <v>1249</v>
      </c>
      <c r="Y111" s="225" t="s">
        <v>1249</v>
      </c>
      <c r="Z111" s="225" t="s">
        <v>1249</v>
      </c>
    </row>
    <row r="112" spans="1:26" ht="43" customHeight="1" x14ac:dyDescent="0.35">
      <c r="A112" s="203" t="s">
        <v>927</v>
      </c>
      <c r="B112" s="203" t="s">
        <v>1244</v>
      </c>
      <c r="C112" s="203" t="s">
        <v>1245</v>
      </c>
      <c r="D112" s="243">
        <v>80111610</v>
      </c>
      <c r="E112" s="216" t="s">
        <v>1250</v>
      </c>
      <c r="F112" s="228" t="s">
        <v>1251</v>
      </c>
      <c r="G112" s="188" t="s">
        <v>67</v>
      </c>
      <c r="H112" s="205" t="s">
        <v>67</v>
      </c>
      <c r="I112" s="217">
        <v>12</v>
      </c>
      <c r="J112" s="187" t="s">
        <v>940</v>
      </c>
      <c r="K112" s="218">
        <v>25000000</v>
      </c>
      <c r="L112" s="219">
        <v>0.19</v>
      </c>
      <c r="M112" s="218">
        <v>4750000</v>
      </c>
      <c r="N112" s="218">
        <v>29750000</v>
      </c>
      <c r="O112" s="203" t="s">
        <v>791</v>
      </c>
      <c r="P112" s="203" t="s">
        <v>89</v>
      </c>
      <c r="Q112" s="220">
        <v>29750000</v>
      </c>
      <c r="R112" s="220">
        <v>0</v>
      </c>
      <c r="S112" s="220">
        <v>0</v>
      </c>
      <c r="T112" s="220">
        <v>0</v>
      </c>
      <c r="U112" s="203" t="s">
        <v>1248</v>
      </c>
      <c r="V112" s="204"/>
      <c r="W112" s="207">
        <v>25000000</v>
      </c>
      <c r="X112" s="225" t="s">
        <v>1252</v>
      </c>
      <c r="Y112" s="225" t="s">
        <v>1252</v>
      </c>
      <c r="Z112" s="225" t="s">
        <v>1253</v>
      </c>
    </row>
    <row r="113" spans="1:26" ht="43" customHeight="1" x14ac:dyDescent="0.35">
      <c r="A113" s="203" t="s">
        <v>927</v>
      </c>
      <c r="B113" s="203" t="s">
        <v>1244</v>
      </c>
      <c r="C113" s="203" t="s">
        <v>1254</v>
      </c>
      <c r="D113" s="243">
        <v>80101510</v>
      </c>
      <c r="E113" s="216" t="s">
        <v>1255</v>
      </c>
      <c r="F113" s="228" t="s">
        <v>1256</v>
      </c>
      <c r="G113" s="188" t="s">
        <v>67</v>
      </c>
      <c r="H113" s="205" t="s">
        <v>67</v>
      </c>
      <c r="I113" s="217">
        <v>12</v>
      </c>
      <c r="J113" s="187" t="s">
        <v>940</v>
      </c>
      <c r="K113" s="218">
        <v>35000000</v>
      </c>
      <c r="L113" s="219">
        <v>0.19</v>
      </c>
      <c r="M113" s="218">
        <v>6650000</v>
      </c>
      <c r="N113" s="218">
        <v>41650000</v>
      </c>
      <c r="O113" s="203" t="s">
        <v>791</v>
      </c>
      <c r="P113" s="203" t="s">
        <v>89</v>
      </c>
      <c r="Q113" s="220">
        <v>41650000</v>
      </c>
      <c r="R113" s="220">
        <v>0</v>
      </c>
      <c r="S113" s="220">
        <v>0</v>
      </c>
      <c r="T113" s="220">
        <v>0</v>
      </c>
      <c r="U113" s="203" t="s">
        <v>1257</v>
      </c>
      <c r="V113" s="204"/>
      <c r="W113" s="207">
        <v>35000000</v>
      </c>
      <c r="X113" s="225" t="s">
        <v>1258</v>
      </c>
      <c r="Y113" s="225" t="s">
        <v>1258</v>
      </c>
      <c r="Z113" s="225" t="s">
        <v>1258</v>
      </c>
    </row>
    <row r="114" spans="1:26" ht="43" customHeight="1" x14ac:dyDescent="0.35">
      <c r="A114" s="203" t="s">
        <v>927</v>
      </c>
      <c r="B114" s="203" t="s">
        <v>1244</v>
      </c>
      <c r="C114" s="203" t="s">
        <v>1254</v>
      </c>
      <c r="D114" s="243">
        <v>80101510</v>
      </c>
      <c r="E114" s="216" t="s">
        <v>1255</v>
      </c>
      <c r="F114" s="228" t="s">
        <v>1259</v>
      </c>
      <c r="G114" s="188" t="s">
        <v>67</v>
      </c>
      <c r="H114" s="205" t="s">
        <v>67</v>
      </c>
      <c r="I114" s="217">
        <v>12</v>
      </c>
      <c r="J114" s="187" t="s">
        <v>940</v>
      </c>
      <c r="K114" s="218">
        <v>207500000</v>
      </c>
      <c r="L114" s="219">
        <v>0.19</v>
      </c>
      <c r="M114" s="218">
        <v>39425000</v>
      </c>
      <c r="N114" s="218">
        <v>246925000</v>
      </c>
      <c r="O114" s="203" t="s">
        <v>791</v>
      </c>
      <c r="P114" s="203" t="s">
        <v>89</v>
      </c>
      <c r="Q114" s="220">
        <v>246925000</v>
      </c>
      <c r="R114" s="220">
        <v>0</v>
      </c>
      <c r="S114" s="220">
        <v>0</v>
      </c>
      <c r="T114" s="220">
        <v>0</v>
      </c>
      <c r="U114" s="203" t="s">
        <v>1257</v>
      </c>
      <c r="V114" s="204" t="s">
        <v>1260</v>
      </c>
      <c r="W114" s="207">
        <v>207500000</v>
      </c>
      <c r="X114" s="225" t="s">
        <v>1258</v>
      </c>
      <c r="Y114" s="225" t="s">
        <v>1258</v>
      </c>
      <c r="Z114" s="225" t="s">
        <v>1258</v>
      </c>
    </row>
    <row r="115" spans="1:26" ht="43" customHeight="1" x14ac:dyDescent="0.35">
      <c r="A115" s="203" t="s">
        <v>927</v>
      </c>
      <c r="B115" s="203" t="s">
        <v>1244</v>
      </c>
      <c r="C115" s="203" t="s">
        <v>1254</v>
      </c>
      <c r="D115" s="243">
        <v>80101510</v>
      </c>
      <c r="E115" s="216" t="s">
        <v>1255</v>
      </c>
      <c r="F115" s="228" t="s">
        <v>1259</v>
      </c>
      <c r="G115" s="188" t="s">
        <v>67</v>
      </c>
      <c r="H115" s="205" t="s">
        <v>67</v>
      </c>
      <c r="I115" s="217">
        <v>12</v>
      </c>
      <c r="J115" s="187" t="s">
        <v>940</v>
      </c>
      <c r="K115" s="218">
        <v>129095000</v>
      </c>
      <c r="L115" s="219">
        <v>0.19</v>
      </c>
      <c r="M115" s="218">
        <v>24528050</v>
      </c>
      <c r="N115" s="218">
        <v>153623050</v>
      </c>
      <c r="O115" s="203" t="s">
        <v>791</v>
      </c>
      <c r="P115" s="203" t="s">
        <v>89</v>
      </c>
      <c r="Q115" s="220">
        <v>153623050</v>
      </c>
      <c r="R115" s="220">
        <v>0</v>
      </c>
      <c r="S115" s="220">
        <v>0</v>
      </c>
      <c r="T115" s="220">
        <v>0</v>
      </c>
      <c r="U115" s="203" t="s">
        <v>1257</v>
      </c>
      <c r="V115" s="204" t="s">
        <v>1261</v>
      </c>
      <c r="W115" s="207">
        <v>129095000</v>
      </c>
      <c r="X115" s="225" t="s">
        <v>1258</v>
      </c>
      <c r="Y115" s="225" t="s">
        <v>1258</v>
      </c>
      <c r="Z115" s="225" t="s">
        <v>1258</v>
      </c>
    </row>
    <row r="116" spans="1:26" ht="43" customHeight="1" x14ac:dyDescent="0.35">
      <c r="A116" s="203" t="s">
        <v>927</v>
      </c>
      <c r="B116" s="203" t="s">
        <v>1244</v>
      </c>
      <c r="C116" s="203" t="s">
        <v>1254</v>
      </c>
      <c r="D116" s="243">
        <v>80101510</v>
      </c>
      <c r="E116" s="216" t="s">
        <v>1255</v>
      </c>
      <c r="F116" s="228" t="s">
        <v>1259</v>
      </c>
      <c r="G116" s="188" t="s">
        <v>67</v>
      </c>
      <c r="H116" s="205" t="s">
        <v>67</v>
      </c>
      <c r="I116" s="217">
        <v>12</v>
      </c>
      <c r="J116" s="187" t="s">
        <v>940</v>
      </c>
      <c r="K116" s="218">
        <v>151386032</v>
      </c>
      <c r="L116" s="219">
        <v>0.19</v>
      </c>
      <c r="M116" s="218">
        <v>28763346.080000002</v>
      </c>
      <c r="N116" s="218">
        <v>180149378.08000001</v>
      </c>
      <c r="O116" s="203" t="s">
        <v>791</v>
      </c>
      <c r="P116" s="203" t="s">
        <v>89</v>
      </c>
      <c r="Q116" s="220">
        <v>180149378</v>
      </c>
      <c r="R116" s="220">
        <v>0</v>
      </c>
      <c r="S116" s="220">
        <v>0</v>
      </c>
      <c r="T116" s="220">
        <v>0</v>
      </c>
      <c r="U116" s="203" t="s">
        <v>1257</v>
      </c>
      <c r="V116" s="204" t="s">
        <v>1262</v>
      </c>
      <c r="W116" s="207">
        <v>151386032</v>
      </c>
      <c r="X116" s="225" t="s">
        <v>1258</v>
      </c>
      <c r="Y116" s="225" t="s">
        <v>1258</v>
      </c>
      <c r="Z116" s="225" t="s">
        <v>1258</v>
      </c>
    </row>
    <row r="117" spans="1:26" ht="43" customHeight="1" x14ac:dyDescent="0.35">
      <c r="A117" s="203" t="s">
        <v>927</v>
      </c>
      <c r="B117" s="203" t="s">
        <v>1244</v>
      </c>
      <c r="C117" s="203" t="s">
        <v>1254</v>
      </c>
      <c r="D117" s="243">
        <v>80101510</v>
      </c>
      <c r="E117" s="216" t="s">
        <v>1255</v>
      </c>
      <c r="F117" s="228" t="s">
        <v>1259</v>
      </c>
      <c r="G117" s="188" t="s">
        <v>67</v>
      </c>
      <c r="H117" s="205" t="s">
        <v>67</v>
      </c>
      <c r="I117" s="217">
        <v>12</v>
      </c>
      <c r="J117" s="187" t="s">
        <v>940</v>
      </c>
      <c r="K117" s="218">
        <v>201386032</v>
      </c>
      <c r="L117" s="219">
        <v>0.19</v>
      </c>
      <c r="M117" s="218">
        <v>38263346.079999998</v>
      </c>
      <c r="N117" s="218">
        <v>239649378.07999998</v>
      </c>
      <c r="O117" s="203" t="s">
        <v>791</v>
      </c>
      <c r="P117" s="203" t="s">
        <v>89</v>
      </c>
      <c r="Q117" s="220">
        <v>239649378</v>
      </c>
      <c r="R117" s="220">
        <v>0</v>
      </c>
      <c r="S117" s="220">
        <v>0</v>
      </c>
      <c r="T117" s="220">
        <v>0</v>
      </c>
      <c r="U117" s="203" t="s">
        <v>1257</v>
      </c>
      <c r="V117" s="204" t="s">
        <v>1263</v>
      </c>
      <c r="W117" s="207">
        <v>201386032</v>
      </c>
      <c r="X117" s="225" t="s">
        <v>1258</v>
      </c>
      <c r="Y117" s="225" t="s">
        <v>1258</v>
      </c>
      <c r="Z117" s="225" t="s">
        <v>1258</v>
      </c>
    </row>
    <row r="118" spans="1:26" ht="43" customHeight="1" x14ac:dyDescent="0.35">
      <c r="A118" s="203" t="s">
        <v>927</v>
      </c>
      <c r="B118" s="203" t="s">
        <v>1244</v>
      </c>
      <c r="C118" s="203" t="s">
        <v>1254</v>
      </c>
      <c r="D118" s="243">
        <v>80101510</v>
      </c>
      <c r="E118" s="216" t="s">
        <v>1255</v>
      </c>
      <c r="F118" s="228" t="s">
        <v>1259</v>
      </c>
      <c r="G118" s="188" t="s">
        <v>67</v>
      </c>
      <c r="H118" s="205" t="s">
        <v>67</v>
      </c>
      <c r="I118" s="217">
        <v>12</v>
      </c>
      <c r="J118" s="187" t="s">
        <v>940</v>
      </c>
      <c r="K118" s="218">
        <v>195595000</v>
      </c>
      <c r="L118" s="219">
        <v>0.19</v>
      </c>
      <c r="M118" s="218">
        <v>37163050</v>
      </c>
      <c r="N118" s="218">
        <v>232758050</v>
      </c>
      <c r="O118" s="203" t="s">
        <v>791</v>
      </c>
      <c r="P118" s="203" t="s">
        <v>89</v>
      </c>
      <c r="Q118" s="220">
        <v>232758050</v>
      </c>
      <c r="R118" s="220">
        <v>0</v>
      </c>
      <c r="S118" s="220">
        <v>0</v>
      </c>
      <c r="T118" s="220">
        <v>0</v>
      </c>
      <c r="U118" s="203" t="s">
        <v>1257</v>
      </c>
      <c r="V118" s="204" t="s">
        <v>1264</v>
      </c>
      <c r="W118" s="207">
        <v>195595000</v>
      </c>
      <c r="X118" s="225" t="s">
        <v>1258</v>
      </c>
      <c r="Y118" s="225" t="s">
        <v>1258</v>
      </c>
      <c r="Z118" s="225" t="s">
        <v>1258</v>
      </c>
    </row>
    <row r="119" spans="1:26" ht="43" customHeight="1" x14ac:dyDescent="0.35">
      <c r="A119" s="203" t="s">
        <v>927</v>
      </c>
      <c r="B119" s="203" t="s">
        <v>1244</v>
      </c>
      <c r="C119" s="203" t="s">
        <v>1254</v>
      </c>
      <c r="D119" s="243">
        <v>80101510</v>
      </c>
      <c r="E119" s="216" t="s">
        <v>1255</v>
      </c>
      <c r="F119" s="228" t="s">
        <v>1259</v>
      </c>
      <c r="G119" s="188" t="s">
        <v>67</v>
      </c>
      <c r="H119" s="205" t="s">
        <v>67</v>
      </c>
      <c r="I119" s="217">
        <v>12</v>
      </c>
      <c r="J119" s="187" t="s">
        <v>940</v>
      </c>
      <c r="K119" s="218">
        <v>226550790</v>
      </c>
      <c r="L119" s="219">
        <v>0.19</v>
      </c>
      <c r="M119" s="218">
        <v>43044650.100000001</v>
      </c>
      <c r="N119" s="218">
        <v>269595440.10000002</v>
      </c>
      <c r="O119" s="203" t="s">
        <v>791</v>
      </c>
      <c r="P119" s="203" t="s">
        <v>89</v>
      </c>
      <c r="Q119" s="220">
        <v>269595440</v>
      </c>
      <c r="R119" s="220">
        <v>0</v>
      </c>
      <c r="S119" s="220">
        <v>0</v>
      </c>
      <c r="T119" s="220">
        <v>0</v>
      </c>
      <c r="U119" s="203" t="s">
        <v>1257</v>
      </c>
      <c r="V119" s="204" t="s">
        <v>1265</v>
      </c>
      <c r="W119" s="207">
        <v>226550790</v>
      </c>
      <c r="X119" s="225" t="s">
        <v>1258</v>
      </c>
      <c r="Y119" s="225" t="s">
        <v>1258</v>
      </c>
      <c r="Z119" s="225" t="s">
        <v>1258</v>
      </c>
    </row>
    <row r="120" spans="1:26" ht="43" customHeight="1" x14ac:dyDescent="0.35">
      <c r="A120" s="203" t="s">
        <v>927</v>
      </c>
      <c r="B120" s="203" t="s">
        <v>1244</v>
      </c>
      <c r="C120" s="203" t="s">
        <v>1254</v>
      </c>
      <c r="D120" s="243">
        <v>80101510</v>
      </c>
      <c r="E120" s="216" t="s">
        <v>1255</v>
      </c>
      <c r="F120" s="228" t="s">
        <v>1259</v>
      </c>
      <c r="G120" s="188" t="s">
        <v>67</v>
      </c>
      <c r="H120" s="205" t="s">
        <v>67</v>
      </c>
      <c r="I120" s="217">
        <v>12</v>
      </c>
      <c r="J120" s="187" t="s">
        <v>940</v>
      </c>
      <c r="K120" s="218">
        <v>25000000</v>
      </c>
      <c r="L120" s="219">
        <v>0.19</v>
      </c>
      <c r="M120" s="218">
        <v>4750000</v>
      </c>
      <c r="N120" s="218">
        <v>29750000</v>
      </c>
      <c r="O120" s="203" t="s">
        <v>791</v>
      </c>
      <c r="P120" s="203" t="s">
        <v>89</v>
      </c>
      <c r="Q120" s="220">
        <v>29750000</v>
      </c>
      <c r="R120" s="220">
        <v>0</v>
      </c>
      <c r="S120" s="220">
        <v>0</v>
      </c>
      <c r="T120" s="220">
        <v>0</v>
      </c>
      <c r="U120" s="203" t="s">
        <v>1257</v>
      </c>
      <c r="V120" s="204"/>
      <c r="W120" s="207">
        <v>25000000</v>
      </c>
      <c r="X120" s="225" t="s">
        <v>1258</v>
      </c>
      <c r="Y120" s="225" t="s">
        <v>1258</v>
      </c>
      <c r="Z120" s="225" t="s">
        <v>1258</v>
      </c>
    </row>
    <row r="121" spans="1:26" ht="43" customHeight="1" x14ac:dyDescent="0.35">
      <c r="A121" s="203" t="s">
        <v>927</v>
      </c>
      <c r="B121" s="203" t="s">
        <v>1244</v>
      </c>
      <c r="C121" s="203" t="s">
        <v>1254</v>
      </c>
      <c r="D121" s="243">
        <v>80101510</v>
      </c>
      <c r="E121" s="216" t="s">
        <v>1255</v>
      </c>
      <c r="F121" s="228" t="s">
        <v>723</v>
      </c>
      <c r="G121" s="188" t="s">
        <v>67</v>
      </c>
      <c r="H121" s="205" t="s">
        <v>67</v>
      </c>
      <c r="I121" s="217">
        <v>12</v>
      </c>
      <c r="J121" s="187" t="s">
        <v>940</v>
      </c>
      <c r="K121" s="218">
        <v>15000000</v>
      </c>
      <c r="L121" s="219">
        <v>0.19</v>
      </c>
      <c r="M121" s="218">
        <v>2850000</v>
      </c>
      <c r="N121" s="218">
        <v>17850000</v>
      </c>
      <c r="O121" s="203" t="s">
        <v>791</v>
      </c>
      <c r="P121" s="203" t="s">
        <v>89</v>
      </c>
      <c r="Q121" s="220">
        <v>17850000</v>
      </c>
      <c r="R121" s="220">
        <v>0</v>
      </c>
      <c r="S121" s="220">
        <v>0</v>
      </c>
      <c r="T121" s="220">
        <v>0</v>
      </c>
      <c r="U121" s="203" t="s">
        <v>1257</v>
      </c>
      <c r="V121" s="204"/>
      <c r="W121" s="207">
        <v>15000000</v>
      </c>
      <c r="X121" s="225" t="s">
        <v>1258</v>
      </c>
      <c r="Y121" s="225" t="s">
        <v>1258</v>
      </c>
      <c r="Z121" s="225" t="s">
        <v>1258</v>
      </c>
    </row>
    <row r="122" spans="1:26" ht="43" customHeight="1" x14ac:dyDescent="0.35">
      <c r="A122" s="203" t="s">
        <v>927</v>
      </c>
      <c r="B122" s="203" t="s">
        <v>1244</v>
      </c>
      <c r="C122" s="203" t="s">
        <v>1254</v>
      </c>
      <c r="D122" s="243">
        <v>80101510</v>
      </c>
      <c r="E122" s="216" t="s">
        <v>1255</v>
      </c>
      <c r="F122" s="228" t="s">
        <v>1266</v>
      </c>
      <c r="G122" s="188" t="s">
        <v>67</v>
      </c>
      <c r="H122" s="205" t="s">
        <v>67</v>
      </c>
      <c r="I122" s="217">
        <v>12</v>
      </c>
      <c r="J122" s="187" t="s">
        <v>940</v>
      </c>
      <c r="K122" s="218">
        <v>35000000</v>
      </c>
      <c r="L122" s="219">
        <v>0.19</v>
      </c>
      <c r="M122" s="218">
        <v>6650000</v>
      </c>
      <c r="N122" s="218">
        <v>41650000</v>
      </c>
      <c r="O122" s="203" t="s">
        <v>791</v>
      </c>
      <c r="P122" s="203" t="s">
        <v>89</v>
      </c>
      <c r="Q122" s="220">
        <v>41650000</v>
      </c>
      <c r="R122" s="220">
        <v>0</v>
      </c>
      <c r="S122" s="220">
        <v>0</v>
      </c>
      <c r="T122" s="220">
        <v>0</v>
      </c>
      <c r="U122" s="203" t="s">
        <v>1257</v>
      </c>
      <c r="V122" s="204"/>
      <c r="W122" s="207">
        <v>35000000</v>
      </c>
      <c r="X122" s="225" t="s">
        <v>1258</v>
      </c>
      <c r="Y122" s="225" t="s">
        <v>1258</v>
      </c>
      <c r="Z122" s="225" t="s">
        <v>1258</v>
      </c>
    </row>
    <row r="123" spans="1:26" ht="43" customHeight="1" x14ac:dyDescent="0.35">
      <c r="A123" s="203" t="s">
        <v>927</v>
      </c>
      <c r="B123" s="203" t="s">
        <v>1244</v>
      </c>
      <c r="C123" s="203" t="s">
        <v>1254</v>
      </c>
      <c r="D123" s="243">
        <v>80101510</v>
      </c>
      <c r="E123" s="216" t="s">
        <v>1255</v>
      </c>
      <c r="F123" s="228" t="s">
        <v>1267</v>
      </c>
      <c r="G123" s="188" t="s">
        <v>67</v>
      </c>
      <c r="H123" s="205" t="s">
        <v>67</v>
      </c>
      <c r="I123" s="217">
        <v>12</v>
      </c>
      <c r="J123" s="187" t="s">
        <v>940</v>
      </c>
      <c r="K123" s="218">
        <v>40000000</v>
      </c>
      <c r="L123" s="219">
        <v>0.19</v>
      </c>
      <c r="M123" s="218">
        <v>7600000</v>
      </c>
      <c r="N123" s="218">
        <v>47600000</v>
      </c>
      <c r="O123" s="203" t="s">
        <v>791</v>
      </c>
      <c r="P123" s="203" t="s">
        <v>89</v>
      </c>
      <c r="Q123" s="220">
        <v>47600000</v>
      </c>
      <c r="R123" s="220">
        <v>0</v>
      </c>
      <c r="S123" s="220">
        <v>0</v>
      </c>
      <c r="T123" s="220">
        <v>0</v>
      </c>
      <c r="U123" s="203" t="s">
        <v>1257</v>
      </c>
      <c r="V123" s="204"/>
      <c r="W123" s="207">
        <v>40000000</v>
      </c>
      <c r="X123" s="225" t="s">
        <v>1258</v>
      </c>
      <c r="Y123" s="225" t="s">
        <v>1258</v>
      </c>
      <c r="Z123" s="225" t="s">
        <v>1258</v>
      </c>
    </row>
    <row r="124" spans="1:26" ht="43" customHeight="1" x14ac:dyDescent="0.35">
      <c r="A124" s="203" t="s">
        <v>927</v>
      </c>
      <c r="B124" s="203" t="s">
        <v>1244</v>
      </c>
      <c r="C124" s="203" t="s">
        <v>1268</v>
      </c>
      <c r="D124" s="243">
        <v>80161506</v>
      </c>
      <c r="E124" s="216" t="s">
        <v>1269</v>
      </c>
      <c r="F124" s="228" t="s">
        <v>1270</v>
      </c>
      <c r="G124" s="188" t="s">
        <v>75</v>
      </c>
      <c r="H124" s="205" t="s">
        <v>76</v>
      </c>
      <c r="I124" s="217">
        <v>24</v>
      </c>
      <c r="J124" s="187" t="s">
        <v>940</v>
      </c>
      <c r="K124" s="218">
        <v>88000000</v>
      </c>
      <c r="L124" s="219">
        <v>0.19</v>
      </c>
      <c r="M124" s="218">
        <v>16720000</v>
      </c>
      <c r="N124" s="218">
        <v>104720000</v>
      </c>
      <c r="O124" s="203" t="s">
        <v>794</v>
      </c>
      <c r="P124" s="203" t="s">
        <v>89</v>
      </c>
      <c r="Q124" s="220">
        <v>51060000</v>
      </c>
      <c r="R124" s="220">
        <v>52360000</v>
      </c>
      <c r="S124" s="220">
        <v>52360000</v>
      </c>
      <c r="T124" s="220">
        <v>0</v>
      </c>
      <c r="U124" s="203" t="s">
        <v>1271</v>
      </c>
      <c r="V124" s="204" t="s">
        <v>1272</v>
      </c>
      <c r="W124" s="207">
        <v>42907563</v>
      </c>
      <c r="X124" s="225" t="s">
        <v>1273</v>
      </c>
      <c r="Y124" s="225" t="s">
        <v>1273</v>
      </c>
      <c r="Z124" s="225" t="s">
        <v>1273</v>
      </c>
    </row>
    <row r="125" spans="1:26" ht="43" customHeight="1" x14ac:dyDescent="0.35">
      <c r="A125" s="203" t="s">
        <v>927</v>
      </c>
      <c r="B125" s="203" t="s">
        <v>1244</v>
      </c>
      <c r="C125" s="203" t="s">
        <v>1274</v>
      </c>
      <c r="D125" s="243">
        <v>43232300</v>
      </c>
      <c r="E125" s="216" t="s">
        <v>1239</v>
      </c>
      <c r="F125" s="228" t="s">
        <v>1275</v>
      </c>
      <c r="G125" s="188" t="s">
        <v>77</v>
      </c>
      <c r="H125" s="205" t="s">
        <v>77</v>
      </c>
      <c r="I125" s="217">
        <v>12</v>
      </c>
      <c r="J125" s="187" t="s">
        <v>940</v>
      </c>
      <c r="K125" s="218">
        <v>60108200</v>
      </c>
      <c r="L125" s="219">
        <v>0.19</v>
      </c>
      <c r="M125" s="218">
        <v>11420558</v>
      </c>
      <c r="N125" s="218">
        <v>71528758</v>
      </c>
      <c r="O125" s="203" t="s">
        <v>791</v>
      </c>
      <c r="P125" s="203" t="s">
        <v>89</v>
      </c>
      <c r="Q125" s="220">
        <v>71528758</v>
      </c>
      <c r="R125" s="220">
        <v>71528758</v>
      </c>
      <c r="S125" s="220">
        <v>0</v>
      </c>
      <c r="T125" s="220">
        <v>0</v>
      </c>
      <c r="U125" s="203" t="s">
        <v>1276</v>
      </c>
      <c r="V125" s="204"/>
      <c r="W125" s="207">
        <v>52268000</v>
      </c>
      <c r="X125" s="225" t="s">
        <v>1277</v>
      </c>
      <c r="Y125" s="225" t="s">
        <v>1277</v>
      </c>
      <c r="Z125" s="225" t="s">
        <v>1278</v>
      </c>
    </row>
    <row r="126" spans="1:26" ht="43" customHeight="1" x14ac:dyDescent="0.35">
      <c r="A126" s="203" t="s">
        <v>927</v>
      </c>
      <c r="B126" s="203" t="s">
        <v>1244</v>
      </c>
      <c r="C126" s="203" t="s">
        <v>1274</v>
      </c>
      <c r="D126" s="243">
        <v>78111808</v>
      </c>
      <c r="E126" s="216" t="s">
        <v>1279</v>
      </c>
      <c r="F126" s="228" t="s">
        <v>1280</v>
      </c>
      <c r="G126" s="188" t="s">
        <v>71</v>
      </c>
      <c r="H126" s="205" t="s">
        <v>74</v>
      </c>
      <c r="I126" s="217">
        <v>24</v>
      </c>
      <c r="J126" s="187" t="s">
        <v>931</v>
      </c>
      <c r="K126" s="218">
        <v>1854066542</v>
      </c>
      <c r="L126" s="219">
        <v>0.19</v>
      </c>
      <c r="M126" s="218">
        <v>352272642.98000002</v>
      </c>
      <c r="N126" s="218">
        <v>2206339184.98</v>
      </c>
      <c r="O126" s="203" t="s">
        <v>794</v>
      </c>
      <c r="P126" s="203" t="s">
        <v>932</v>
      </c>
      <c r="Q126" s="220">
        <v>176507135</v>
      </c>
      <c r="R126" s="220">
        <v>1059042809</v>
      </c>
      <c r="S126" s="220">
        <v>970789242</v>
      </c>
      <c r="T126" s="220">
        <v>0</v>
      </c>
      <c r="U126" s="203" t="s">
        <v>1276</v>
      </c>
      <c r="V126" s="204" t="s">
        <v>790</v>
      </c>
      <c r="W126" s="207">
        <v>148325323</v>
      </c>
      <c r="X126" s="225" t="s">
        <v>1281</v>
      </c>
      <c r="Y126" s="225" t="s">
        <v>1281</v>
      </c>
      <c r="Z126" s="225" t="s">
        <v>1282</v>
      </c>
    </row>
    <row r="127" spans="1:26" ht="43" customHeight="1" x14ac:dyDescent="0.35">
      <c r="A127" s="203" t="s">
        <v>927</v>
      </c>
      <c r="B127" s="203" t="s">
        <v>1244</v>
      </c>
      <c r="C127" s="203" t="s">
        <v>1274</v>
      </c>
      <c r="D127" s="243">
        <v>78181505</v>
      </c>
      <c r="E127" s="216" t="s">
        <v>1283</v>
      </c>
      <c r="F127" s="228" t="s">
        <v>1284</v>
      </c>
      <c r="G127" s="188" t="s">
        <v>75</v>
      </c>
      <c r="H127" s="205" t="s">
        <v>77</v>
      </c>
      <c r="I127" s="217">
        <v>24</v>
      </c>
      <c r="J127" s="187" t="s">
        <v>931</v>
      </c>
      <c r="K127" s="218">
        <v>1839819605</v>
      </c>
      <c r="L127" s="219">
        <v>0.19</v>
      </c>
      <c r="M127" s="218">
        <v>349565724.94999999</v>
      </c>
      <c r="N127" s="218">
        <v>2189385329.9499998</v>
      </c>
      <c r="O127" s="203" t="s">
        <v>794</v>
      </c>
      <c r="P127" s="203" t="s">
        <v>932</v>
      </c>
      <c r="Q127" s="220">
        <v>0</v>
      </c>
      <c r="R127" s="220">
        <v>904704682</v>
      </c>
      <c r="S127" s="220">
        <v>1085645618</v>
      </c>
      <c r="T127" s="220">
        <v>199035030</v>
      </c>
      <c r="U127" s="203" t="s">
        <v>1276</v>
      </c>
      <c r="V127" s="204" t="s">
        <v>1285</v>
      </c>
      <c r="W127" s="207"/>
      <c r="X127" s="225" t="s">
        <v>1281</v>
      </c>
      <c r="Y127" s="225" t="s">
        <v>1281</v>
      </c>
      <c r="Z127" s="225" t="s">
        <v>1286</v>
      </c>
    </row>
    <row r="128" spans="1:26" ht="43" customHeight="1" x14ac:dyDescent="0.35">
      <c r="A128" s="203" t="s">
        <v>927</v>
      </c>
      <c r="B128" s="203" t="s">
        <v>1244</v>
      </c>
      <c r="C128" s="203" t="s">
        <v>1287</v>
      </c>
      <c r="D128" s="243">
        <v>81112218</v>
      </c>
      <c r="E128" s="216" t="s">
        <v>1288</v>
      </c>
      <c r="F128" s="228" t="s">
        <v>724</v>
      </c>
      <c r="G128" s="188" t="s">
        <v>73</v>
      </c>
      <c r="H128" s="205" t="s">
        <v>73</v>
      </c>
      <c r="I128" s="217">
        <v>36</v>
      </c>
      <c r="J128" s="187" t="s">
        <v>940</v>
      </c>
      <c r="K128" s="218">
        <v>2191320000</v>
      </c>
      <c r="L128" s="219">
        <v>0</v>
      </c>
      <c r="M128" s="218">
        <v>0</v>
      </c>
      <c r="N128" s="218">
        <v>2191320000</v>
      </c>
      <c r="O128" s="203" t="s">
        <v>794</v>
      </c>
      <c r="P128" s="203" t="s">
        <v>995</v>
      </c>
      <c r="Q128" s="220">
        <v>729000000</v>
      </c>
      <c r="R128" s="220">
        <v>787320000</v>
      </c>
      <c r="S128" s="220">
        <v>0</v>
      </c>
      <c r="T128" s="220">
        <v>0</v>
      </c>
      <c r="U128" s="203" t="s">
        <v>1289</v>
      </c>
      <c r="V128" s="204"/>
      <c r="W128" s="207">
        <v>729000000</v>
      </c>
      <c r="X128" s="225" t="s">
        <v>1290</v>
      </c>
      <c r="Y128" s="225" t="s">
        <v>724</v>
      </c>
      <c r="Z128" s="225" t="s">
        <v>1291</v>
      </c>
    </row>
    <row r="129" spans="1:26" ht="43" customHeight="1" x14ac:dyDescent="0.35">
      <c r="A129" s="203" t="s">
        <v>927</v>
      </c>
      <c r="B129" s="203" t="s">
        <v>1244</v>
      </c>
      <c r="C129" s="203" t="s">
        <v>1287</v>
      </c>
      <c r="D129" s="243">
        <v>43231511</v>
      </c>
      <c r="E129" s="216" t="s">
        <v>1292</v>
      </c>
      <c r="F129" s="228" t="s">
        <v>1293</v>
      </c>
      <c r="G129" s="188" t="s">
        <v>71</v>
      </c>
      <c r="H129" s="205" t="s">
        <v>71</v>
      </c>
      <c r="I129" s="217">
        <v>12</v>
      </c>
      <c r="J129" s="187" t="s">
        <v>940</v>
      </c>
      <c r="K129" s="218">
        <v>450000000</v>
      </c>
      <c r="L129" s="219">
        <v>0</v>
      </c>
      <c r="M129" s="218">
        <v>0</v>
      </c>
      <c r="N129" s="218">
        <v>450000000</v>
      </c>
      <c r="O129" s="203" t="s">
        <v>791</v>
      </c>
      <c r="P129" s="203" t="s">
        <v>89</v>
      </c>
      <c r="Q129" s="220">
        <v>450000000</v>
      </c>
      <c r="R129" s="220">
        <v>0</v>
      </c>
      <c r="S129" s="220">
        <v>0</v>
      </c>
      <c r="T129" s="220">
        <v>0</v>
      </c>
      <c r="U129" s="203" t="s">
        <v>1294</v>
      </c>
      <c r="V129" s="204"/>
      <c r="W129" s="207">
        <v>450000000</v>
      </c>
      <c r="X129" s="225" t="s">
        <v>941</v>
      </c>
      <c r="Y129" s="225" t="s">
        <v>941</v>
      </c>
      <c r="Z129" s="225" t="s">
        <v>1295</v>
      </c>
    </row>
    <row r="130" spans="1:26" ht="43" customHeight="1" x14ac:dyDescent="0.35">
      <c r="A130" s="203" t="s">
        <v>927</v>
      </c>
      <c r="B130" s="203" t="s">
        <v>1244</v>
      </c>
      <c r="C130" s="203" t="s">
        <v>1287</v>
      </c>
      <c r="D130" s="243">
        <v>84131701</v>
      </c>
      <c r="E130" s="216" t="s">
        <v>1296</v>
      </c>
      <c r="F130" s="228" t="s">
        <v>1297</v>
      </c>
      <c r="G130" s="188" t="s">
        <v>72</v>
      </c>
      <c r="H130" s="205" t="s">
        <v>72</v>
      </c>
      <c r="I130" s="217">
        <v>6</v>
      </c>
      <c r="J130" s="187" t="s">
        <v>940</v>
      </c>
      <c r="K130" s="218">
        <v>35285880</v>
      </c>
      <c r="L130" s="219">
        <v>0.19</v>
      </c>
      <c r="M130" s="218">
        <v>6704317.2000000002</v>
      </c>
      <c r="N130" s="218">
        <v>41990197.200000003</v>
      </c>
      <c r="O130" s="203" t="s">
        <v>791</v>
      </c>
      <c r="P130" s="203" t="s">
        <v>89</v>
      </c>
      <c r="Q130" s="220">
        <v>41990197</v>
      </c>
      <c r="R130" s="220">
        <v>0</v>
      </c>
      <c r="S130" s="220">
        <v>0</v>
      </c>
      <c r="T130" s="220">
        <v>0</v>
      </c>
      <c r="U130" s="203" t="s">
        <v>1298</v>
      </c>
      <c r="V130" s="204"/>
      <c r="W130" s="207">
        <v>35285880</v>
      </c>
      <c r="X130" s="225" t="s">
        <v>941</v>
      </c>
      <c r="Y130" s="225" t="s">
        <v>941</v>
      </c>
      <c r="Z130" s="225" t="s">
        <v>1299</v>
      </c>
    </row>
    <row r="131" spans="1:26" ht="43" customHeight="1" x14ac:dyDescent="0.35">
      <c r="A131" s="203" t="s">
        <v>927</v>
      </c>
      <c r="B131" s="203" t="s">
        <v>1244</v>
      </c>
      <c r="C131" s="203" t="s">
        <v>1287</v>
      </c>
      <c r="D131" s="243">
        <v>81112218</v>
      </c>
      <c r="E131" s="216" t="s">
        <v>1288</v>
      </c>
      <c r="F131" s="228" t="s">
        <v>724</v>
      </c>
      <c r="G131" s="188" t="s">
        <v>68</v>
      </c>
      <c r="H131" s="205" t="s">
        <v>68</v>
      </c>
      <c r="I131" s="217">
        <v>12</v>
      </c>
      <c r="J131" s="187" t="s">
        <v>940</v>
      </c>
      <c r="K131" s="218">
        <v>43598016</v>
      </c>
      <c r="L131" s="219">
        <v>0</v>
      </c>
      <c r="M131" s="218">
        <v>0</v>
      </c>
      <c r="N131" s="218">
        <v>43598016</v>
      </c>
      <c r="O131" s="203" t="s">
        <v>791</v>
      </c>
      <c r="P131" s="203" t="s">
        <v>89</v>
      </c>
      <c r="Q131" s="220">
        <v>43598016</v>
      </c>
      <c r="R131" s="220">
        <v>0</v>
      </c>
      <c r="S131" s="220">
        <v>0</v>
      </c>
      <c r="T131" s="220">
        <v>0</v>
      </c>
      <c r="U131" s="203" t="s">
        <v>1298</v>
      </c>
      <c r="V131" s="204"/>
      <c r="W131" s="207">
        <v>43598016</v>
      </c>
      <c r="X131" s="225" t="s">
        <v>1027</v>
      </c>
      <c r="Y131" s="225" t="s">
        <v>1028</v>
      </c>
      <c r="Z131" s="225" t="s">
        <v>1300</v>
      </c>
    </row>
    <row r="132" spans="1:26" ht="43" customHeight="1" x14ac:dyDescent="0.35">
      <c r="A132" s="203" t="s">
        <v>927</v>
      </c>
      <c r="B132" s="203" t="s">
        <v>1244</v>
      </c>
      <c r="C132" s="203" t="s">
        <v>1287</v>
      </c>
      <c r="D132" s="243">
        <v>81112218</v>
      </c>
      <c r="E132" s="216" t="s">
        <v>1292</v>
      </c>
      <c r="F132" s="228" t="s">
        <v>724</v>
      </c>
      <c r="G132" s="188" t="s">
        <v>76</v>
      </c>
      <c r="H132" s="205" t="s">
        <v>76</v>
      </c>
      <c r="I132" s="217">
        <v>12</v>
      </c>
      <c r="J132" s="187" t="s">
        <v>940</v>
      </c>
      <c r="K132" s="218">
        <v>351874848</v>
      </c>
      <c r="L132" s="219">
        <v>0</v>
      </c>
      <c r="M132" s="218">
        <v>0</v>
      </c>
      <c r="N132" s="218">
        <v>351874848</v>
      </c>
      <c r="O132" s="203" t="s">
        <v>791</v>
      </c>
      <c r="P132" s="203" t="s">
        <v>89</v>
      </c>
      <c r="Q132" s="220">
        <v>351874848</v>
      </c>
      <c r="R132" s="220">
        <v>0</v>
      </c>
      <c r="S132" s="220">
        <v>0</v>
      </c>
      <c r="T132" s="220">
        <v>0</v>
      </c>
      <c r="U132" s="203" t="s">
        <v>1294</v>
      </c>
      <c r="V132" s="204"/>
      <c r="W132" s="207">
        <v>351874848</v>
      </c>
      <c r="X132" s="225" t="s">
        <v>1027</v>
      </c>
      <c r="Y132" s="225" t="s">
        <v>1028</v>
      </c>
      <c r="Z132" s="225" t="s">
        <v>1301</v>
      </c>
    </row>
    <row r="133" spans="1:26" ht="43" customHeight="1" x14ac:dyDescent="0.35">
      <c r="A133" s="203" t="s">
        <v>927</v>
      </c>
      <c r="B133" s="203" t="s">
        <v>1244</v>
      </c>
      <c r="C133" s="203" t="s">
        <v>1287</v>
      </c>
      <c r="D133" s="243">
        <v>43231511</v>
      </c>
      <c r="E133" s="216" t="s">
        <v>1292</v>
      </c>
      <c r="F133" s="228" t="s">
        <v>1302</v>
      </c>
      <c r="G133" s="188" t="s">
        <v>75</v>
      </c>
      <c r="H133" s="205" t="s">
        <v>75</v>
      </c>
      <c r="I133" s="217">
        <v>12</v>
      </c>
      <c r="J133" s="187" t="s">
        <v>940</v>
      </c>
      <c r="K133" s="218">
        <v>200000000</v>
      </c>
      <c r="L133" s="219">
        <v>0</v>
      </c>
      <c r="M133" s="218">
        <v>0</v>
      </c>
      <c r="N133" s="218">
        <v>200000000</v>
      </c>
      <c r="O133" s="203" t="s">
        <v>791</v>
      </c>
      <c r="P133" s="203" t="s">
        <v>89</v>
      </c>
      <c r="Q133" s="220">
        <v>200000000</v>
      </c>
      <c r="R133" s="220">
        <v>0</v>
      </c>
      <c r="S133" s="220">
        <v>0</v>
      </c>
      <c r="T133" s="220">
        <v>0</v>
      </c>
      <c r="U133" s="203" t="s">
        <v>1294</v>
      </c>
      <c r="V133" s="204" t="s">
        <v>1303</v>
      </c>
      <c r="W133" s="207">
        <v>200000000</v>
      </c>
      <c r="X133" s="225" t="s">
        <v>941</v>
      </c>
      <c r="Y133" s="225" t="s">
        <v>941</v>
      </c>
      <c r="Z133" s="225" t="s">
        <v>1304</v>
      </c>
    </row>
    <row r="134" spans="1:26" ht="43" customHeight="1" x14ac:dyDescent="0.35">
      <c r="A134" s="203" t="s">
        <v>927</v>
      </c>
      <c r="B134" s="203" t="s">
        <v>1244</v>
      </c>
      <c r="C134" s="203" t="s">
        <v>1305</v>
      </c>
      <c r="D134" s="243">
        <v>70141803</v>
      </c>
      <c r="E134" s="216" t="s">
        <v>1306</v>
      </c>
      <c r="F134" s="228" t="s">
        <v>724</v>
      </c>
      <c r="G134" s="188" t="s">
        <v>67</v>
      </c>
      <c r="H134" s="205" t="s">
        <v>67</v>
      </c>
      <c r="I134" s="217">
        <v>12</v>
      </c>
      <c r="J134" s="187" t="s">
        <v>940</v>
      </c>
      <c r="K134" s="218">
        <v>60000000</v>
      </c>
      <c r="L134" s="219">
        <v>0.19</v>
      </c>
      <c r="M134" s="218">
        <v>11400000</v>
      </c>
      <c r="N134" s="218">
        <v>71400000</v>
      </c>
      <c r="O134" s="203" t="s">
        <v>791</v>
      </c>
      <c r="P134" s="203" t="s">
        <v>89</v>
      </c>
      <c r="Q134" s="220">
        <v>71400000</v>
      </c>
      <c r="R134" s="220">
        <v>0</v>
      </c>
      <c r="S134" s="220">
        <v>0</v>
      </c>
      <c r="T134" s="220">
        <v>0</v>
      </c>
      <c r="U134" s="203" t="s">
        <v>1307</v>
      </c>
      <c r="V134" s="204"/>
      <c r="W134" s="207">
        <v>60000000</v>
      </c>
      <c r="X134" s="225" t="s">
        <v>1290</v>
      </c>
      <c r="Y134" s="225" t="s">
        <v>724</v>
      </c>
      <c r="Z134" s="225" t="s">
        <v>1308</v>
      </c>
    </row>
    <row r="135" spans="1:26" ht="43" customHeight="1" x14ac:dyDescent="0.35">
      <c r="A135" s="203" t="s">
        <v>927</v>
      </c>
      <c r="B135" s="203" t="s">
        <v>1244</v>
      </c>
      <c r="C135" s="203" t="s">
        <v>1309</v>
      </c>
      <c r="D135" s="243">
        <v>81112001</v>
      </c>
      <c r="E135" s="216" t="s">
        <v>1217</v>
      </c>
      <c r="F135" s="228" t="s">
        <v>1310</v>
      </c>
      <c r="G135" s="188" t="s">
        <v>67</v>
      </c>
      <c r="H135" s="205" t="s">
        <v>68</v>
      </c>
      <c r="I135" s="217">
        <v>12</v>
      </c>
      <c r="J135" s="187" t="s">
        <v>931</v>
      </c>
      <c r="K135" s="218">
        <v>2565135216</v>
      </c>
      <c r="L135" s="219">
        <v>0.19</v>
      </c>
      <c r="M135" s="218">
        <v>487375691.04000002</v>
      </c>
      <c r="N135" s="218">
        <v>3052510907.04</v>
      </c>
      <c r="O135" s="203" t="s">
        <v>791</v>
      </c>
      <c r="P135" s="203" t="s">
        <v>89</v>
      </c>
      <c r="Q135" s="220">
        <v>3052510907</v>
      </c>
      <c r="R135" s="220">
        <v>0</v>
      </c>
      <c r="S135" s="220">
        <v>0</v>
      </c>
      <c r="T135" s="220">
        <v>0</v>
      </c>
      <c r="U135" s="203" t="s">
        <v>1311</v>
      </c>
      <c r="V135" s="204" t="s">
        <v>1312</v>
      </c>
      <c r="W135" s="207">
        <v>2565135216</v>
      </c>
      <c r="X135" s="225" t="s">
        <v>1313</v>
      </c>
      <c r="Y135" s="225" t="s">
        <v>1314</v>
      </c>
      <c r="Z135" s="225" t="s">
        <v>1315</v>
      </c>
    </row>
    <row r="136" spans="1:26" ht="43" customHeight="1" x14ac:dyDescent="0.35">
      <c r="A136" s="203" t="s">
        <v>927</v>
      </c>
      <c r="B136" s="203" t="s">
        <v>1316</v>
      </c>
      <c r="C136" s="203" t="s">
        <v>1317</v>
      </c>
      <c r="D136" s="243">
        <v>84101501</v>
      </c>
      <c r="E136" s="216" t="s">
        <v>1318</v>
      </c>
      <c r="F136" s="228" t="s">
        <v>701</v>
      </c>
      <c r="G136" s="188" t="s">
        <v>73</v>
      </c>
      <c r="H136" s="205" t="s">
        <v>74</v>
      </c>
      <c r="I136" s="217">
        <v>5</v>
      </c>
      <c r="J136" s="187" t="s">
        <v>940</v>
      </c>
      <c r="K136" s="218">
        <v>55000000</v>
      </c>
      <c r="L136" s="219">
        <v>0.19</v>
      </c>
      <c r="M136" s="218">
        <v>10450000</v>
      </c>
      <c r="N136" s="218">
        <v>65450000</v>
      </c>
      <c r="O136" s="203" t="s">
        <v>791</v>
      </c>
      <c r="P136" s="203" t="s">
        <v>89</v>
      </c>
      <c r="Q136" s="220">
        <v>65450000</v>
      </c>
      <c r="R136" s="220">
        <v>0</v>
      </c>
      <c r="S136" s="220">
        <v>0</v>
      </c>
      <c r="T136" s="220">
        <v>0</v>
      </c>
      <c r="U136" s="203" t="s">
        <v>1319</v>
      </c>
      <c r="V136" s="204" t="s">
        <v>792</v>
      </c>
      <c r="W136" s="207">
        <v>55000000</v>
      </c>
      <c r="X136" s="225" t="s">
        <v>1320</v>
      </c>
      <c r="Y136" s="225" t="s">
        <v>1320</v>
      </c>
      <c r="Z136" s="225" t="s">
        <v>1321</v>
      </c>
    </row>
    <row r="137" spans="1:26" ht="43" customHeight="1" x14ac:dyDescent="0.35">
      <c r="A137" s="203" t="s">
        <v>927</v>
      </c>
      <c r="B137" s="203" t="s">
        <v>1316</v>
      </c>
      <c r="C137" s="203" t="s">
        <v>1317</v>
      </c>
      <c r="D137" s="243">
        <v>81112200</v>
      </c>
      <c r="E137" s="216" t="s">
        <v>1322</v>
      </c>
      <c r="F137" s="228" t="s">
        <v>1323</v>
      </c>
      <c r="G137" s="188" t="s">
        <v>69</v>
      </c>
      <c r="H137" s="205" t="s">
        <v>70</v>
      </c>
      <c r="I137" s="217">
        <v>24</v>
      </c>
      <c r="J137" s="187" t="s">
        <v>940</v>
      </c>
      <c r="K137" s="218">
        <v>592435061.73798466</v>
      </c>
      <c r="L137" s="219">
        <v>0.19</v>
      </c>
      <c r="M137" s="218">
        <v>112562661.73021708</v>
      </c>
      <c r="N137" s="218">
        <v>704997723.46820176</v>
      </c>
      <c r="O137" s="203" t="s">
        <v>794</v>
      </c>
      <c r="P137" s="203" t="s">
        <v>932</v>
      </c>
      <c r="Q137" s="220">
        <v>276478254</v>
      </c>
      <c r="R137" s="220">
        <v>385447328.17543691</v>
      </c>
      <c r="S137" s="220">
        <v>43072141.004654996</v>
      </c>
      <c r="T137" s="220">
        <v>0</v>
      </c>
      <c r="U137" s="203" t="s">
        <v>1319</v>
      </c>
      <c r="V137" s="204" t="s">
        <v>1324</v>
      </c>
      <c r="W137" s="207">
        <v>232334667</v>
      </c>
      <c r="X137" s="225" t="s">
        <v>1325</v>
      </c>
      <c r="Y137" s="225" t="s">
        <v>1326</v>
      </c>
      <c r="Z137" s="225" t="s">
        <v>1327</v>
      </c>
    </row>
    <row r="138" spans="1:26" ht="43" customHeight="1" x14ac:dyDescent="0.35">
      <c r="A138" s="203" t="s">
        <v>927</v>
      </c>
      <c r="B138" s="203" t="s">
        <v>1316</v>
      </c>
      <c r="C138" s="203" t="s">
        <v>1328</v>
      </c>
      <c r="D138" s="243">
        <v>84121704</v>
      </c>
      <c r="E138" s="216" t="s">
        <v>1329</v>
      </c>
      <c r="F138" s="228" t="s">
        <v>704</v>
      </c>
      <c r="G138" s="188" t="s">
        <v>72</v>
      </c>
      <c r="H138" s="205" t="s">
        <v>72</v>
      </c>
      <c r="I138" s="217">
        <v>12</v>
      </c>
      <c r="J138" s="187" t="s">
        <v>940</v>
      </c>
      <c r="K138" s="218">
        <v>1900000</v>
      </c>
      <c r="L138" s="219">
        <v>0.19</v>
      </c>
      <c r="M138" s="218">
        <v>361000</v>
      </c>
      <c r="N138" s="218">
        <v>2261000</v>
      </c>
      <c r="O138" s="203" t="s">
        <v>791</v>
      </c>
      <c r="P138" s="203" t="s">
        <v>89</v>
      </c>
      <c r="Q138" s="220">
        <v>2261000</v>
      </c>
      <c r="R138" s="220">
        <v>0</v>
      </c>
      <c r="S138" s="220">
        <v>0</v>
      </c>
      <c r="T138" s="220">
        <v>0</v>
      </c>
      <c r="U138" s="203" t="s">
        <v>1330</v>
      </c>
      <c r="V138" s="204"/>
      <c r="W138" s="207">
        <v>1900000</v>
      </c>
      <c r="X138" s="225" t="s">
        <v>1331</v>
      </c>
      <c r="Y138" s="225" t="s">
        <v>1331</v>
      </c>
      <c r="Z138" s="225" t="s">
        <v>1332</v>
      </c>
    </row>
    <row r="139" spans="1:26" ht="43" customHeight="1" x14ac:dyDescent="0.35">
      <c r="A139" s="203" t="s">
        <v>927</v>
      </c>
      <c r="B139" s="203" t="s">
        <v>1316</v>
      </c>
      <c r="C139" s="203" t="s">
        <v>1328</v>
      </c>
      <c r="D139" s="243">
        <v>84121701</v>
      </c>
      <c r="E139" s="216" t="s">
        <v>1333</v>
      </c>
      <c r="F139" s="228" t="s">
        <v>702</v>
      </c>
      <c r="G139" s="188" t="s">
        <v>68</v>
      </c>
      <c r="H139" s="205" t="s">
        <v>68</v>
      </c>
      <c r="I139" s="217">
        <v>12</v>
      </c>
      <c r="J139" s="187" t="s">
        <v>940</v>
      </c>
      <c r="K139" s="218">
        <v>6000000</v>
      </c>
      <c r="L139" s="219">
        <v>0</v>
      </c>
      <c r="M139" s="218">
        <v>0</v>
      </c>
      <c r="N139" s="218">
        <v>6000000</v>
      </c>
      <c r="O139" s="203" t="s">
        <v>791</v>
      </c>
      <c r="P139" s="203" t="s">
        <v>89</v>
      </c>
      <c r="Q139" s="220">
        <v>6000000</v>
      </c>
      <c r="R139" s="220">
        <v>0</v>
      </c>
      <c r="S139" s="220">
        <v>0</v>
      </c>
      <c r="T139" s="220">
        <v>0</v>
      </c>
      <c r="U139" s="203" t="s">
        <v>1330</v>
      </c>
      <c r="V139" s="204"/>
      <c r="W139" s="207">
        <v>6000000</v>
      </c>
      <c r="X139" s="225" t="s">
        <v>1331</v>
      </c>
      <c r="Y139" s="225" t="s">
        <v>1331</v>
      </c>
      <c r="Z139" s="225" t="s">
        <v>1334</v>
      </c>
    </row>
    <row r="140" spans="1:26" ht="43" customHeight="1" x14ac:dyDescent="0.35">
      <c r="A140" s="203" t="s">
        <v>927</v>
      </c>
      <c r="B140" s="203" t="s">
        <v>1316</v>
      </c>
      <c r="C140" s="203" t="s">
        <v>1328</v>
      </c>
      <c r="D140" s="243">
        <v>84121704</v>
      </c>
      <c r="E140" s="216" t="s">
        <v>1329</v>
      </c>
      <c r="F140" s="228" t="s">
        <v>703</v>
      </c>
      <c r="G140" s="188" t="s">
        <v>69</v>
      </c>
      <c r="H140" s="205" t="s">
        <v>69</v>
      </c>
      <c r="I140" s="217">
        <v>12</v>
      </c>
      <c r="J140" s="187" t="s">
        <v>940</v>
      </c>
      <c r="K140" s="218">
        <v>17651400</v>
      </c>
      <c r="L140" s="219">
        <v>0.19</v>
      </c>
      <c r="M140" s="218">
        <v>3353766</v>
      </c>
      <c r="N140" s="218">
        <v>21005166</v>
      </c>
      <c r="O140" s="203" t="s">
        <v>794</v>
      </c>
      <c r="P140" s="203" t="s">
        <v>932</v>
      </c>
      <c r="Q140" s="220">
        <v>11857755</v>
      </c>
      <c r="R140" s="220">
        <v>9147411</v>
      </c>
      <c r="S140" s="220">
        <v>0</v>
      </c>
      <c r="T140" s="220">
        <v>0</v>
      </c>
      <c r="U140" s="203" t="s">
        <v>1330</v>
      </c>
      <c r="V140" s="204"/>
      <c r="W140" s="207">
        <v>17651400</v>
      </c>
      <c r="X140" s="225" t="s">
        <v>1331</v>
      </c>
      <c r="Y140" s="225" t="s">
        <v>1331</v>
      </c>
      <c r="Z140" s="225" t="s">
        <v>1332</v>
      </c>
    </row>
    <row r="141" spans="1:26" ht="43" customHeight="1" x14ac:dyDescent="0.35">
      <c r="A141" s="203" t="s">
        <v>927</v>
      </c>
      <c r="B141" s="203" t="s">
        <v>1316</v>
      </c>
      <c r="C141" s="203" t="s">
        <v>1328</v>
      </c>
      <c r="D141" s="243">
        <v>84121801</v>
      </c>
      <c r="E141" s="216" t="s">
        <v>1335</v>
      </c>
      <c r="F141" s="228" t="s">
        <v>1336</v>
      </c>
      <c r="G141" s="188" t="s">
        <v>69</v>
      </c>
      <c r="H141" s="205" t="s">
        <v>69</v>
      </c>
      <c r="I141" s="217">
        <v>24</v>
      </c>
      <c r="J141" s="187" t="s">
        <v>940</v>
      </c>
      <c r="K141" s="218">
        <v>678840000</v>
      </c>
      <c r="L141" s="219">
        <v>0</v>
      </c>
      <c r="M141" s="218">
        <v>0</v>
      </c>
      <c r="N141" s="218">
        <v>678840000</v>
      </c>
      <c r="O141" s="203" t="s">
        <v>794</v>
      </c>
      <c r="P141" s="203" t="s">
        <v>932</v>
      </c>
      <c r="Q141" s="220">
        <v>197995000</v>
      </c>
      <c r="R141" s="220">
        <v>220422500</v>
      </c>
      <c r="S141" s="220">
        <v>260422500</v>
      </c>
      <c r="T141" s="220">
        <v>0</v>
      </c>
      <c r="U141" s="203" t="s">
        <v>1330</v>
      </c>
      <c r="V141" s="204"/>
      <c r="W141" s="207">
        <v>678840000</v>
      </c>
      <c r="X141" s="225" t="s">
        <v>1331</v>
      </c>
      <c r="Y141" s="225" t="s">
        <v>1331</v>
      </c>
      <c r="Z141" s="225" t="s">
        <v>1337</v>
      </c>
    </row>
    <row r="142" spans="1:26" ht="43" customHeight="1" x14ac:dyDescent="0.35">
      <c r="A142" s="203" t="s">
        <v>927</v>
      </c>
      <c r="B142" s="203" t="s">
        <v>1316</v>
      </c>
      <c r="C142" s="203" t="s">
        <v>1328</v>
      </c>
      <c r="D142" s="243">
        <v>84121700</v>
      </c>
      <c r="E142" s="216" t="s">
        <v>1338</v>
      </c>
      <c r="F142" s="228" t="s">
        <v>1339</v>
      </c>
      <c r="G142" s="188" t="s">
        <v>69</v>
      </c>
      <c r="H142" s="205" t="s">
        <v>69</v>
      </c>
      <c r="I142" s="217">
        <v>6</v>
      </c>
      <c r="J142" s="187" t="s">
        <v>940</v>
      </c>
      <c r="K142" s="218">
        <v>33000000</v>
      </c>
      <c r="L142" s="219">
        <v>0.19</v>
      </c>
      <c r="M142" s="218">
        <v>6270000</v>
      </c>
      <c r="N142" s="218">
        <v>39270000</v>
      </c>
      <c r="O142" s="203" t="s">
        <v>791</v>
      </c>
      <c r="P142" s="203" t="s">
        <v>89</v>
      </c>
      <c r="Q142" s="220">
        <v>39270000</v>
      </c>
      <c r="R142" s="220">
        <v>0</v>
      </c>
      <c r="S142" s="220">
        <v>0</v>
      </c>
      <c r="T142" s="220">
        <v>0</v>
      </c>
      <c r="U142" s="203" t="s">
        <v>1330</v>
      </c>
      <c r="V142" s="204"/>
      <c r="W142" s="207">
        <v>33000000</v>
      </c>
      <c r="X142" s="225" t="s">
        <v>1331</v>
      </c>
      <c r="Y142" s="225" t="s">
        <v>1331</v>
      </c>
      <c r="Z142" s="225" t="s">
        <v>1340</v>
      </c>
    </row>
    <row r="143" spans="1:26" ht="43" customHeight="1" x14ac:dyDescent="0.35">
      <c r="A143" s="203" t="s">
        <v>927</v>
      </c>
      <c r="B143" s="203" t="s">
        <v>1316</v>
      </c>
      <c r="C143" s="203" t="s">
        <v>1341</v>
      </c>
      <c r="D143" s="243">
        <v>84111802</v>
      </c>
      <c r="E143" s="216" t="s">
        <v>1342</v>
      </c>
      <c r="F143" s="228" t="s">
        <v>1343</v>
      </c>
      <c r="G143" s="188" t="s">
        <v>73</v>
      </c>
      <c r="H143" s="205" t="s">
        <v>74</v>
      </c>
      <c r="I143" s="217">
        <v>36</v>
      </c>
      <c r="J143" s="187" t="s">
        <v>940</v>
      </c>
      <c r="K143" s="218">
        <v>263713485</v>
      </c>
      <c r="L143" s="219">
        <v>0.19</v>
      </c>
      <c r="M143" s="218">
        <v>50105562.149999999</v>
      </c>
      <c r="N143" s="218">
        <v>313819047.14999998</v>
      </c>
      <c r="O143" s="203" t="s">
        <v>794</v>
      </c>
      <c r="P143" s="203" t="s">
        <v>932</v>
      </c>
      <c r="Q143" s="220">
        <v>25365264</v>
      </c>
      <c r="R143" s="220">
        <v>153764231</v>
      </c>
      <c r="S143" s="220">
        <v>134689552</v>
      </c>
      <c r="T143" s="220">
        <v>0</v>
      </c>
      <c r="U143" s="203" t="s">
        <v>1344</v>
      </c>
      <c r="V143" s="204"/>
      <c r="W143" s="207">
        <v>21315348</v>
      </c>
      <c r="X143" s="225" t="s">
        <v>1320</v>
      </c>
      <c r="Y143" s="225" t="s">
        <v>1320</v>
      </c>
      <c r="Z143" s="225" t="s">
        <v>1345</v>
      </c>
    </row>
    <row r="144" spans="1:26" ht="43" customHeight="1" x14ac:dyDescent="0.35">
      <c r="A144" s="203" t="s">
        <v>927</v>
      </c>
      <c r="B144" s="203" t="s">
        <v>1316</v>
      </c>
      <c r="C144" s="203" t="s">
        <v>1346</v>
      </c>
      <c r="D144" s="243">
        <v>80101505</v>
      </c>
      <c r="E144" s="216" t="s">
        <v>1347</v>
      </c>
      <c r="F144" s="228" t="s">
        <v>705</v>
      </c>
      <c r="G144" s="188" t="s">
        <v>68</v>
      </c>
      <c r="H144" s="205" t="s">
        <v>69</v>
      </c>
      <c r="I144" s="217">
        <v>36</v>
      </c>
      <c r="J144" s="187" t="s">
        <v>949</v>
      </c>
      <c r="K144" s="218">
        <v>256000000</v>
      </c>
      <c r="L144" s="219">
        <v>0.19</v>
      </c>
      <c r="M144" s="218">
        <v>48640000</v>
      </c>
      <c r="N144" s="218">
        <v>304640000</v>
      </c>
      <c r="O144" s="203" t="s">
        <v>794</v>
      </c>
      <c r="P144" s="203" t="s">
        <v>932</v>
      </c>
      <c r="Q144" s="220">
        <v>95914000</v>
      </c>
      <c r="R144" s="220">
        <v>101572926</v>
      </c>
      <c r="S144" s="220">
        <v>107153074</v>
      </c>
      <c r="T144" s="220">
        <v>0</v>
      </c>
      <c r="U144" s="203" t="s">
        <v>1348</v>
      </c>
      <c r="V144" s="204"/>
      <c r="W144" s="207">
        <v>80600000</v>
      </c>
      <c r="X144" s="225" t="s">
        <v>1320</v>
      </c>
      <c r="Y144" s="225" t="s">
        <v>1320</v>
      </c>
      <c r="Z144" s="225" t="s">
        <v>1349</v>
      </c>
    </row>
    <row r="145" spans="1:26" ht="43" customHeight="1" x14ac:dyDescent="0.35">
      <c r="A145" s="203" t="s">
        <v>927</v>
      </c>
      <c r="B145" s="203" t="s">
        <v>1316</v>
      </c>
      <c r="C145" s="203" t="s">
        <v>1341</v>
      </c>
      <c r="D145" s="243">
        <v>94101610</v>
      </c>
      <c r="E145" s="216" t="s">
        <v>1350</v>
      </c>
      <c r="F145" s="228" t="s">
        <v>1351</v>
      </c>
      <c r="G145" s="188" t="s">
        <v>69</v>
      </c>
      <c r="H145" s="205" t="s">
        <v>70</v>
      </c>
      <c r="I145" s="217">
        <v>12</v>
      </c>
      <c r="J145" s="187" t="s">
        <v>940</v>
      </c>
      <c r="K145" s="218">
        <v>3385969</v>
      </c>
      <c r="L145" s="219">
        <v>0.19</v>
      </c>
      <c r="M145" s="218">
        <v>643334.11</v>
      </c>
      <c r="N145" s="218">
        <v>4029303.11</v>
      </c>
      <c r="O145" s="203" t="s">
        <v>791</v>
      </c>
      <c r="P145" s="203" t="s">
        <v>89</v>
      </c>
      <c r="Q145" s="220">
        <v>4029303.11</v>
      </c>
      <c r="R145" s="220">
        <v>0</v>
      </c>
      <c r="S145" s="220">
        <v>0</v>
      </c>
      <c r="T145" s="220">
        <v>0</v>
      </c>
      <c r="U145" s="203" t="s">
        <v>1348</v>
      </c>
      <c r="V145" s="204"/>
      <c r="W145" s="207">
        <v>3385969</v>
      </c>
      <c r="X145" s="225" t="s">
        <v>1049</v>
      </c>
      <c r="Y145" s="225" t="s">
        <v>1049</v>
      </c>
      <c r="Z145" s="225" t="s">
        <v>1352</v>
      </c>
    </row>
    <row r="146" spans="1:26" ht="43" customHeight="1" x14ac:dyDescent="0.35">
      <c r="A146" s="203" t="s">
        <v>927</v>
      </c>
      <c r="B146" s="203" t="s">
        <v>1316</v>
      </c>
      <c r="C146" s="203" t="s">
        <v>1346</v>
      </c>
      <c r="D146" s="243">
        <v>80101507</v>
      </c>
      <c r="E146" s="216" t="s">
        <v>1353</v>
      </c>
      <c r="F146" s="228" t="s">
        <v>1354</v>
      </c>
      <c r="G146" s="188" t="s">
        <v>67</v>
      </c>
      <c r="H146" s="205" t="s">
        <v>67</v>
      </c>
      <c r="I146" s="217">
        <v>12</v>
      </c>
      <c r="J146" s="187" t="s">
        <v>931</v>
      </c>
      <c r="K146" s="218">
        <v>1000000000</v>
      </c>
      <c r="L146" s="219">
        <v>0.19</v>
      </c>
      <c r="M146" s="218">
        <v>190000000</v>
      </c>
      <c r="N146" s="218">
        <v>1190000000</v>
      </c>
      <c r="O146" s="203" t="s">
        <v>791</v>
      </c>
      <c r="P146" s="203" t="s">
        <v>89</v>
      </c>
      <c r="Q146" s="220">
        <v>1190000000</v>
      </c>
      <c r="R146" s="220">
        <v>0</v>
      </c>
      <c r="S146" s="220">
        <v>0</v>
      </c>
      <c r="T146" s="220">
        <v>0</v>
      </c>
      <c r="U146" s="203" t="s">
        <v>1348</v>
      </c>
      <c r="V146" s="204"/>
      <c r="W146" s="207">
        <v>1000000000</v>
      </c>
      <c r="X146" s="225" t="s">
        <v>1320</v>
      </c>
      <c r="Y146" s="225" t="s">
        <v>1320</v>
      </c>
      <c r="Z146" s="225" t="s">
        <v>1355</v>
      </c>
    </row>
    <row r="147" spans="1:26" ht="43" customHeight="1" x14ac:dyDescent="0.35">
      <c r="A147" s="203" t="s">
        <v>927</v>
      </c>
      <c r="B147" s="203" t="s">
        <v>1316</v>
      </c>
      <c r="C147" s="203" t="s">
        <v>1341</v>
      </c>
      <c r="D147" s="243">
        <v>84111802</v>
      </c>
      <c r="E147" s="216" t="s">
        <v>1342</v>
      </c>
      <c r="F147" s="228" t="s">
        <v>1356</v>
      </c>
      <c r="G147" s="188" t="s">
        <v>68</v>
      </c>
      <c r="H147" s="205" t="s">
        <v>69</v>
      </c>
      <c r="I147" s="217">
        <v>3</v>
      </c>
      <c r="J147" s="187" t="s">
        <v>940</v>
      </c>
      <c r="K147" s="218">
        <v>97428000</v>
      </c>
      <c r="L147" s="219">
        <v>0</v>
      </c>
      <c r="M147" s="218">
        <v>0</v>
      </c>
      <c r="N147" s="218">
        <v>97428000</v>
      </c>
      <c r="O147" s="203" t="s">
        <v>791</v>
      </c>
      <c r="P147" s="203" t="s">
        <v>89</v>
      </c>
      <c r="Q147" s="220">
        <v>97428000</v>
      </c>
      <c r="R147" s="220">
        <v>0</v>
      </c>
      <c r="S147" s="220">
        <v>0</v>
      </c>
      <c r="T147" s="220">
        <v>0</v>
      </c>
      <c r="U147" s="203" t="s">
        <v>1344</v>
      </c>
      <c r="V147" s="204"/>
      <c r="W147" s="207">
        <v>97500000</v>
      </c>
      <c r="X147" s="225" t="s">
        <v>1320</v>
      </c>
      <c r="Y147" s="225" t="s">
        <v>1320</v>
      </c>
      <c r="Z147" s="225" t="s">
        <v>1357</v>
      </c>
    </row>
    <row r="148" spans="1:26" ht="43" customHeight="1" x14ac:dyDescent="0.35">
      <c r="A148" s="203" t="s">
        <v>927</v>
      </c>
      <c r="B148" s="203" t="s">
        <v>1316</v>
      </c>
      <c r="C148" s="203" t="s">
        <v>1346</v>
      </c>
      <c r="D148" s="243">
        <v>43231601</v>
      </c>
      <c r="E148" s="216" t="s">
        <v>1358</v>
      </c>
      <c r="F148" s="228" t="s">
        <v>1359</v>
      </c>
      <c r="G148" s="188" t="s">
        <v>73</v>
      </c>
      <c r="H148" s="205" t="s">
        <v>74</v>
      </c>
      <c r="I148" s="217">
        <v>36</v>
      </c>
      <c r="J148" s="187" t="s">
        <v>931</v>
      </c>
      <c r="K148" s="218">
        <v>141468217.02260506</v>
      </c>
      <c r="L148" s="219">
        <v>0.19</v>
      </c>
      <c r="M148" s="218">
        <v>26878961.234294962</v>
      </c>
      <c r="N148" s="218">
        <v>168347178.25690001</v>
      </c>
      <c r="O148" s="203" t="s">
        <v>794</v>
      </c>
      <c r="P148" s="203" t="s">
        <v>932</v>
      </c>
      <c r="Q148" s="220">
        <v>21761078.990000002</v>
      </c>
      <c r="R148" s="220">
        <v>54190794.888999999</v>
      </c>
      <c r="S148" s="220">
        <v>59609874.377899997</v>
      </c>
      <c r="T148" s="220">
        <v>32785430</v>
      </c>
      <c r="U148" s="203" t="s">
        <v>1348</v>
      </c>
      <c r="V148" s="204"/>
      <c r="W148" s="207">
        <v>18286621</v>
      </c>
      <c r="X148" s="225" t="s">
        <v>1360</v>
      </c>
      <c r="Y148" s="225" t="s">
        <v>1361</v>
      </c>
      <c r="Z148" s="225"/>
    </row>
    <row r="149" spans="1:26" ht="43" customHeight="1" x14ac:dyDescent="0.35">
      <c r="A149" s="203" t="s">
        <v>927</v>
      </c>
      <c r="B149" s="203" t="s">
        <v>1316</v>
      </c>
      <c r="C149" s="203" t="s">
        <v>1346</v>
      </c>
      <c r="D149" s="243">
        <v>43231601</v>
      </c>
      <c r="E149" s="216" t="s">
        <v>1358</v>
      </c>
      <c r="F149" s="228" t="s">
        <v>1359</v>
      </c>
      <c r="G149" s="188" t="s">
        <v>73</v>
      </c>
      <c r="H149" s="205" t="s">
        <v>74</v>
      </c>
      <c r="I149" s="217">
        <v>36</v>
      </c>
      <c r="J149" s="187" t="s">
        <v>931</v>
      </c>
      <c r="K149" s="218">
        <v>79547161.275378168</v>
      </c>
      <c r="L149" s="219">
        <v>0.19</v>
      </c>
      <c r="M149" s="218">
        <v>15113960.642321851</v>
      </c>
      <c r="N149" s="218">
        <v>94661121.917700022</v>
      </c>
      <c r="O149" s="203" t="s">
        <v>794</v>
      </c>
      <c r="P149" s="203" t="s">
        <v>932</v>
      </c>
      <c r="Q149" s="220">
        <v>21067870.670000002</v>
      </c>
      <c r="R149" s="220">
        <v>27206377.737000003</v>
      </c>
      <c r="S149" s="220">
        <v>29927015.510700002</v>
      </c>
      <c r="T149" s="220">
        <v>16459858</v>
      </c>
      <c r="U149" s="203" t="s">
        <v>1348</v>
      </c>
      <c r="V149" s="204"/>
      <c r="W149" s="207">
        <v>17704093</v>
      </c>
      <c r="X149" s="225" t="s">
        <v>1362</v>
      </c>
      <c r="Y149" s="225" t="s">
        <v>1363</v>
      </c>
      <c r="Z149" s="225"/>
    </row>
    <row r="150" spans="1:26" ht="43" customHeight="1" x14ac:dyDescent="0.35">
      <c r="A150" s="203" t="s">
        <v>927</v>
      </c>
      <c r="B150" s="203" t="s">
        <v>1364</v>
      </c>
      <c r="C150" s="203" t="s">
        <v>452</v>
      </c>
      <c r="D150" s="243">
        <v>81112500</v>
      </c>
      <c r="E150" s="216" t="s">
        <v>1365</v>
      </c>
      <c r="F150" s="228" t="s">
        <v>1366</v>
      </c>
      <c r="G150" s="188" t="s">
        <v>76</v>
      </c>
      <c r="H150" s="205" t="s">
        <v>76</v>
      </c>
      <c r="I150" s="217">
        <v>3</v>
      </c>
      <c r="J150" s="187" t="s">
        <v>949</v>
      </c>
      <c r="K150" s="218">
        <v>129000000</v>
      </c>
      <c r="L150" s="219">
        <v>0.19</v>
      </c>
      <c r="M150" s="218">
        <v>24510000</v>
      </c>
      <c r="N150" s="218">
        <v>153510000</v>
      </c>
      <c r="O150" s="203" t="s">
        <v>794</v>
      </c>
      <c r="P150" s="203" t="s">
        <v>932</v>
      </c>
      <c r="Q150" s="220">
        <v>140901058</v>
      </c>
      <c r="R150" s="220">
        <v>153510000</v>
      </c>
      <c r="S150" s="220">
        <v>0</v>
      </c>
      <c r="T150" s="220">
        <v>0</v>
      </c>
      <c r="U150" s="203" t="s">
        <v>1367</v>
      </c>
      <c r="V150" s="204" t="s">
        <v>1368</v>
      </c>
      <c r="W150" s="207">
        <v>129000000</v>
      </c>
      <c r="X150" s="225" t="s">
        <v>1369</v>
      </c>
      <c r="Y150" s="225" t="s">
        <v>1361</v>
      </c>
      <c r="Z150" s="225" t="s">
        <v>1370</v>
      </c>
    </row>
    <row r="151" spans="1:26" ht="43" customHeight="1" x14ac:dyDescent="0.35">
      <c r="A151" s="203" t="s">
        <v>927</v>
      </c>
      <c r="B151" s="203" t="s">
        <v>1364</v>
      </c>
      <c r="C151" s="203" t="s">
        <v>452</v>
      </c>
      <c r="D151" s="243">
        <v>92121604</v>
      </c>
      <c r="E151" s="216" t="s">
        <v>1371</v>
      </c>
      <c r="F151" s="228" t="s">
        <v>1372</v>
      </c>
      <c r="G151" s="188" t="s">
        <v>76</v>
      </c>
      <c r="H151" s="205" t="s">
        <v>76</v>
      </c>
      <c r="I151" s="217">
        <v>3</v>
      </c>
      <c r="J151" s="187" t="s">
        <v>1186</v>
      </c>
      <c r="K151" s="218">
        <v>42857000</v>
      </c>
      <c r="L151" s="219">
        <v>0.19</v>
      </c>
      <c r="M151" s="218">
        <v>8142830</v>
      </c>
      <c r="N151" s="218">
        <v>50999830</v>
      </c>
      <c r="O151" s="203" t="s">
        <v>791</v>
      </c>
      <c r="P151" s="203" t="s">
        <v>89</v>
      </c>
      <c r="Q151" s="220">
        <v>46788077</v>
      </c>
      <c r="R151" s="220">
        <v>50999830</v>
      </c>
      <c r="S151" s="220">
        <v>0</v>
      </c>
      <c r="T151" s="220">
        <v>0</v>
      </c>
      <c r="U151" s="203" t="s">
        <v>1367</v>
      </c>
      <c r="V151" s="204" t="s">
        <v>790</v>
      </c>
      <c r="W151" s="207">
        <v>42857000</v>
      </c>
      <c r="X151" s="225" t="s">
        <v>1320</v>
      </c>
      <c r="Y151" s="225" t="s">
        <v>1320</v>
      </c>
      <c r="Z151" s="225" t="s">
        <v>1373</v>
      </c>
    </row>
    <row r="152" spans="1:26" ht="43" customHeight="1" x14ac:dyDescent="0.35">
      <c r="A152" s="203" t="s">
        <v>927</v>
      </c>
      <c r="B152" s="203" t="s">
        <v>1364</v>
      </c>
      <c r="C152" s="203" t="s">
        <v>452</v>
      </c>
      <c r="D152" s="243">
        <v>80101500</v>
      </c>
      <c r="E152" s="216" t="s">
        <v>969</v>
      </c>
      <c r="F152" s="228" t="s">
        <v>1374</v>
      </c>
      <c r="G152" s="188" t="s">
        <v>67</v>
      </c>
      <c r="H152" s="205" t="s">
        <v>67</v>
      </c>
      <c r="I152" s="217">
        <v>1</v>
      </c>
      <c r="J152" s="187" t="s">
        <v>949</v>
      </c>
      <c r="K152" s="218">
        <v>300000000</v>
      </c>
      <c r="L152" s="219">
        <v>0.19</v>
      </c>
      <c r="M152" s="218">
        <v>57000000</v>
      </c>
      <c r="N152" s="218">
        <v>357000000</v>
      </c>
      <c r="O152" s="203" t="s">
        <v>791</v>
      </c>
      <c r="P152" s="203" t="s">
        <v>89</v>
      </c>
      <c r="Q152" s="220">
        <v>357000000</v>
      </c>
      <c r="R152" s="220">
        <v>0</v>
      </c>
      <c r="S152" s="220">
        <v>0</v>
      </c>
      <c r="T152" s="220">
        <v>0</v>
      </c>
      <c r="U152" s="203" t="s">
        <v>1367</v>
      </c>
      <c r="V152" s="204" t="s">
        <v>1375</v>
      </c>
      <c r="W152" s="207">
        <v>300000000</v>
      </c>
      <c r="X152" s="225" t="s">
        <v>1320</v>
      </c>
      <c r="Y152" s="225" t="s">
        <v>1320</v>
      </c>
      <c r="Z152" s="225" t="s">
        <v>1320</v>
      </c>
    </row>
    <row r="153" spans="1:26" ht="43" customHeight="1" x14ac:dyDescent="0.35">
      <c r="A153" s="203" t="s">
        <v>927</v>
      </c>
      <c r="B153" s="203" t="s">
        <v>1364</v>
      </c>
      <c r="C153" s="203" t="s">
        <v>452</v>
      </c>
      <c r="D153" s="243">
        <v>80101500</v>
      </c>
      <c r="E153" s="216" t="s">
        <v>969</v>
      </c>
      <c r="F153" s="228" t="s">
        <v>1376</v>
      </c>
      <c r="G153" s="188" t="s">
        <v>69</v>
      </c>
      <c r="H153" s="205" t="s">
        <v>70</v>
      </c>
      <c r="I153" s="217">
        <v>4</v>
      </c>
      <c r="J153" s="187" t="s">
        <v>949</v>
      </c>
      <c r="K153" s="218">
        <v>94800000</v>
      </c>
      <c r="L153" s="219">
        <v>0.19</v>
      </c>
      <c r="M153" s="218">
        <v>18012000</v>
      </c>
      <c r="N153" s="218">
        <v>112812000</v>
      </c>
      <c r="O153" s="203" t="s">
        <v>791</v>
      </c>
      <c r="P153" s="203" t="s">
        <v>89</v>
      </c>
      <c r="Q153" s="220">
        <v>112812000</v>
      </c>
      <c r="R153" s="220">
        <v>0</v>
      </c>
      <c r="S153" s="220">
        <v>0</v>
      </c>
      <c r="T153" s="220">
        <v>0</v>
      </c>
      <c r="U153" s="203" t="s">
        <v>1377</v>
      </c>
      <c r="V153" s="204" t="s">
        <v>1378</v>
      </c>
      <c r="W153" s="207">
        <v>94800000</v>
      </c>
      <c r="X153" s="225" t="s">
        <v>1379</v>
      </c>
      <c r="Y153" s="225" t="s">
        <v>1379</v>
      </c>
      <c r="Z153" s="225" t="s">
        <v>1379</v>
      </c>
    </row>
    <row r="154" spans="1:26" ht="43" customHeight="1" x14ac:dyDescent="0.35">
      <c r="A154" s="203" t="s">
        <v>927</v>
      </c>
      <c r="B154" s="203" t="s">
        <v>1364</v>
      </c>
      <c r="C154" s="203" t="s">
        <v>452</v>
      </c>
      <c r="D154" s="243">
        <v>80101500</v>
      </c>
      <c r="E154" s="216" t="s">
        <v>969</v>
      </c>
      <c r="F154" s="228" t="s">
        <v>1380</v>
      </c>
      <c r="G154" s="188" t="s">
        <v>70</v>
      </c>
      <c r="H154" s="205" t="s">
        <v>72</v>
      </c>
      <c r="I154" s="217">
        <v>24</v>
      </c>
      <c r="J154" s="187" t="s">
        <v>949</v>
      </c>
      <c r="K154" s="218">
        <v>283885714</v>
      </c>
      <c r="L154" s="219">
        <v>0.19</v>
      </c>
      <c r="M154" s="218">
        <v>53938285.660000004</v>
      </c>
      <c r="N154" s="218">
        <v>337823999.66000003</v>
      </c>
      <c r="O154" s="203" t="s">
        <v>794</v>
      </c>
      <c r="P154" s="203" t="s">
        <v>932</v>
      </c>
      <c r="Q154" s="220">
        <v>71507390</v>
      </c>
      <c r="R154" s="220">
        <v>168912000</v>
      </c>
      <c r="S154" s="220">
        <v>97404609</v>
      </c>
      <c r="T154" s="220">
        <v>0</v>
      </c>
      <c r="U154" s="203" t="s">
        <v>1377</v>
      </c>
      <c r="V154" s="204" t="s">
        <v>790</v>
      </c>
      <c r="W154" s="207">
        <v>283885714</v>
      </c>
      <c r="X154" s="225" t="s">
        <v>1381</v>
      </c>
      <c r="Y154" s="225" t="s">
        <v>1382</v>
      </c>
      <c r="Z154" s="225" t="s">
        <v>1383</v>
      </c>
    </row>
    <row r="155" spans="1:26" ht="43" customHeight="1" x14ac:dyDescent="0.35">
      <c r="A155" s="203" t="s">
        <v>927</v>
      </c>
      <c r="B155" s="203" t="s">
        <v>1364</v>
      </c>
      <c r="C155" s="203" t="s">
        <v>452</v>
      </c>
      <c r="D155" s="243">
        <v>80101500</v>
      </c>
      <c r="E155" s="216" t="s">
        <v>969</v>
      </c>
      <c r="F155" s="228" t="s">
        <v>1384</v>
      </c>
      <c r="G155" s="188" t="s">
        <v>75</v>
      </c>
      <c r="H155" s="205" t="s">
        <v>76</v>
      </c>
      <c r="I155" s="217">
        <v>12</v>
      </c>
      <c r="J155" s="187" t="s">
        <v>940</v>
      </c>
      <c r="K155" s="218">
        <v>13287857</v>
      </c>
      <c r="L155" s="219">
        <v>0.19</v>
      </c>
      <c r="M155" s="218">
        <v>2524692.83</v>
      </c>
      <c r="N155" s="218">
        <v>15812549.83</v>
      </c>
      <c r="O155" s="203" t="s">
        <v>791</v>
      </c>
      <c r="P155" s="203" t="s">
        <v>89</v>
      </c>
      <c r="Q155" s="220">
        <v>15812550</v>
      </c>
      <c r="R155" s="220">
        <v>0</v>
      </c>
      <c r="S155" s="220">
        <v>0</v>
      </c>
      <c r="T155" s="220">
        <v>0</v>
      </c>
      <c r="U155" s="203" t="s">
        <v>1385</v>
      </c>
      <c r="V155" s="204" t="s">
        <v>1386</v>
      </c>
      <c r="W155" s="207">
        <v>13287857</v>
      </c>
      <c r="X155" s="225" t="s">
        <v>1387</v>
      </c>
      <c r="Y155" s="225" t="s">
        <v>1387</v>
      </c>
      <c r="Z155" s="225" t="s">
        <v>1388</v>
      </c>
    </row>
    <row r="156" spans="1:26" ht="43" customHeight="1" x14ac:dyDescent="0.35">
      <c r="A156" s="203" t="s">
        <v>927</v>
      </c>
      <c r="B156" s="203" t="s">
        <v>1364</v>
      </c>
      <c r="C156" s="203" t="s">
        <v>452</v>
      </c>
      <c r="D156" s="243">
        <v>43231500</v>
      </c>
      <c r="E156" s="216" t="s">
        <v>1389</v>
      </c>
      <c r="F156" s="228" t="s">
        <v>694</v>
      </c>
      <c r="G156" s="188" t="s">
        <v>75</v>
      </c>
      <c r="H156" s="205" t="s">
        <v>76</v>
      </c>
      <c r="I156" s="217">
        <v>24</v>
      </c>
      <c r="J156" s="187" t="s">
        <v>940</v>
      </c>
      <c r="K156" s="218">
        <v>193880376</v>
      </c>
      <c r="L156" s="219">
        <v>0.19</v>
      </c>
      <c r="M156" s="218">
        <v>36837271.439999998</v>
      </c>
      <c r="N156" s="218">
        <v>230717647.44</v>
      </c>
      <c r="O156" s="203" t="s">
        <v>794</v>
      </c>
      <c r="P156" s="203" t="s">
        <v>995</v>
      </c>
      <c r="Q156" s="220">
        <v>230717647</v>
      </c>
      <c r="R156" s="220">
        <v>242252029</v>
      </c>
      <c r="S156" s="220">
        <v>0</v>
      </c>
      <c r="T156" s="220">
        <v>0</v>
      </c>
      <c r="U156" s="203" t="s">
        <v>1385</v>
      </c>
      <c r="V156" s="204" t="s">
        <v>1390</v>
      </c>
      <c r="W156" s="207">
        <v>193880376</v>
      </c>
      <c r="X156" s="225" t="s">
        <v>1203</v>
      </c>
      <c r="Y156" s="225" t="s">
        <v>1203</v>
      </c>
      <c r="Z156" s="225" t="s">
        <v>1391</v>
      </c>
    </row>
    <row r="157" spans="1:26" ht="43" customHeight="1" x14ac:dyDescent="0.35">
      <c r="A157" s="203" t="s">
        <v>927</v>
      </c>
      <c r="B157" s="203" t="s">
        <v>1364</v>
      </c>
      <c r="C157" s="203" t="s">
        <v>452</v>
      </c>
      <c r="D157" s="243">
        <v>80101500</v>
      </c>
      <c r="E157" s="216" t="s">
        <v>969</v>
      </c>
      <c r="F157" s="228" t="s">
        <v>1392</v>
      </c>
      <c r="G157" s="188" t="s">
        <v>75</v>
      </c>
      <c r="H157" s="205" t="s">
        <v>76</v>
      </c>
      <c r="I157" s="217">
        <v>12</v>
      </c>
      <c r="J157" s="187" t="s">
        <v>940</v>
      </c>
      <c r="K157" s="218">
        <v>15300000</v>
      </c>
      <c r="L157" s="219">
        <v>0.19</v>
      </c>
      <c r="M157" s="218">
        <v>2907000</v>
      </c>
      <c r="N157" s="218">
        <v>18207000</v>
      </c>
      <c r="O157" s="203" t="s">
        <v>791</v>
      </c>
      <c r="P157" s="203" t="s">
        <v>89</v>
      </c>
      <c r="Q157" s="220">
        <v>18207000</v>
      </c>
      <c r="R157" s="220">
        <v>0</v>
      </c>
      <c r="S157" s="220">
        <v>0</v>
      </c>
      <c r="T157" s="220">
        <v>0</v>
      </c>
      <c r="U157" s="203" t="s">
        <v>1385</v>
      </c>
      <c r="V157" s="204" t="s">
        <v>1386</v>
      </c>
      <c r="W157" s="207">
        <v>15300000</v>
      </c>
      <c r="X157" s="225" t="s">
        <v>1387</v>
      </c>
      <c r="Y157" s="225" t="s">
        <v>1387</v>
      </c>
      <c r="Z157" s="225" t="s">
        <v>1393</v>
      </c>
    </row>
    <row r="158" spans="1:26" ht="43" customHeight="1" x14ac:dyDescent="0.35">
      <c r="A158" s="203" t="s">
        <v>927</v>
      </c>
      <c r="B158" s="203" t="s">
        <v>1364</v>
      </c>
      <c r="C158" s="203" t="s">
        <v>452</v>
      </c>
      <c r="D158" s="243">
        <v>43231500</v>
      </c>
      <c r="E158" s="216" t="s">
        <v>1389</v>
      </c>
      <c r="F158" s="228" t="s">
        <v>695</v>
      </c>
      <c r="G158" s="188" t="s">
        <v>74</v>
      </c>
      <c r="H158" s="205" t="s">
        <v>74</v>
      </c>
      <c r="I158" s="217">
        <v>12</v>
      </c>
      <c r="J158" s="187" t="s">
        <v>940</v>
      </c>
      <c r="K158" s="218">
        <v>28850000</v>
      </c>
      <c r="L158" s="219">
        <v>0.19</v>
      </c>
      <c r="M158" s="218">
        <v>5481500</v>
      </c>
      <c r="N158" s="218">
        <v>34331500</v>
      </c>
      <c r="O158" s="203" t="s">
        <v>794</v>
      </c>
      <c r="P158" s="203" t="s">
        <v>932</v>
      </c>
      <c r="Q158" s="220">
        <v>22159091</v>
      </c>
      <c r="R158" s="220">
        <v>12172409</v>
      </c>
      <c r="S158" s="220">
        <v>0</v>
      </c>
      <c r="T158" s="220">
        <v>0</v>
      </c>
      <c r="U158" s="203" t="s">
        <v>1394</v>
      </c>
      <c r="V158" s="204" t="s">
        <v>790</v>
      </c>
      <c r="W158" s="207">
        <v>18621085</v>
      </c>
      <c r="X158" s="225" t="s">
        <v>1027</v>
      </c>
      <c r="Y158" s="225" t="s">
        <v>1028</v>
      </c>
      <c r="Z158" s="225" t="s">
        <v>1395</v>
      </c>
    </row>
    <row r="159" spans="1:26" ht="43" customHeight="1" x14ac:dyDescent="0.35">
      <c r="A159" s="203" t="s">
        <v>927</v>
      </c>
      <c r="B159" s="203" t="s">
        <v>1364</v>
      </c>
      <c r="C159" s="203" t="s">
        <v>452</v>
      </c>
      <c r="D159" s="243">
        <v>43231500</v>
      </c>
      <c r="E159" s="216" t="s">
        <v>1389</v>
      </c>
      <c r="F159" s="228" t="s">
        <v>696</v>
      </c>
      <c r="G159" s="188" t="s">
        <v>73</v>
      </c>
      <c r="H159" s="205" t="s">
        <v>73</v>
      </c>
      <c r="I159" s="217">
        <v>12</v>
      </c>
      <c r="J159" s="187" t="s">
        <v>940</v>
      </c>
      <c r="K159" s="218">
        <v>116000000</v>
      </c>
      <c r="L159" s="219">
        <v>0.19</v>
      </c>
      <c r="M159" s="218">
        <v>22040000</v>
      </c>
      <c r="N159" s="218">
        <v>138040000</v>
      </c>
      <c r="O159" s="203" t="s">
        <v>791</v>
      </c>
      <c r="P159" s="203" t="s">
        <v>89</v>
      </c>
      <c r="Q159" s="220">
        <v>138040000</v>
      </c>
      <c r="R159" s="220">
        <v>0</v>
      </c>
      <c r="S159" s="220">
        <v>0</v>
      </c>
      <c r="T159" s="220">
        <v>0</v>
      </c>
      <c r="U159" s="203" t="s">
        <v>1394</v>
      </c>
      <c r="V159" s="204" t="s">
        <v>790</v>
      </c>
      <c r="W159" s="207">
        <v>116000000</v>
      </c>
      <c r="X159" s="225" t="s">
        <v>1027</v>
      </c>
      <c r="Y159" s="225" t="s">
        <v>1028</v>
      </c>
      <c r="Z159" s="225" t="s">
        <v>1396</v>
      </c>
    </row>
    <row r="160" spans="1:26" ht="43" customHeight="1" x14ac:dyDescent="0.35">
      <c r="A160" s="203" t="s">
        <v>927</v>
      </c>
      <c r="B160" s="203" t="s">
        <v>1364</v>
      </c>
      <c r="C160" s="203" t="s">
        <v>452</v>
      </c>
      <c r="D160" s="243">
        <v>43232300</v>
      </c>
      <c r="E160" s="216" t="s">
        <v>1239</v>
      </c>
      <c r="F160" s="228" t="s">
        <v>697</v>
      </c>
      <c r="G160" s="188" t="s">
        <v>69</v>
      </c>
      <c r="H160" s="205" t="s">
        <v>69</v>
      </c>
      <c r="I160" s="217">
        <v>12</v>
      </c>
      <c r="J160" s="187" t="s">
        <v>940</v>
      </c>
      <c r="K160" s="218">
        <v>208524900</v>
      </c>
      <c r="L160" s="219">
        <v>0</v>
      </c>
      <c r="M160" s="218">
        <v>0</v>
      </c>
      <c r="N160" s="218">
        <v>208524900</v>
      </c>
      <c r="O160" s="203" t="s">
        <v>794</v>
      </c>
      <c r="P160" s="203" t="s">
        <v>932</v>
      </c>
      <c r="Q160" s="220">
        <v>98857450</v>
      </c>
      <c r="R160" s="220">
        <v>109667450</v>
      </c>
      <c r="S160" s="220">
        <v>0</v>
      </c>
      <c r="T160" s="220">
        <v>0</v>
      </c>
      <c r="U160" s="203" t="s">
        <v>1397</v>
      </c>
      <c r="V160" s="204"/>
      <c r="W160" s="207">
        <v>208524900</v>
      </c>
      <c r="X160" s="225" t="s">
        <v>1121</v>
      </c>
      <c r="Y160" s="225" t="s">
        <v>1121</v>
      </c>
      <c r="Z160" s="225" t="s">
        <v>1398</v>
      </c>
    </row>
    <row r="161" spans="1:26" ht="43" customHeight="1" x14ac:dyDescent="0.35">
      <c r="A161" s="203" t="s">
        <v>927</v>
      </c>
      <c r="B161" s="203" t="s">
        <v>1364</v>
      </c>
      <c r="C161" s="203" t="s">
        <v>793</v>
      </c>
      <c r="D161" s="243">
        <v>80101500</v>
      </c>
      <c r="E161" s="216" t="s">
        <v>969</v>
      </c>
      <c r="F161" s="228" t="s">
        <v>698</v>
      </c>
      <c r="G161" s="188" t="s">
        <v>67</v>
      </c>
      <c r="H161" s="205" t="s">
        <v>67</v>
      </c>
      <c r="I161" s="217">
        <v>11</v>
      </c>
      <c r="J161" s="187" t="s">
        <v>940</v>
      </c>
      <c r="K161" s="218">
        <v>26892485</v>
      </c>
      <c r="L161" s="219">
        <v>0.19</v>
      </c>
      <c r="M161" s="218">
        <v>5109572.1500000004</v>
      </c>
      <c r="N161" s="218">
        <v>32002057.149999999</v>
      </c>
      <c r="O161" s="203" t="s">
        <v>791</v>
      </c>
      <c r="P161" s="203" t="s">
        <v>89</v>
      </c>
      <c r="Q161" s="220">
        <v>32002057</v>
      </c>
      <c r="R161" s="220">
        <v>0</v>
      </c>
      <c r="S161" s="220">
        <v>0</v>
      </c>
      <c r="T161" s="220">
        <v>0</v>
      </c>
      <c r="U161" s="203" t="s">
        <v>1399</v>
      </c>
      <c r="V161" s="204"/>
      <c r="W161" s="207">
        <v>26892485</v>
      </c>
      <c r="X161" s="225" t="s">
        <v>1320</v>
      </c>
      <c r="Y161" s="225" t="s">
        <v>1320</v>
      </c>
      <c r="Z161" s="225" t="s">
        <v>1320</v>
      </c>
    </row>
    <row r="162" spans="1:26" ht="43" customHeight="1" x14ac:dyDescent="0.35">
      <c r="A162" s="203" t="s">
        <v>927</v>
      </c>
      <c r="B162" s="203" t="s">
        <v>1364</v>
      </c>
      <c r="C162" s="203" t="s">
        <v>793</v>
      </c>
      <c r="D162" s="243">
        <v>80101500</v>
      </c>
      <c r="E162" s="216" t="s">
        <v>969</v>
      </c>
      <c r="F162" s="228" t="s">
        <v>1400</v>
      </c>
      <c r="G162" s="188" t="s">
        <v>68</v>
      </c>
      <c r="H162" s="205" t="s">
        <v>68</v>
      </c>
      <c r="I162" s="217">
        <v>10</v>
      </c>
      <c r="J162" s="187" t="s">
        <v>940</v>
      </c>
      <c r="K162" s="218">
        <v>195199265</v>
      </c>
      <c r="L162" s="219">
        <v>0.19</v>
      </c>
      <c r="M162" s="218">
        <v>37087860.350000001</v>
      </c>
      <c r="N162" s="218">
        <v>232287125.34999999</v>
      </c>
      <c r="O162" s="203" t="s">
        <v>791</v>
      </c>
      <c r="P162" s="203" t="s">
        <v>89</v>
      </c>
      <c r="Q162" s="220">
        <v>232287125</v>
      </c>
      <c r="R162" s="220">
        <v>0</v>
      </c>
      <c r="S162" s="220">
        <v>0</v>
      </c>
      <c r="T162" s="220">
        <v>0</v>
      </c>
      <c r="U162" s="203" t="s">
        <v>1399</v>
      </c>
      <c r="V162" s="204"/>
      <c r="W162" s="207">
        <v>195199265</v>
      </c>
      <c r="X162" s="225" t="s">
        <v>1320</v>
      </c>
      <c r="Y162" s="225" t="s">
        <v>1320</v>
      </c>
      <c r="Z162" s="225" t="s">
        <v>1320</v>
      </c>
    </row>
    <row r="163" spans="1:26" ht="43" customHeight="1" x14ac:dyDescent="0.35">
      <c r="A163" s="203" t="s">
        <v>927</v>
      </c>
      <c r="B163" s="203" t="s">
        <v>1364</v>
      </c>
      <c r="C163" s="203" t="s">
        <v>793</v>
      </c>
      <c r="D163" s="243">
        <v>80101500</v>
      </c>
      <c r="E163" s="216" t="s">
        <v>969</v>
      </c>
      <c r="F163" s="228" t="s">
        <v>1400</v>
      </c>
      <c r="G163" s="188" t="s">
        <v>68</v>
      </c>
      <c r="H163" s="205" t="s">
        <v>68</v>
      </c>
      <c r="I163" s="217">
        <v>10</v>
      </c>
      <c r="J163" s="187" t="s">
        <v>940</v>
      </c>
      <c r="K163" s="218">
        <v>100840336</v>
      </c>
      <c r="L163" s="219">
        <v>0.19</v>
      </c>
      <c r="M163" s="218">
        <v>19159663.84</v>
      </c>
      <c r="N163" s="218">
        <v>119999999.84</v>
      </c>
      <c r="O163" s="203" t="s">
        <v>791</v>
      </c>
      <c r="P163" s="203" t="s">
        <v>89</v>
      </c>
      <c r="Q163" s="220">
        <v>120000000</v>
      </c>
      <c r="R163" s="220">
        <v>0</v>
      </c>
      <c r="S163" s="220">
        <v>0</v>
      </c>
      <c r="T163" s="220">
        <v>0</v>
      </c>
      <c r="U163" s="203" t="s">
        <v>1399</v>
      </c>
      <c r="V163" s="204"/>
      <c r="W163" s="207">
        <v>100840336</v>
      </c>
      <c r="X163" s="225" t="s">
        <v>1320</v>
      </c>
      <c r="Y163" s="225" t="s">
        <v>1320</v>
      </c>
      <c r="Z163" s="225" t="s">
        <v>1320</v>
      </c>
    </row>
    <row r="164" spans="1:26" ht="43" customHeight="1" x14ac:dyDescent="0.35">
      <c r="A164" s="203" t="s">
        <v>927</v>
      </c>
      <c r="B164" s="203" t="s">
        <v>1364</v>
      </c>
      <c r="C164" s="203" t="s">
        <v>452</v>
      </c>
      <c r="D164" s="243">
        <v>80101500</v>
      </c>
      <c r="E164" s="216" t="s">
        <v>969</v>
      </c>
      <c r="F164" s="228" t="s">
        <v>1401</v>
      </c>
      <c r="G164" s="188" t="s">
        <v>68</v>
      </c>
      <c r="H164" s="205" t="s">
        <v>68</v>
      </c>
      <c r="I164" s="217">
        <v>10</v>
      </c>
      <c r="J164" s="187" t="s">
        <v>940</v>
      </c>
      <c r="K164" s="218">
        <v>120000000</v>
      </c>
      <c r="L164" s="219">
        <v>0.19</v>
      </c>
      <c r="M164" s="218">
        <v>22800000</v>
      </c>
      <c r="N164" s="218">
        <v>142800000</v>
      </c>
      <c r="O164" s="203" t="s">
        <v>791</v>
      </c>
      <c r="P164" s="203" t="s">
        <v>89</v>
      </c>
      <c r="Q164" s="220">
        <v>142800000</v>
      </c>
      <c r="R164" s="220">
        <v>0</v>
      </c>
      <c r="S164" s="220">
        <v>0</v>
      </c>
      <c r="T164" s="220">
        <v>0</v>
      </c>
      <c r="U164" s="203" t="s">
        <v>1394</v>
      </c>
      <c r="V164" s="204"/>
      <c r="W164" s="207">
        <v>120000000</v>
      </c>
      <c r="X164" s="225" t="s">
        <v>1320</v>
      </c>
      <c r="Y164" s="225" t="s">
        <v>1320</v>
      </c>
      <c r="Z164" s="225" t="s">
        <v>1320</v>
      </c>
    </row>
    <row r="165" spans="1:26" ht="43" customHeight="1" x14ac:dyDescent="0.35">
      <c r="A165" s="203" t="s">
        <v>927</v>
      </c>
      <c r="B165" s="203" t="s">
        <v>1364</v>
      </c>
      <c r="C165" s="203" t="s">
        <v>1402</v>
      </c>
      <c r="D165" s="243">
        <v>84111600</v>
      </c>
      <c r="E165" s="216" t="s">
        <v>1146</v>
      </c>
      <c r="F165" s="228" t="s">
        <v>1403</v>
      </c>
      <c r="G165" s="188" t="s">
        <v>69</v>
      </c>
      <c r="H165" s="205" t="s">
        <v>75</v>
      </c>
      <c r="I165" s="217">
        <v>36</v>
      </c>
      <c r="J165" s="187" t="s">
        <v>931</v>
      </c>
      <c r="K165" s="218">
        <v>8075725644</v>
      </c>
      <c r="L165" s="219">
        <v>0.19</v>
      </c>
      <c r="M165" s="218">
        <v>1534387872.3600001</v>
      </c>
      <c r="N165" s="218">
        <v>9610113516.3600006</v>
      </c>
      <c r="O165" s="203" t="s">
        <v>794</v>
      </c>
      <c r="P165" s="203" t="s">
        <v>932</v>
      </c>
      <c r="Q165" s="220">
        <v>489687313</v>
      </c>
      <c r="R165" s="220">
        <v>2938123878</v>
      </c>
      <c r="S165" s="220">
        <v>3427811191</v>
      </c>
      <c r="T165" s="220">
        <v>2754491136</v>
      </c>
      <c r="U165" s="203" t="s">
        <v>1404</v>
      </c>
      <c r="V165" s="204" t="s">
        <v>1405</v>
      </c>
      <c r="W165" s="207">
        <v>411501943</v>
      </c>
      <c r="X165" s="225" t="s">
        <v>1320</v>
      </c>
      <c r="Y165" s="225" t="s">
        <v>1320</v>
      </c>
      <c r="Z165" s="225" t="s">
        <v>1320</v>
      </c>
    </row>
    <row r="166" spans="1:26" ht="43" customHeight="1" x14ac:dyDescent="0.35">
      <c r="A166" s="203" t="s">
        <v>927</v>
      </c>
      <c r="B166" s="203" t="s">
        <v>1364</v>
      </c>
      <c r="C166" s="203" t="s">
        <v>1402</v>
      </c>
      <c r="D166" s="243">
        <v>80101500</v>
      </c>
      <c r="E166" s="216" t="s">
        <v>1406</v>
      </c>
      <c r="F166" s="228" t="s">
        <v>693</v>
      </c>
      <c r="G166" s="188" t="s">
        <v>67</v>
      </c>
      <c r="H166" s="205" t="s">
        <v>67</v>
      </c>
      <c r="I166" s="217">
        <v>6</v>
      </c>
      <c r="J166" s="187" t="s">
        <v>940</v>
      </c>
      <c r="K166" s="218">
        <v>10000000</v>
      </c>
      <c r="L166" s="219">
        <v>0.19</v>
      </c>
      <c r="M166" s="218">
        <v>1900000</v>
      </c>
      <c r="N166" s="218">
        <v>11900000</v>
      </c>
      <c r="O166" s="203" t="s">
        <v>791</v>
      </c>
      <c r="P166" s="203" t="s">
        <v>89</v>
      </c>
      <c r="Q166" s="220">
        <v>11900000</v>
      </c>
      <c r="R166" s="220">
        <v>0</v>
      </c>
      <c r="S166" s="220">
        <v>0</v>
      </c>
      <c r="T166" s="220">
        <v>0</v>
      </c>
      <c r="U166" s="203" t="s">
        <v>1404</v>
      </c>
      <c r="V166" s="204" t="s">
        <v>1407</v>
      </c>
      <c r="W166" s="207">
        <v>10000000</v>
      </c>
      <c r="X166" s="225" t="s">
        <v>1320</v>
      </c>
      <c r="Y166" s="225" t="s">
        <v>1320</v>
      </c>
      <c r="Z166" s="225" t="s">
        <v>1320</v>
      </c>
    </row>
    <row r="167" spans="1:26" ht="43" customHeight="1" x14ac:dyDescent="0.35">
      <c r="A167" s="203" t="s">
        <v>927</v>
      </c>
      <c r="B167" s="203" t="s">
        <v>1364</v>
      </c>
      <c r="C167" s="203" t="s">
        <v>1402</v>
      </c>
      <c r="D167" s="243">
        <v>80101500</v>
      </c>
      <c r="E167" s="216" t="s">
        <v>1408</v>
      </c>
      <c r="F167" s="228" t="s">
        <v>1409</v>
      </c>
      <c r="G167" s="188" t="s">
        <v>74</v>
      </c>
      <c r="H167" s="205" t="s">
        <v>75</v>
      </c>
      <c r="I167" s="217">
        <v>1</v>
      </c>
      <c r="J167" s="187" t="s">
        <v>940</v>
      </c>
      <c r="K167" s="218">
        <v>155000000</v>
      </c>
      <c r="L167" s="219">
        <v>0.19</v>
      </c>
      <c r="M167" s="218">
        <v>29450000</v>
      </c>
      <c r="N167" s="218">
        <v>184450000</v>
      </c>
      <c r="O167" s="203" t="s">
        <v>791</v>
      </c>
      <c r="P167" s="203" t="s">
        <v>89</v>
      </c>
      <c r="Q167" s="220">
        <v>184450000</v>
      </c>
      <c r="R167" s="220">
        <v>0</v>
      </c>
      <c r="S167" s="220">
        <v>0</v>
      </c>
      <c r="T167" s="220">
        <v>0</v>
      </c>
      <c r="U167" s="203" t="s">
        <v>1404</v>
      </c>
      <c r="V167" s="204"/>
      <c r="W167" s="207">
        <v>155000000</v>
      </c>
      <c r="X167" s="225" t="s">
        <v>1320</v>
      </c>
      <c r="Y167" s="225" t="s">
        <v>1320</v>
      </c>
      <c r="Z167" s="225" t="s">
        <v>1320</v>
      </c>
    </row>
    <row r="168" spans="1:26" ht="43" customHeight="1" x14ac:dyDescent="0.35">
      <c r="A168" s="203" t="s">
        <v>927</v>
      </c>
      <c r="B168" s="203" t="s">
        <v>1410</v>
      </c>
      <c r="C168" s="203" t="s">
        <v>1411</v>
      </c>
      <c r="D168" s="243">
        <v>80121604</v>
      </c>
      <c r="E168" s="216" t="s">
        <v>1412</v>
      </c>
      <c r="F168" s="228" t="s">
        <v>717</v>
      </c>
      <c r="G168" s="188" t="s">
        <v>67</v>
      </c>
      <c r="H168" s="205" t="s">
        <v>67</v>
      </c>
      <c r="I168" s="217">
        <v>11</v>
      </c>
      <c r="J168" s="187" t="s">
        <v>940</v>
      </c>
      <c r="K168" s="218">
        <v>42080000</v>
      </c>
      <c r="L168" s="219">
        <v>0.19</v>
      </c>
      <c r="M168" s="218">
        <v>7995200</v>
      </c>
      <c r="N168" s="218">
        <v>50075200</v>
      </c>
      <c r="O168" s="203" t="s">
        <v>791</v>
      </c>
      <c r="P168" s="203" t="s">
        <v>89</v>
      </c>
      <c r="Q168" s="220">
        <v>50075200</v>
      </c>
      <c r="R168" s="220">
        <v>0</v>
      </c>
      <c r="S168" s="220">
        <v>0</v>
      </c>
      <c r="T168" s="220">
        <v>0</v>
      </c>
      <c r="U168" s="203" t="s">
        <v>1413</v>
      </c>
      <c r="V168" s="204"/>
      <c r="W168" s="207"/>
      <c r="X168" s="225" t="s">
        <v>941</v>
      </c>
      <c r="Y168" s="225" t="s">
        <v>941</v>
      </c>
      <c r="Z168" s="225" t="s">
        <v>1414</v>
      </c>
    </row>
    <row r="169" spans="1:26" ht="43" customHeight="1" x14ac:dyDescent="0.35">
      <c r="A169" s="203" t="s">
        <v>927</v>
      </c>
      <c r="B169" s="203" t="s">
        <v>1410</v>
      </c>
      <c r="C169" s="203" t="s">
        <v>1411</v>
      </c>
      <c r="D169" s="243">
        <v>80121604</v>
      </c>
      <c r="E169" s="216" t="s">
        <v>1412</v>
      </c>
      <c r="F169" s="228" t="s">
        <v>717</v>
      </c>
      <c r="G169" s="188" t="s">
        <v>67</v>
      </c>
      <c r="H169" s="205" t="s">
        <v>67</v>
      </c>
      <c r="I169" s="217">
        <v>11</v>
      </c>
      <c r="J169" s="187" t="s">
        <v>940</v>
      </c>
      <c r="K169" s="218">
        <v>8887627</v>
      </c>
      <c r="L169" s="219">
        <v>0.19</v>
      </c>
      <c r="M169" s="218">
        <v>1688649.1300000001</v>
      </c>
      <c r="N169" s="218">
        <v>10576276.130000001</v>
      </c>
      <c r="O169" s="203" t="s">
        <v>791</v>
      </c>
      <c r="P169" s="203" t="s">
        <v>89</v>
      </c>
      <c r="Q169" s="220">
        <v>10576276.130000001</v>
      </c>
      <c r="R169" s="220">
        <v>0</v>
      </c>
      <c r="S169" s="220">
        <v>0</v>
      </c>
      <c r="T169" s="220">
        <v>0</v>
      </c>
      <c r="U169" s="203" t="s">
        <v>1413</v>
      </c>
      <c r="V169" s="204"/>
      <c r="W169" s="207"/>
      <c r="X169" s="225" t="s">
        <v>1415</v>
      </c>
      <c r="Y169" s="225" t="s">
        <v>1415</v>
      </c>
      <c r="Z169" s="225" t="s">
        <v>1415</v>
      </c>
    </row>
    <row r="170" spans="1:26" ht="43" customHeight="1" x14ac:dyDescent="0.35">
      <c r="A170" s="203" t="s">
        <v>927</v>
      </c>
      <c r="B170" s="203" t="s">
        <v>1410</v>
      </c>
      <c r="C170" s="203" t="s">
        <v>1411</v>
      </c>
      <c r="D170" s="243">
        <v>80121600</v>
      </c>
      <c r="E170" s="216" t="s">
        <v>1416</v>
      </c>
      <c r="F170" s="228" t="s">
        <v>718</v>
      </c>
      <c r="G170" s="188" t="s">
        <v>67</v>
      </c>
      <c r="H170" s="205" t="s">
        <v>67</v>
      </c>
      <c r="I170" s="217">
        <v>11</v>
      </c>
      <c r="J170" s="187" t="s">
        <v>940</v>
      </c>
      <c r="K170" s="218">
        <v>38441700</v>
      </c>
      <c r="L170" s="219">
        <v>0.19</v>
      </c>
      <c r="M170" s="218">
        <v>7303923</v>
      </c>
      <c r="N170" s="218">
        <v>45745623</v>
      </c>
      <c r="O170" s="203" t="s">
        <v>791</v>
      </c>
      <c r="P170" s="203" t="s">
        <v>89</v>
      </c>
      <c r="Q170" s="220">
        <v>45745623</v>
      </c>
      <c r="R170" s="220">
        <v>0</v>
      </c>
      <c r="S170" s="220">
        <v>0</v>
      </c>
      <c r="T170" s="220">
        <v>0</v>
      </c>
      <c r="U170" s="203" t="s">
        <v>1413</v>
      </c>
      <c r="V170" s="204"/>
      <c r="W170" s="207"/>
      <c r="X170" s="225" t="s">
        <v>941</v>
      </c>
      <c r="Y170" s="225" t="s">
        <v>941</v>
      </c>
      <c r="Z170" s="225" t="s">
        <v>1417</v>
      </c>
    </row>
    <row r="171" spans="1:26" ht="43" customHeight="1" x14ac:dyDescent="0.35">
      <c r="A171" s="203" t="s">
        <v>927</v>
      </c>
      <c r="B171" s="203" t="s">
        <v>1410</v>
      </c>
      <c r="C171" s="203" t="s">
        <v>1411</v>
      </c>
      <c r="D171" s="243">
        <v>80101500</v>
      </c>
      <c r="E171" s="216" t="s">
        <v>969</v>
      </c>
      <c r="F171" s="228" t="s">
        <v>720</v>
      </c>
      <c r="G171" s="188" t="s">
        <v>68</v>
      </c>
      <c r="H171" s="205" t="s">
        <v>68</v>
      </c>
      <c r="I171" s="217">
        <v>10</v>
      </c>
      <c r="J171" s="187" t="s">
        <v>940</v>
      </c>
      <c r="K171" s="218">
        <v>20291404</v>
      </c>
      <c r="L171" s="219">
        <v>0.19</v>
      </c>
      <c r="M171" s="218">
        <v>3855366.7600000002</v>
      </c>
      <c r="N171" s="218">
        <v>24146770.760000002</v>
      </c>
      <c r="O171" s="203" t="s">
        <v>791</v>
      </c>
      <c r="P171" s="203" t="s">
        <v>89</v>
      </c>
      <c r="Q171" s="220">
        <v>24146770.760000002</v>
      </c>
      <c r="R171" s="220">
        <v>0</v>
      </c>
      <c r="S171" s="220">
        <v>0</v>
      </c>
      <c r="T171" s="220">
        <v>0</v>
      </c>
      <c r="U171" s="203" t="s">
        <v>1413</v>
      </c>
      <c r="V171" s="204"/>
      <c r="W171" s="207"/>
      <c r="X171" s="225" t="s">
        <v>941</v>
      </c>
      <c r="Y171" s="225" t="s">
        <v>941</v>
      </c>
      <c r="Z171" s="225" t="s">
        <v>1414</v>
      </c>
    </row>
    <row r="172" spans="1:26" ht="43" customHeight="1" x14ac:dyDescent="0.35">
      <c r="A172" s="203" t="s">
        <v>927</v>
      </c>
      <c r="B172" s="203" t="s">
        <v>1410</v>
      </c>
      <c r="C172" s="203" t="s">
        <v>1418</v>
      </c>
      <c r="D172" s="243">
        <v>80121609</v>
      </c>
      <c r="E172" s="216" t="s">
        <v>1419</v>
      </c>
      <c r="F172" s="228" t="s">
        <v>721</v>
      </c>
      <c r="G172" s="188" t="s">
        <v>68</v>
      </c>
      <c r="H172" s="205" t="s">
        <v>68</v>
      </c>
      <c r="I172" s="217">
        <v>10</v>
      </c>
      <c r="J172" s="187" t="s">
        <v>940</v>
      </c>
      <c r="K172" s="218">
        <v>4776513</v>
      </c>
      <c r="L172" s="219">
        <v>0.19</v>
      </c>
      <c r="M172" s="218">
        <v>907537.47</v>
      </c>
      <c r="N172" s="218">
        <v>5684050.4699999997</v>
      </c>
      <c r="O172" s="203" t="s">
        <v>791</v>
      </c>
      <c r="P172" s="203" t="s">
        <v>89</v>
      </c>
      <c r="Q172" s="220">
        <v>5684050.4699999997</v>
      </c>
      <c r="R172" s="220">
        <v>0</v>
      </c>
      <c r="S172" s="220">
        <v>0</v>
      </c>
      <c r="T172" s="220">
        <v>0</v>
      </c>
      <c r="U172" s="203" t="s">
        <v>1420</v>
      </c>
      <c r="V172" s="204"/>
      <c r="W172" s="207"/>
      <c r="X172" s="225" t="s">
        <v>941</v>
      </c>
      <c r="Y172" s="225" t="s">
        <v>941</v>
      </c>
      <c r="Z172" s="225" t="s">
        <v>1421</v>
      </c>
    </row>
    <row r="173" spans="1:26" ht="43" customHeight="1" x14ac:dyDescent="0.35">
      <c r="A173" s="203" t="s">
        <v>927</v>
      </c>
      <c r="B173" s="203" t="s">
        <v>1410</v>
      </c>
      <c r="C173" s="203" t="s">
        <v>1418</v>
      </c>
      <c r="D173" s="243">
        <v>80100000</v>
      </c>
      <c r="E173" s="216" t="s">
        <v>1108</v>
      </c>
      <c r="F173" s="228" t="s">
        <v>1422</v>
      </c>
      <c r="G173" s="188" t="s">
        <v>68</v>
      </c>
      <c r="H173" s="205" t="s">
        <v>68</v>
      </c>
      <c r="I173" s="217">
        <v>10</v>
      </c>
      <c r="J173" s="187" t="s">
        <v>940</v>
      </c>
      <c r="K173" s="218">
        <v>57866666.666666664</v>
      </c>
      <c r="L173" s="219">
        <v>0</v>
      </c>
      <c r="M173" s="218">
        <v>0</v>
      </c>
      <c r="N173" s="218">
        <v>57866666.666666664</v>
      </c>
      <c r="O173" s="203" t="s">
        <v>791</v>
      </c>
      <c r="P173" s="203" t="s">
        <v>89</v>
      </c>
      <c r="Q173" s="220">
        <v>57866666.666666664</v>
      </c>
      <c r="R173" s="220">
        <v>0</v>
      </c>
      <c r="S173" s="220">
        <v>0</v>
      </c>
      <c r="T173" s="220">
        <v>0</v>
      </c>
      <c r="U173" s="203" t="s">
        <v>1420</v>
      </c>
      <c r="V173" s="204"/>
      <c r="W173" s="207"/>
      <c r="X173" s="225" t="s">
        <v>941</v>
      </c>
      <c r="Y173" s="225" t="s">
        <v>941</v>
      </c>
      <c r="Z173" s="225" t="s">
        <v>1423</v>
      </c>
    </row>
    <row r="174" spans="1:26" ht="43" customHeight="1" x14ac:dyDescent="0.35">
      <c r="A174" s="203" t="s">
        <v>927</v>
      </c>
      <c r="B174" s="203" t="s">
        <v>1410</v>
      </c>
      <c r="C174" s="203" t="s">
        <v>1418</v>
      </c>
      <c r="D174" s="243">
        <v>80100000</v>
      </c>
      <c r="E174" s="216" t="s">
        <v>1108</v>
      </c>
      <c r="F174" s="228" t="s">
        <v>1424</v>
      </c>
      <c r="G174" s="188" t="s">
        <v>68</v>
      </c>
      <c r="H174" s="205" t="s">
        <v>68</v>
      </c>
      <c r="I174" s="217">
        <v>10</v>
      </c>
      <c r="J174" s="187" t="s">
        <v>940</v>
      </c>
      <c r="K174" s="218">
        <v>60966666.666666664</v>
      </c>
      <c r="L174" s="219">
        <v>0</v>
      </c>
      <c r="M174" s="218">
        <v>0</v>
      </c>
      <c r="N174" s="218">
        <v>60966666.666666664</v>
      </c>
      <c r="O174" s="203" t="s">
        <v>791</v>
      </c>
      <c r="P174" s="203" t="s">
        <v>89</v>
      </c>
      <c r="Q174" s="220">
        <v>60966666.666666664</v>
      </c>
      <c r="R174" s="220">
        <v>0</v>
      </c>
      <c r="S174" s="220">
        <v>0</v>
      </c>
      <c r="T174" s="220">
        <v>0</v>
      </c>
      <c r="U174" s="203" t="s">
        <v>1420</v>
      </c>
      <c r="V174" s="204"/>
      <c r="W174" s="207"/>
      <c r="X174" s="225" t="s">
        <v>941</v>
      </c>
      <c r="Y174" s="225" t="s">
        <v>941</v>
      </c>
      <c r="Z174" s="225" t="s">
        <v>1423</v>
      </c>
    </row>
    <row r="175" spans="1:26" ht="43" customHeight="1" x14ac:dyDescent="0.35">
      <c r="A175" s="203" t="s">
        <v>927</v>
      </c>
      <c r="B175" s="203" t="s">
        <v>1410</v>
      </c>
      <c r="C175" s="203" t="s">
        <v>1418</v>
      </c>
      <c r="D175" s="243">
        <v>80100000</v>
      </c>
      <c r="E175" s="216" t="s">
        <v>1108</v>
      </c>
      <c r="F175" s="228" t="s">
        <v>1425</v>
      </c>
      <c r="G175" s="188" t="s">
        <v>68</v>
      </c>
      <c r="H175" s="205" t="s">
        <v>68</v>
      </c>
      <c r="I175" s="217">
        <v>10</v>
      </c>
      <c r="J175" s="187" t="s">
        <v>940</v>
      </c>
      <c r="K175" s="218">
        <v>49866666.666666664</v>
      </c>
      <c r="L175" s="219">
        <v>0</v>
      </c>
      <c r="M175" s="218">
        <v>0</v>
      </c>
      <c r="N175" s="218">
        <v>49866666.666666664</v>
      </c>
      <c r="O175" s="203" t="s">
        <v>791</v>
      </c>
      <c r="P175" s="203" t="s">
        <v>89</v>
      </c>
      <c r="Q175" s="220">
        <v>49866666.666666664</v>
      </c>
      <c r="R175" s="220">
        <v>0</v>
      </c>
      <c r="S175" s="220">
        <v>0</v>
      </c>
      <c r="T175" s="220">
        <v>0</v>
      </c>
      <c r="U175" s="203" t="s">
        <v>1420</v>
      </c>
      <c r="V175" s="204"/>
      <c r="W175" s="207"/>
      <c r="X175" s="225" t="s">
        <v>941</v>
      </c>
      <c r="Y175" s="225" t="s">
        <v>941</v>
      </c>
      <c r="Z175" s="225" t="s">
        <v>1423</v>
      </c>
    </row>
    <row r="176" spans="1:26" ht="43" customHeight="1" x14ac:dyDescent="0.35">
      <c r="A176" s="203" t="s">
        <v>927</v>
      </c>
      <c r="B176" s="203" t="s">
        <v>1410</v>
      </c>
      <c r="C176" s="203" t="s">
        <v>1418</v>
      </c>
      <c r="D176" s="243">
        <v>80100000</v>
      </c>
      <c r="E176" s="216" t="s">
        <v>1108</v>
      </c>
      <c r="F176" s="228" t="s">
        <v>1426</v>
      </c>
      <c r="G176" s="188" t="s">
        <v>68</v>
      </c>
      <c r="H176" s="205" t="s">
        <v>68</v>
      </c>
      <c r="I176" s="217">
        <v>10</v>
      </c>
      <c r="J176" s="187" t="s">
        <v>940</v>
      </c>
      <c r="K176" s="218">
        <v>29466666.666666668</v>
      </c>
      <c r="L176" s="219">
        <v>0</v>
      </c>
      <c r="M176" s="218">
        <v>0</v>
      </c>
      <c r="N176" s="218">
        <v>29466666.666666668</v>
      </c>
      <c r="O176" s="203" t="s">
        <v>791</v>
      </c>
      <c r="P176" s="203" t="s">
        <v>89</v>
      </c>
      <c r="Q176" s="220">
        <v>29466666.666666668</v>
      </c>
      <c r="R176" s="220">
        <v>0</v>
      </c>
      <c r="S176" s="220">
        <v>0</v>
      </c>
      <c r="T176" s="220">
        <v>0</v>
      </c>
      <c r="U176" s="203" t="s">
        <v>1420</v>
      </c>
      <c r="V176" s="204"/>
      <c r="W176" s="207"/>
      <c r="X176" s="225" t="s">
        <v>941</v>
      </c>
      <c r="Y176" s="225" t="s">
        <v>941</v>
      </c>
      <c r="Z176" s="225" t="s">
        <v>1423</v>
      </c>
    </row>
    <row r="177" spans="1:26" ht="43" customHeight="1" x14ac:dyDescent="0.35">
      <c r="A177" s="203" t="s">
        <v>927</v>
      </c>
      <c r="B177" s="203" t="s">
        <v>1410</v>
      </c>
      <c r="C177" s="203" t="s">
        <v>1418</v>
      </c>
      <c r="D177" s="243">
        <v>94131603</v>
      </c>
      <c r="E177" s="216" t="s">
        <v>1427</v>
      </c>
      <c r="F177" s="228" t="s">
        <v>1428</v>
      </c>
      <c r="G177" s="188" t="s">
        <v>69</v>
      </c>
      <c r="H177" s="205" t="s">
        <v>69</v>
      </c>
      <c r="I177" s="217">
        <v>12</v>
      </c>
      <c r="J177" s="187" t="s">
        <v>940</v>
      </c>
      <c r="K177" s="218">
        <v>150000000</v>
      </c>
      <c r="L177" s="219">
        <v>0.19</v>
      </c>
      <c r="M177" s="218">
        <v>28500000</v>
      </c>
      <c r="N177" s="218">
        <v>178500000</v>
      </c>
      <c r="O177" s="203" t="s">
        <v>791</v>
      </c>
      <c r="P177" s="203" t="s">
        <v>89</v>
      </c>
      <c r="Q177" s="220">
        <v>178500000</v>
      </c>
      <c r="R177" s="220">
        <v>0</v>
      </c>
      <c r="S177" s="220">
        <v>0</v>
      </c>
      <c r="T177" s="220">
        <v>0</v>
      </c>
      <c r="U177" s="203" t="s">
        <v>1420</v>
      </c>
      <c r="V177" s="204"/>
      <c r="W177" s="207"/>
      <c r="X177" s="225" t="s">
        <v>792</v>
      </c>
      <c r="Y177" s="225" t="s">
        <v>792</v>
      </c>
      <c r="Z177" s="225" t="s">
        <v>792</v>
      </c>
    </row>
    <row r="178" spans="1:26" ht="43" customHeight="1" x14ac:dyDescent="0.35">
      <c r="A178" s="203" t="s">
        <v>927</v>
      </c>
      <c r="B178" s="203" t="s">
        <v>1410</v>
      </c>
      <c r="C178" s="203" t="s">
        <v>1418</v>
      </c>
      <c r="D178" s="243">
        <v>94131603</v>
      </c>
      <c r="E178" s="216" t="s">
        <v>1427</v>
      </c>
      <c r="F178" s="228" t="s">
        <v>1428</v>
      </c>
      <c r="G178" s="188" t="s">
        <v>69</v>
      </c>
      <c r="H178" s="205" t="s">
        <v>69</v>
      </c>
      <c r="I178" s="217">
        <v>12</v>
      </c>
      <c r="J178" s="187" t="s">
        <v>940</v>
      </c>
      <c r="K178" s="218">
        <v>150000000</v>
      </c>
      <c r="L178" s="219">
        <v>0.19</v>
      </c>
      <c r="M178" s="218">
        <v>28500000</v>
      </c>
      <c r="N178" s="218">
        <v>178500000</v>
      </c>
      <c r="O178" s="203" t="s">
        <v>791</v>
      </c>
      <c r="P178" s="203" t="s">
        <v>89</v>
      </c>
      <c r="Q178" s="220">
        <v>178500000</v>
      </c>
      <c r="R178" s="220">
        <v>0</v>
      </c>
      <c r="S178" s="220">
        <v>0</v>
      </c>
      <c r="T178" s="220">
        <v>0</v>
      </c>
      <c r="U178" s="203" t="s">
        <v>1420</v>
      </c>
      <c r="V178" s="204"/>
      <c r="W178" s="207"/>
      <c r="X178" s="225" t="s">
        <v>792</v>
      </c>
      <c r="Y178" s="225" t="s">
        <v>792</v>
      </c>
      <c r="Z178" s="225" t="s">
        <v>792</v>
      </c>
    </row>
    <row r="179" spans="1:26" ht="43" customHeight="1" x14ac:dyDescent="0.35">
      <c r="A179" s="203" t="s">
        <v>927</v>
      </c>
      <c r="B179" s="203" t="s">
        <v>1410</v>
      </c>
      <c r="C179" s="203" t="s">
        <v>1418</v>
      </c>
      <c r="D179" s="243">
        <v>94131603</v>
      </c>
      <c r="E179" s="216" t="s">
        <v>1427</v>
      </c>
      <c r="F179" s="228" t="s">
        <v>1428</v>
      </c>
      <c r="G179" s="188" t="s">
        <v>69</v>
      </c>
      <c r="H179" s="205" t="s">
        <v>69</v>
      </c>
      <c r="I179" s="217">
        <v>12</v>
      </c>
      <c r="J179" s="187" t="s">
        <v>940</v>
      </c>
      <c r="K179" s="218">
        <v>150000000</v>
      </c>
      <c r="L179" s="219">
        <v>0.19</v>
      </c>
      <c r="M179" s="218">
        <v>28500000</v>
      </c>
      <c r="N179" s="218">
        <v>178500000</v>
      </c>
      <c r="O179" s="203" t="s">
        <v>791</v>
      </c>
      <c r="P179" s="203" t="s">
        <v>89</v>
      </c>
      <c r="Q179" s="220">
        <v>178500000</v>
      </c>
      <c r="R179" s="220">
        <v>0</v>
      </c>
      <c r="S179" s="220">
        <v>0</v>
      </c>
      <c r="T179" s="220">
        <v>0</v>
      </c>
      <c r="U179" s="203" t="s">
        <v>1420</v>
      </c>
      <c r="V179" s="204"/>
      <c r="W179" s="207"/>
      <c r="X179" s="225" t="s">
        <v>792</v>
      </c>
      <c r="Y179" s="225" t="s">
        <v>792</v>
      </c>
      <c r="Z179" s="225" t="s">
        <v>792</v>
      </c>
    </row>
    <row r="180" spans="1:26" ht="43" customHeight="1" x14ac:dyDescent="0.35">
      <c r="A180" s="203" t="s">
        <v>927</v>
      </c>
      <c r="B180" s="203" t="s">
        <v>1410</v>
      </c>
      <c r="C180" s="203" t="s">
        <v>1418</v>
      </c>
      <c r="D180" s="243">
        <v>94131603</v>
      </c>
      <c r="E180" s="216" t="s">
        <v>1427</v>
      </c>
      <c r="F180" s="228" t="s">
        <v>1428</v>
      </c>
      <c r="G180" s="188" t="s">
        <v>69</v>
      </c>
      <c r="H180" s="205" t="s">
        <v>69</v>
      </c>
      <c r="I180" s="217">
        <v>12</v>
      </c>
      <c r="J180" s="187" t="s">
        <v>940</v>
      </c>
      <c r="K180" s="218">
        <v>150000000</v>
      </c>
      <c r="L180" s="219">
        <v>0.19</v>
      </c>
      <c r="M180" s="218">
        <v>28500000</v>
      </c>
      <c r="N180" s="218">
        <v>178500000</v>
      </c>
      <c r="O180" s="203" t="s">
        <v>791</v>
      </c>
      <c r="P180" s="203" t="s">
        <v>89</v>
      </c>
      <c r="Q180" s="220">
        <v>178500000</v>
      </c>
      <c r="R180" s="220">
        <v>0</v>
      </c>
      <c r="S180" s="220">
        <v>0</v>
      </c>
      <c r="T180" s="220">
        <v>0</v>
      </c>
      <c r="U180" s="203" t="s">
        <v>1420</v>
      </c>
      <c r="V180" s="204"/>
      <c r="W180" s="207"/>
      <c r="X180" s="225" t="s">
        <v>792</v>
      </c>
      <c r="Y180" s="225" t="s">
        <v>792</v>
      </c>
      <c r="Z180" s="225" t="s">
        <v>792</v>
      </c>
    </row>
    <row r="181" spans="1:26" ht="43" customHeight="1" x14ac:dyDescent="0.35">
      <c r="A181" s="203" t="s">
        <v>927</v>
      </c>
      <c r="B181" s="203" t="s">
        <v>1410</v>
      </c>
      <c r="C181" s="203" t="s">
        <v>1418</v>
      </c>
      <c r="D181" s="243">
        <v>94131603</v>
      </c>
      <c r="E181" s="216" t="s">
        <v>1427</v>
      </c>
      <c r="F181" s="228" t="s">
        <v>1428</v>
      </c>
      <c r="G181" s="188" t="s">
        <v>69</v>
      </c>
      <c r="H181" s="205" t="s">
        <v>69</v>
      </c>
      <c r="I181" s="217">
        <v>12</v>
      </c>
      <c r="J181" s="187" t="s">
        <v>940</v>
      </c>
      <c r="K181" s="218">
        <v>150000000</v>
      </c>
      <c r="L181" s="219">
        <v>0.19</v>
      </c>
      <c r="M181" s="218">
        <v>28500000</v>
      </c>
      <c r="N181" s="218">
        <v>178500000</v>
      </c>
      <c r="O181" s="203" t="s">
        <v>791</v>
      </c>
      <c r="P181" s="203" t="s">
        <v>89</v>
      </c>
      <c r="Q181" s="220">
        <v>178500000</v>
      </c>
      <c r="R181" s="220">
        <v>0</v>
      </c>
      <c r="S181" s="220">
        <v>0</v>
      </c>
      <c r="T181" s="220">
        <v>0</v>
      </c>
      <c r="U181" s="203" t="s">
        <v>1420</v>
      </c>
      <c r="V181" s="204"/>
      <c r="W181" s="207"/>
      <c r="X181" s="225" t="s">
        <v>792</v>
      </c>
      <c r="Y181" s="225" t="s">
        <v>792</v>
      </c>
      <c r="Z181" s="225" t="s">
        <v>792</v>
      </c>
    </row>
    <row r="182" spans="1:26" ht="43" customHeight="1" x14ac:dyDescent="0.35">
      <c r="A182" s="203" t="s">
        <v>927</v>
      </c>
      <c r="B182" s="203" t="s">
        <v>1410</v>
      </c>
      <c r="C182" s="203" t="s">
        <v>1418</v>
      </c>
      <c r="D182" s="243">
        <v>94131603</v>
      </c>
      <c r="E182" s="216" t="s">
        <v>1427</v>
      </c>
      <c r="F182" s="228" t="s">
        <v>1428</v>
      </c>
      <c r="G182" s="188" t="s">
        <v>69</v>
      </c>
      <c r="H182" s="205" t="s">
        <v>69</v>
      </c>
      <c r="I182" s="217">
        <v>12</v>
      </c>
      <c r="J182" s="187" t="s">
        <v>940</v>
      </c>
      <c r="K182" s="218">
        <v>150000000</v>
      </c>
      <c r="L182" s="219">
        <v>0.19</v>
      </c>
      <c r="M182" s="218">
        <v>28500000</v>
      </c>
      <c r="N182" s="218">
        <v>178500000</v>
      </c>
      <c r="O182" s="203" t="s">
        <v>791</v>
      </c>
      <c r="P182" s="203" t="s">
        <v>89</v>
      </c>
      <c r="Q182" s="220">
        <v>178500000</v>
      </c>
      <c r="R182" s="220">
        <v>0</v>
      </c>
      <c r="S182" s="220">
        <v>0</v>
      </c>
      <c r="T182" s="220">
        <v>0</v>
      </c>
      <c r="U182" s="203" t="s">
        <v>1420</v>
      </c>
      <c r="V182" s="204"/>
      <c r="W182" s="207"/>
      <c r="X182" s="225" t="s">
        <v>792</v>
      </c>
      <c r="Y182" s="225" t="s">
        <v>792</v>
      </c>
      <c r="Z182" s="225" t="s">
        <v>792</v>
      </c>
    </row>
    <row r="183" spans="1:26" ht="43" customHeight="1" x14ac:dyDescent="0.35">
      <c r="A183" s="203" t="s">
        <v>927</v>
      </c>
      <c r="B183" s="203" t="s">
        <v>1410</v>
      </c>
      <c r="C183" s="203" t="s">
        <v>1418</v>
      </c>
      <c r="D183" s="243">
        <v>94131603</v>
      </c>
      <c r="E183" s="216" t="s">
        <v>1427</v>
      </c>
      <c r="F183" s="228" t="s">
        <v>1428</v>
      </c>
      <c r="G183" s="188" t="s">
        <v>69</v>
      </c>
      <c r="H183" s="205" t="s">
        <v>69</v>
      </c>
      <c r="I183" s="217">
        <v>12</v>
      </c>
      <c r="J183" s="187" t="s">
        <v>940</v>
      </c>
      <c r="K183" s="218">
        <v>150000000</v>
      </c>
      <c r="L183" s="219">
        <v>0.19</v>
      </c>
      <c r="M183" s="218">
        <v>28500000</v>
      </c>
      <c r="N183" s="218">
        <v>178500000</v>
      </c>
      <c r="O183" s="203" t="s">
        <v>791</v>
      </c>
      <c r="P183" s="203" t="s">
        <v>89</v>
      </c>
      <c r="Q183" s="220">
        <v>178500000</v>
      </c>
      <c r="R183" s="220">
        <v>0</v>
      </c>
      <c r="S183" s="220">
        <v>0</v>
      </c>
      <c r="T183" s="220">
        <v>0</v>
      </c>
      <c r="U183" s="203" t="s">
        <v>1420</v>
      </c>
      <c r="V183" s="204"/>
      <c r="W183" s="207"/>
      <c r="X183" s="225" t="s">
        <v>792</v>
      </c>
      <c r="Y183" s="225" t="s">
        <v>792</v>
      </c>
      <c r="Z183" s="225" t="s">
        <v>792</v>
      </c>
    </row>
    <row r="184" spans="1:26" ht="43" customHeight="1" x14ac:dyDescent="0.35">
      <c r="A184" s="203" t="s">
        <v>927</v>
      </c>
      <c r="B184" s="203" t="s">
        <v>1410</v>
      </c>
      <c r="C184" s="203" t="s">
        <v>1418</v>
      </c>
      <c r="D184" s="243">
        <v>94131603</v>
      </c>
      <c r="E184" s="216" t="s">
        <v>1427</v>
      </c>
      <c r="F184" s="228" t="s">
        <v>1428</v>
      </c>
      <c r="G184" s="188" t="s">
        <v>69</v>
      </c>
      <c r="H184" s="205" t="s">
        <v>69</v>
      </c>
      <c r="I184" s="217">
        <v>12</v>
      </c>
      <c r="J184" s="187" t="s">
        <v>940</v>
      </c>
      <c r="K184" s="218">
        <v>150000000</v>
      </c>
      <c r="L184" s="219">
        <v>0.19</v>
      </c>
      <c r="M184" s="218">
        <v>28500000</v>
      </c>
      <c r="N184" s="218">
        <v>178500000</v>
      </c>
      <c r="O184" s="203" t="s">
        <v>791</v>
      </c>
      <c r="P184" s="203" t="s">
        <v>89</v>
      </c>
      <c r="Q184" s="220">
        <v>178500000</v>
      </c>
      <c r="R184" s="220">
        <v>0</v>
      </c>
      <c r="S184" s="220">
        <v>0</v>
      </c>
      <c r="T184" s="220">
        <v>0</v>
      </c>
      <c r="U184" s="203" t="s">
        <v>1420</v>
      </c>
      <c r="V184" s="204"/>
      <c r="W184" s="207"/>
      <c r="X184" s="225" t="s">
        <v>792</v>
      </c>
      <c r="Y184" s="225" t="s">
        <v>792</v>
      </c>
      <c r="Z184" s="225" t="s">
        <v>792</v>
      </c>
    </row>
    <row r="185" spans="1:26" ht="43" customHeight="1" x14ac:dyDescent="0.35">
      <c r="A185" s="203" t="s">
        <v>927</v>
      </c>
      <c r="B185" s="203" t="s">
        <v>1410</v>
      </c>
      <c r="C185" s="203" t="s">
        <v>1418</v>
      </c>
      <c r="D185" s="243">
        <v>94131603</v>
      </c>
      <c r="E185" s="216" t="s">
        <v>1427</v>
      </c>
      <c r="F185" s="228" t="s">
        <v>1428</v>
      </c>
      <c r="G185" s="188" t="s">
        <v>69</v>
      </c>
      <c r="H185" s="205" t="s">
        <v>69</v>
      </c>
      <c r="I185" s="217">
        <v>12</v>
      </c>
      <c r="J185" s="187" t="s">
        <v>940</v>
      </c>
      <c r="K185" s="218">
        <v>150000000</v>
      </c>
      <c r="L185" s="219">
        <v>0.19</v>
      </c>
      <c r="M185" s="218">
        <v>28500000</v>
      </c>
      <c r="N185" s="218">
        <v>178500000</v>
      </c>
      <c r="O185" s="203" t="s">
        <v>791</v>
      </c>
      <c r="P185" s="203" t="s">
        <v>89</v>
      </c>
      <c r="Q185" s="220">
        <v>178500000</v>
      </c>
      <c r="R185" s="220">
        <v>0</v>
      </c>
      <c r="S185" s="220">
        <v>0</v>
      </c>
      <c r="T185" s="220">
        <v>0</v>
      </c>
      <c r="U185" s="203" t="s">
        <v>1420</v>
      </c>
      <c r="V185" s="204"/>
      <c r="W185" s="207"/>
      <c r="X185" s="225" t="s">
        <v>792</v>
      </c>
      <c r="Y185" s="225" t="s">
        <v>792</v>
      </c>
      <c r="Z185" s="225" t="s">
        <v>792</v>
      </c>
    </row>
    <row r="186" spans="1:26" ht="43" customHeight="1" x14ac:dyDescent="0.35">
      <c r="A186" s="203" t="s">
        <v>927</v>
      </c>
      <c r="B186" s="203" t="s">
        <v>1410</v>
      </c>
      <c r="C186" s="203" t="s">
        <v>1418</v>
      </c>
      <c r="D186" s="243">
        <v>94131603</v>
      </c>
      <c r="E186" s="216" t="s">
        <v>1427</v>
      </c>
      <c r="F186" s="228" t="s">
        <v>1428</v>
      </c>
      <c r="G186" s="188" t="s">
        <v>69</v>
      </c>
      <c r="H186" s="205" t="s">
        <v>69</v>
      </c>
      <c r="I186" s="217">
        <v>12</v>
      </c>
      <c r="J186" s="187" t="s">
        <v>940</v>
      </c>
      <c r="K186" s="218">
        <v>150000000</v>
      </c>
      <c r="L186" s="219">
        <v>0.19</v>
      </c>
      <c r="M186" s="218">
        <v>28500000</v>
      </c>
      <c r="N186" s="218">
        <v>178500000</v>
      </c>
      <c r="O186" s="203" t="s">
        <v>791</v>
      </c>
      <c r="P186" s="203" t="s">
        <v>89</v>
      </c>
      <c r="Q186" s="220">
        <v>178500000</v>
      </c>
      <c r="R186" s="220">
        <v>0</v>
      </c>
      <c r="S186" s="220">
        <v>0</v>
      </c>
      <c r="T186" s="220">
        <v>0</v>
      </c>
      <c r="U186" s="203" t="s">
        <v>1420</v>
      </c>
      <c r="V186" s="204"/>
      <c r="W186" s="207"/>
      <c r="X186" s="225" t="s">
        <v>792</v>
      </c>
      <c r="Y186" s="225" t="s">
        <v>792</v>
      </c>
      <c r="Z186" s="225" t="s">
        <v>792</v>
      </c>
    </row>
    <row r="187" spans="1:26" ht="43" customHeight="1" x14ac:dyDescent="0.35">
      <c r="A187" s="203" t="s">
        <v>927</v>
      </c>
      <c r="B187" s="203" t="s">
        <v>1410</v>
      </c>
      <c r="C187" s="203" t="s">
        <v>1418</v>
      </c>
      <c r="D187" s="243">
        <v>94131603</v>
      </c>
      <c r="E187" s="216" t="s">
        <v>1427</v>
      </c>
      <c r="F187" s="228" t="s">
        <v>1428</v>
      </c>
      <c r="G187" s="188" t="s">
        <v>70</v>
      </c>
      <c r="H187" s="205" t="s">
        <v>70</v>
      </c>
      <c r="I187" s="217">
        <v>12</v>
      </c>
      <c r="J187" s="187" t="s">
        <v>940</v>
      </c>
      <c r="K187" s="218">
        <v>400000000</v>
      </c>
      <c r="L187" s="219">
        <v>0.19</v>
      </c>
      <c r="M187" s="218">
        <v>76000000</v>
      </c>
      <c r="N187" s="218">
        <v>476000000</v>
      </c>
      <c r="O187" s="203" t="s">
        <v>791</v>
      </c>
      <c r="P187" s="203" t="s">
        <v>89</v>
      </c>
      <c r="Q187" s="220">
        <v>476000000</v>
      </c>
      <c r="R187" s="220">
        <v>0</v>
      </c>
      <c r="S187" s="220">
        <v>0</v>
      </c>
      <c r="T187" s="220">
        <v>0</v>
      </c>
      <c r="U187" s="203" t="s">
        <v>1420</v>
      </c>
      <c r="V187" s="204"/>
      <c r="W187" s="207"/>
      <c r="X187" s="225" t="s">
        <v>792</v>
      </c>
      <c r="Y187" s="225" t="s">
        <v>792</v>
      </c>
      <c r="Z187" s="225" t="s">
        <v>792</v>
      </c>
    </row>
    <row r="188" spans="1:26" ht="43" customHeight="1" x14ac:dyDescent="0.35">
      <c r="A188" s="203" t="s">
        <v>927</v>
      </c>
      <c r="B188" s="203" t="s">
        <v>1410</v>
      </c>
      <c r="C188" s="203" t="s">
        <v>1418</v>
      </c>
      <c r="D188" s="243">
        <v>94131603</v>
      </c>
      <c r="E188" s="216" t="s">
        <v>1427</v>
      </c>
      <c r="F188" s="228" t="s">
        <v>1428</v>
      </c>
      <c r="G188" s="188" t="s">
        <v>70</v>
      </c>
      <c r="H188" s="205" t="s">
        <v>70</v>
      </c>
      <c r="I188" s="217">
        <v>12</v>
      </c>
      <c r="J188" s="187" t="s">
        <v>940</v>
      </c>
      <c r="K188" s="218">
        <v>400000000</v>
      </c>
      <c r="L188" s="219">
        <v>0.19</v>
      </c>
      <c r="M188" s="218">
        <v>76000000</v>
      </c>
      <c r="N188" s="218">
        <v>476000000</v>
      </c>
      <c r="O188" s="203" t="s">
        <v>791</v>
      </c>
      <c r="P188" s="203" t="s">
        <v>89</v>
      </c>
      <c r="Q188" s="220">
        <v>476000000</v>
      </c>
      <c r="R188" s="220">
        <v>0</v>
      </c>
      <c r="S188" s="220">
        <v>0</v>
      </c>
      <c r="T188" s="220">
        <v>0</v>
      </c>
      <c r="U188" s="203" t="s">
        <v>1420</v>
      </c>
      <c r="V188" s="204"/>
      <c r="W188" s="207"/>
      <c r="X188" s="225" t="s">
        <v>792</v>
      </c>
      <c r="Y188" s="225" t="s">
        <v>792</v>
      </c>
      <c r="Z188" s="225" t="s">
        <v>792</v>
      </c>
    </row>
    <row r="189" spans="1:26" ht="43" customHeight="1" x14ac:dyDescent="0.35">
      <c r="A189" s="203" t="s">
        <v>927</v>
      </c>
      <c r="B189" s="203" t="s">
        <v>1410</v>
      </c>
      <c r="C189" s="203" t="s">
        <v>1418</v>
      </c>
      <c r="D189" s="243">
        <v>94131603</v>
      </c>
      <c r="E189" s="216" t="s">
        <v>1427</v>
      </c>
      <c r="F189" s="228" t="s">
        <v>1428</v>
      </c>
      <c r="G189" s="188" t="s">
        <v>70</v>
      </c>
      <c r="H189" s="205" t="s">
        <v>70</v>
      </c>
      <c r="I189" s="217">
        <v>12</v>
      </c>
      <c r="J189" s="187" t="s">
        <v>940</v>
      </c>
      <c r="K189" s="218">
        <v>400000000</v>
      </c>
      <c r="L189" s="219">
        <v>0.19</v>
      </c>
      <c r="M189" s="218">
        <v>76000000</v>
      </c>
      <c r="N189" s="218">
        <v>476000000</v>
      </c>
      <c r="O189" s="203" t="s">
        <v>791</v>
      </c>
      <c r="P189" s="203" t="s">
        <v>89</v>
      </c>
      <c r="Q189" s="220">
        <v>476000000</v>
      </c>
      <c r="R189" s="220">
        <v>0</v>
      </c>
      <c r="S189" s="220">
        <v>0</v>
      </c>
      <c r="T189" s="220">
        <v>0</v>
      </c>
      <c r="U189" s="203" t="s">
        <v>1420</v>
      </c>
      <c r="V189" s="204"/>
      <c r="W189" s="207"/>
      <c r="X189" s="225" t="s">
        <v>792</v>
      </c>
      <c r="Y189" s="225" t="s">
        <v>792</v>
      </c>
      <c r="Z189" s="225" t="s">
        <v>792</v>
      </c>
    </row>
    <row r="190" spans="1:26" ht="43" customHeight="1" x14ac:dyDescent="0.35">
      <c r="A190" s="203" t="s">
        <v>927</v>
      </c>
      <c r="B190" s="203" t="s">
        <v>1410</v>
      </c>
      <c r="C190" s="203" t="s">
        <v>1418</v>
      </c>
      <c r="D190" s="243">
        <v>94131603</v>
      </c>
      <c r="E190" s="216" t="s">
        <v>1427</v>
      </c>
      <c r="F190" s="228" t="s">
        <v>1428</v>
      </c>
      <c r="G190" s="188" t="s">
        <v>70</v>
      </c>
      <c r="H190" s="205" t="s">
        <v>70</v>
      </c>
      <c r="I190" s="217">
        <v>12</v>
      </c>
      <c r="J190" s="187" t="s">
        <v>940</v>
      </c>
      <c r="K190" s="218">
        <v>300000000</v>
      </c>
      <c r="L190" s="219">
        <v>0.19</v>
      </c>
      <c r="M190" s="218">
        <v>57000000</v>
      </c>
      <c r="N190" s="218">
        <v>357000000</v>
      </c>
      <c r="O190" s="203" t="s">
        <v>791</v>
      </c>
      <c r="P190" s="203" t="s">
        <v>89</v>
      </c>
      <c r="Q190" s="220">
        <v>357000000</v>
      </c>
      <c r="R190" s="220">
        <v>0</v>
      </c>
      <c r="S190" s="220">
        <v>0</v>
      </c>
      <c r="T190" s="220">
        <v>0</v>
      </c>
      <c r="U190" s="203" t="s">
        <v>1420</v>
      </c>
      <c r="V190" s="204"/>
      <c r="W190" s="207"/>
      <c r="X190" s="225" t="s">
        <v>792</v>
      </c>
      <c r="Y190" s="225" t="s">
        <v>792</v>
      </c>
      <c r="Z190" s="225" t="s">
        <v>792</v>
      </c>
    </row>
    <row r="191" spans="1:26" ht="43" customHeight="1" x14ac:dyDescent="0.35">
      <c r="A191" s="203" t="s">
        <v>927</v>
      </c>
      <c r="B191" s="203" t="s">
        <v>1410</v>
      </c>
      <c r="C191" s="203" t="s">
        <v>1418</v>
      </c>
      <c r="D191" s="243">
        <v>94131603</v>
      </c>
      <c r="E191" s="216" t="s">
        <v>1427</v>
      </c>
      <c r="F191" s="228" t="s">
        <v>1428</v>
      </c>
      <c r="G191" s="188" t="s">
        <v>70</v>
      </c>
      <c r="H191" s="205" t="s">
        <v>70</v>
      </c>
      <c r="I191" s="217">
        <v>12</v>
      </c>
      <c r="J191" s="187" t="s">
        <v>940</v>
      </c>
      <c r="K191" s="218">
        <v>400000000</v>
      </c>
      <c r="L191" s="219">
        <v>0.19</v>
      </c>
      <c r="M191" s="218">
        <v>76000000</v>
      </c>
      <c r="N191" s="218">
        <v>476000000</v>
      </c>
      <c r="O191" s="203" t="s">
        <v>791</v>
      </c>
      <c r="P191" s="203" t="s">
        <v>89</v>
      </c>
      <c r="Q191" s="220">
        <v>476000000</v>
      </c>
      <c r="R191" s="220">
        <v>0</v>
      </c>
      <c r="S191" s="220">
        <v>0</v>
      </c>
      <c r="T191" s="220">
        <v>0</v>
      </c>
      <c r="U191" s="203" t="s">
        <v>1420</v>
      </c>
      <c r="V191" s="204"/>
      <c r="W191" s="207"/>
      <c r="X191" s="225" t="s">
        <v>792</v>
      </c>
      <c r="Y191" s="225" t="s">
        <v>792</v>
      </c>
      <c r="Z191" s="225" t="s">
        <v>792</v>
      </c>
    </row>
    <row r="192" spans="1:26" ht="43" customHeight="1" x14ac:dyDescent="0.35">
      <c r="A192" s="203" t="s">
        <v>927</v>
      </c>
      <c r="B192" s="203" t="s">
        <v>1410</v>
      </c>
      <c r="C192" s="203" t="s">
        <v>1418</v>
      </c>
      <c r="D192" s="243">
        <v>94131603</v>
      </c>
      <c r="E192" s="216" t="s">
        <v>1427</v>
      </c>
      <c r="F192" s="228" t="s">
        <v>1428</v>
      </c>
      <c r="G192" s="188" t="s">
        <v>70</v>
      </c>
      <c r="H192" s="205" t="s">
        <v>70</v>
      </c>
      <c r="I192" s="217">
        <v>12</v>
      </c>
      <c r="J192" s="187" t="s">
        <v>940</v>
      </c>
      <c r="K192" s="218">
        <v>400000000</v>
      </c>
      <c r="L192" s="219">
        <v>0.19</v>
      </c>
      <c r="M192" s="218">
        <v>76000000</v>
      </c>
      <c r="N192" s="218">
        <v>476000000</v>
      </c>
      <c r="O192" s="203" t="s">
        <v>791</v>
      </c>
      <c r="P192" s="203" t="s">
        <v>89</v>
      </c>
      <c r="Q192" s="220">
        <v>476000000</v>
      </c>
      <c r="R192" s="220">
        <v>0</v>
      </c>
      <c r="S192" s="220">
        <v>0</v>
      </c>
      <c r="T192" s="220">
        <v>0</v>
      </c>
      <c r="U192" s="203" t="s">
        <v>1420</v>
      </c>
      <c r="V192" s="204"/>
      <c r="W192" s="207"/>
      <c r="X192" s="225" t="s">
        <v>792</v>
      </c>
      <c r="Y192" s="225" t="s">
        <v>792</v>
      </c>
      <c r="Z192" s="225" t="s">
        <v>792</v>
      </c>
    </row>
    <row r="193" spans="1:26" ht="43" customHeight="1" x14ac:dyDescent="0.35">
      <c r="A193" s="203" t="s">
        <v>927</v>
      </c>
      <c r="B193" s="203" t="s">
        <v>1410</v>
      </c>
      <c r="C193" s="203" t="s">
        <v>1418</v>
      </c>
      <c r="D193" s="243">
        <v>94131603</v>
      </c>
      <c r="E193" s="216" t="s">
        <v>1427</v>
      </c>
      <c r="F193" s="228" t="s">
        <v>1428</v>
      </c>
      <c r="G193" s="188" t="s">
        <v>70</v>
      </c>
      <c r="H193" s="205" t="s">
        <v>70</v>
      </c>
      <c r="I193" s="217">
        <v>12</v>
      </c>
      <c r="J193" s="187" t="s">
        <v>940</v>
      </c>
      <c r="K193" s="218">
        <v>400000000</v>
      </c>
      <c r="L193" s="219">
        <v>0.19</v>
      </c>
      <c r="M193" s="218">
        <v>76000000</v>
      </c>
      <c r="N193" s="218">
        <v>476000000</v>
      </c>
      <c r="O193" s="203" t="s">
        <v>791</v>
      </c>
      <c r="P193" s="203" t="s">
        <v>89</v>
      </c>
      <c r="Q193" s="220">
        <v>476000000</v>
      </c>
      <c r="R193" s="220">
        <v>0</v>
      </c>
      <c r="S193" s="220">
        <v>0</v>
      </c>
      <c r="T193" s="220">
        <v>0</v>
      </c>
      <c r="U193" s="203" t="s">
        <v>1420</v>
      </c>
      <c r="V193" s="204"/>
      <c r="W193" s="207"/>
      <c r="X193" s="225" t="s">
        <v>792</v>
      </c>
      <c r="Y193" s="225" t="s">
        <v>792</v>
      </c>
      <c r="Z193" s="225" t="s">
        <v>792</v>
      </c>
    </row>
    <row r="194" spans="1:26" ht="43" customHeight="1" x14ac:dyDescent="0.35">
      <c r="A194" s="203" t="s">
        <v>927</v>
      </c>
      <c r="B194" s="203" t="s">
        <v>1410</v>
      </c>
      <c r="C194" s="203" t="s">
        <v>1418</v>
      </c>
      <c r="D194" s="243">
        <v>94131603</v>
      </c>
      <c r="E194" s="216" t="s">
        <v>1427</v>
      </c>
      <c r="F194" s="228" t="s">
        <v>1428</v>
      </c>
      <c r="G194" s="188" t="s">
        <v>70</v>
      </c>
      <c r="H194" s="205" t="s">
        <v>70</v>
      </c>
      <c r="I194" s="217">
        <v>12</v>
      </c>
      <c r="J194" s="187" t="s">
        <v>940</v>
      </c>
      <c r="K194" s="218">
        <v>300000000</v>
      </c>
      <c r="L194" s="219">
        <v>0.19</v>
      </c>
      <c r="M194" s="218">
        <v>57000000</v>
      </c>
      <c r="N194" s="218">
        <v>357000000</v>
      </c>
      <c r="O194" s="203" t="s">
        <v>791</v>
      </c>
      <c r="P194" s="203" t="s">
        <v>89</v>
      </c>
      <c r="Q194" s="220">
        <v>357000000</v>
      </c>
      <c r="R194" s="220">
        <v>0</v>
      </c>
      <c r="S194" s="220">
        <v>0</v>
      </c>
      <c r="T194" s="220">
        <v>0</v>
      </c>
      <c r="U194" s="203" t="s">
        <v>1420</v>
      </c>
      <c r="V194" s="204"/>
      <c r="W194" s="207"/>
      <c r="X194" s="225" t="s">
        <v>792</v>
      </c>
      <c r="Y194" s="225" t="s">
        <v>792</v>
      </c>
      <c r="Z194" s="225" t="s">
        <v>792</v>
      </c>
    </row>
    <row r="195" spans="1:26" ht="43" customHeight="1" x14ac:dyDescent="0.35">
      <c r="A195" s="203" t="s">
        <v>927</v>
      </c>
      <c r="B195" s="203" t="s">
        <v>1410</v>
      </c>
      <c r="C195" s="203" t="s">
        <v>1418</v>
      </c>
      <c r="D195" s="243">
        <v>94131603</v>
      </c>
      <c r="E195" s="216" t="s">
        <v>1427</v>
      </c>
      <c r="F195" s="228" t="s">
        <v>1428</v>
      </c>
      <c r="G195" s="188" t="s">
        <v>70</v>
      </c>
      <c r="H195" s="205" t="s">
        <v>70</v>
      </c>
      <c r="I195" s="217">
        <v>12</v>
      </c>
      <c r="J195" s="187" t="s">
        <v>940</v>
      </c>
      <c r="K195" s="218">
        <v>400000000</v>
      </c>
      <c r="L195" s="219">
        <v>0.19</v>
      </c>
      <c r="M195" s="218">
        <v>76000000</v>
      </c>
      <c r="N195" s="218">
        <v>476000000</v>
      </c>
      <c r="O195" s="203" t="s">
        <v>791</v>
      </c>
      <c r="P195" s="203" t="s">
        <v>89</v>
      </c>
      <c r="Q195" s="220">
        <v>476000000</v>
      </c>
      <c r="R195" s="220">
        <v>0</v>
      </c>
      <c r="S195" s="220">
        <v>0</v>
      </c>
      <c r="T195" s="220">
        <v>0</v>
      </c>
      <c r="U195" s="203" t="s">
        <v>1420</v>
      </c>
      <c r="V195" s="204"/>
      <c r="W195" s="207"/>
      <c r="X195" s="225" t="s">
        <v>792</v>
      </c>
      <c r="Y195" s="225" t="s">
        <v>792</v>
      </c>
      <c r="Z195" s="225" t="s">
        <v>792</v>
      </c>
    </row>
    <row r="196" spans="1:26" ht="43" customHeight="1" x14ac:dyDescent="0.35">
      <c r="A196" s="203" t="s">
        <v>927</v>
      </c>
      <c r="B196" s="203" t="s">
        <v>1410</v>
      </c>
      <c r="C196" s="203" t="s">
        <v>1418</v>
      </c>
      <c r="D196" s="243">
        <v>94131603</v>
      </c>
      <c r="E196" s="216" t="s">
        <v>1427</v>
      </c>
      <c r="F196" s="228" t="s">
        <v>1428</v>
      </c>
      <c r="G196" s="188" t="s">
        <v>70</v>
      </c>
      <c r="H196" s="205" t="s">
        <v>70</v>
      </c>
      <c r="I196" s="217">
        <v>12</v>
      </c>
      <c r="J196" s="187" t="s">
        <v>940</v>
      </c>
      <c r="K196" s="218">
        <v>400000000</v>
      </c>
      <c r="L196" s="219">
        <v>0.19</v>
      </c>
      <c r="M196" s="218">
        <v>76000000</v>
      </c>
      <c r="N196" s="218">
        <v>476000000</v>
      </c>
      <c r="O196" s="203" t="s">
        <v>791</v>
      </c>
      <c r="P196" s="203" t="s">
        <v>89</v>
      </c>
      <c r="Q196" s="220">
        <v>476000000</v>
      </c>
      <c r="R196" s="220">
        <v>0</v>
      </c>
      <c r="S196" s="220">
        <v>0</v>
      </c>
      <c r="T196" s="220">
        <v>0</v>
      </c>
      <c r="U196" s="203" t="s">
        <v>1420</v>
      </c>
      <c r="V196" s="204"/>
      <c r="W196" s="207"/>
      <c r="X196" s="225" t="s">
        <v>792</v>
      </c>
      <c r="Y196" s="225" t="s">
        <v>792</v>
      </c>
      <c r="Z196" s="225" t="s">
        <v>792</v>
      </c>
    </row>
    <row r="197" spans="1:26" ht="43" customHeight="1" x14ac:dyDescent="0.35">
      <c r="A197" s="203" t="s">
        <v>927</v>
      </c>
      <c r="B197" s="203" t="s">
        <v>1410</v>
      </c>
      <c r="C197" s="203" t="s">
        <v>1418</v>
      </c>
      <c r="D197" s="243">
        <v>94131603</v>
      </c>
      <c r="E197" s="216" t="s">
        <v>1427</v>
      </c>
      <c r="F197" s="228" t="s">
        <v>1428</v>
      </c>
      <c r="G197" s="188" t="s">
        <v>70</v>
      </c>
      <c r="H197" s="205" t="s">
        <v>70</v>
      </c>
      <c r="I197" s="217">
        <v>12</v>
      </c>
      <c r="J197" s="187" t="s">
        <v>940</v>
      </c>
      <c r="K197" s="218">
        <v>150000000</v>
      </c>
      <c r="L197" s="219">
        <v>0.19</v>
      </c>
      <c r="M197" s="218">
        <v>28500000</v>
      </c>
      <c r="N197" s="218">
        <v>178500000</v>
      </c>
      <c r="O197" s="203" t="s">
        <v>791</v>
      </c>
      <c r="P197" s="203" t="s">
        <v>89</v>
      </c>
      <c r="Q197" s="220">
        <v>178500000</v>
      </c>
      <c r="R197" s="220">
        <v>0</v>
      </c>
      <c r="S197" s="220">
        <v>0</v>
      </c>
      <c r="T197" s="220">
        <v>0</v>
      </c>
      <c r="U197" s="203" t="s">
        <v>1420</v>
      </c>
      <c r="V197" s="204"/>
      <c r="W197" s="207"/>
      <c r="X197" s="225" t="s">
        <v>792</v>
      </c>
      <c r="Y197" s="225" t="s">
        <v>792</v>
      </c>
      <c r="Z197" s="225" t="s">
        <v>792</v>
      </c>
    </row>
    <row r="198" spans="1:26" ht="43" customHeight="1" x14ac:dyDescent="0.35">
      <c r="A198" s="203" t="s">
        <v>927</v>
      </c>
      <c r="B198" s="203" t="s">
        <v>1410</v>
      </c>
      <c r="C198" s="203" t="s">
        <v>1418</v>
      </c>
      <c r="D198" s="243">
        <v>94131603</v>
      </c>
      <c r="E198" s="216" t="s">
        <v>1427</v>
      </c>
      <c r="F198" s="228" t="s">
        <v>1428</v>
      </c>
      <c r="G198" s="188" t="s">
        <v>70</v>
      </c>
      <c r="H198" s="205" t="s">
        <v>70</v>
      </c>
      <c r="I198" s="217">
        <v>12</v>
      </c>
      <c r="J198" s="187" t="s">
        <v>940</v>
      </c>
      <c r="K198" s="218">
        <v>300000000</v>
      </c>
      <c r="L198" s="219">
        <v>0.19</v>
      </c>
      <c r="M198" s="218">
        <v>57000000</v>
      </c>
      <c r="N198" s="218">
        <v>357000000</v>
      </c>
      <c r="O198" s="203" t="s">
        <v>791</v>
      </c>
      <c r="P198" s="203" t="s">
        <v>89</v>
      </c>
      <c r="Q198" s="220">
        <v>357000000</v>
      </c>
      <c r="R198" s="220">
        <v>0</v>
      </c>
      <c r="S198" s="220">
        <v>0</v>
      </c>
      <c r="T198" s="220">
        <v>0</v>
      </c>
      <c r="U198" s="203" t="s">
        <v>1420</v>
      </c>
      <c r="V198" s="204"/>
      <c r="W198" s="207"/>
      <c r="X198" s="225" t="s">
        <v>792</v>
      </c>
      <c r="Y198" s="225" t="s">
        <v>792</v>
      </c>
      <c r="Z198" s="225" t="s">
        <v>792</v>
      </c>
    </row>
    <row r="199" spans="1:26" ht="43" customHeight="1" x14ac:dyDescent="0.35">
      <c r="A199" s="203" t="s">
        <v>927</v>
      </c>
      <c r="B199" s="203" t="s">
        <v>1410</v>
      </c>
      <c r="C199" s="203" t="s">
        <v>1418</v>
      </c>
      <c r="D199" s="243">
        <v>94131603</v>
      </c>
      <c r="E199" s="216" t="s">
        <v>1427</v>
      </c>
      <c r="F199" s="228" t="s">
        <v>1428</v>
      </c>
      <c r="G199" s="188" t="s">
        <v>70</v>
      </c>
      <c r="H199" s="205" t="s">
        <v>70</v>
      </c>
      <c r="I199" s="217">
        <v>12</v>
      </c>
      <c r="J199" s="187" t="s">
        <v>940</v>
      </c>
      <c r="K199" s="218">
        <v>300000000</v>
      </c>
      <c r="L199" s="219">
        <v>0.19</v>
      </c>
      <c r="M199" s="218">
        <v>57000000</v>
      </c>
      <c r="N199" s="218">
        <v>357000000</v>
      </c>
      <c r="O199" s="203" t="s">
        <v>791</v>
      </c>
      <c r="P199" s="203" t="s">
        <v>89</v>
      </c>
      <c r="Q199" s="220">
        <v>357000000</v>
      </c>
      <c r="R199" s="220">
        <v>0</v>
      </c>
      <c r="S199" s="220">
        <v>0</v>
      </c>
      <c r="T199" s="220">
        <v>0</v>
      </c>
      <c r="U199" s="203" t="s">
        <v>1420</v>
      </c>
      <c r="V199" s="204"/>
      <c r="W199" s="207"/>
      <c r="X199" s="225" t="s">
        <v>792</v>
      </c>
      <c r="Y199" s="225" t="s">
        <v>792</v>
      </c>
      <c r="Z199" s="225" t="s">
        <v>792</v>
      </c>
    </row>
    <row r="200" spans="1:26" ht="43" customHeight="1" x14ac:dyDescent="0.35">
      <c r="A200" s="203" t="s">
        <v>927</v>
      </c>
      <c r="B200" s="203" t="s">
        <v>1410</v>
      </c>
      <c r="C200" s="203" t="s">
        <v>1418</v>
      </c>
      <c r="D200" s="243">
        <v>94131603</v>
      </c>
      <c r="E200" s="216" t="s">
        <v>1427</v>
      </c>
      <c r="F200" s="228" t="s">
        <v>1428</v>
      </c>
      <c r="G200" s="188" t="s">
        <v>70</v>
      </c>
      <c r="H200" s="205" t="s">
        <v>70</v>
      </c>
      <c r="I200" s="217">
        <v>12</v>
      </c>
      <c r="J200" s="187" t="s">
        <v>940</v>
      </c>
      <c r="K200" s="218">
        <v>400000000</v>
      </c>
      <c r="L200" s="219">
        <v>0.19</v>
      </c>
      <c r="M200" s="218">
        <v>76000000</v>
      </c>
      <c r="N200" s="218">
        <v>476000000</v>
      </c>
      <c r="O200" s="203" t="s">
        <v>791</v>
      </c>
      <c r="P200" s="203" t="s">
        <v>89</v>
      </c>
      <c r="Q200" s="220">
        <v>476000000</v>
      </c>
      <c r="R200" s="220">
        <v>0</v>
      </c>
      <c r="S200" s="220">
        <v>0</v>
      </c>
      <c r="T200" s="220">
        <v>0</v>
      </c>
      <c r="U200" s="203" t="s">
        <v>1420</v>
      </c>
      <c r="V200" s="204"/>
      <c r="W200" s="207"/>
      <c r="X200" s="225" t="s">
        <v>792</v>
      </c>
      <c r="Y200" s="225" t="s">
        <v>792</v>
      </c>
      <c r="Z200" s="225" t="s">
        <v>792</v>
      </c>
    </row>
    <row r="201" spans="1:26" ht="43" customHeight="1" x14ac:dyDescent="0.35">
      <c r="A201" s="203" t="s">
        <v>927</v>
      </c>
      <c r="B201" s="203" t="s">
        <v>1410</v>
      </c>
      <c r="C201" s="203" t="s">
        <v>1418</v>
      </c>
      <c r="D201" s="243">
        <v>94131603</v>
      </c>
      <c r="E201" s="216" t="s">
        <v>1427</v>
      </c>
      <c r="F201" s="228" t="s">
        <v>1428</v>
      </c>
      <c r="G201" s="188" t="s">
        <v>70</v>
      </c>
      <c r="H201" s="205" t="s">
        <v>70</v>
      </c>
      <c r="I201" s="217">
        <v>12</v>
      </c>
      <c r="J201" s="187" t="s">
        <v>940</v>
      </c>
      <c r="K201" s="218">
        <v>200000000</v>
      </c>
      <c r="L201" s="219">
        <v>0.19</v>
      </c>
      <c r="M201" s="218">
        <v>38000000</v>
      </c>
      <c r="N201" s="218">
        <v>238000000</v>
      </c>
      <c r="O201" s="203" t="s">
        <v>791</v>
      </c>
      <c r="P201" s="203" t="s">
        <v>89</v>
      </c>
      <c r="Q201" s="220">
        <v>238000000</v>
      </c>
      <c r="R201" s="220">
        <v>0</v>
      </c>
      <c r="S201" s="220">
        <v>0</v>
      </c>
      <c r="T201" s="220">
        <v>0</v>
      </c>
      <c r="U201" s="203" t="s">
        <v>1420</v>
      </c>
      <c r="V201" s="204"/>
      <c r="W201" s="207"/>
      <c r="X201" s="225" t="s">
        <v>792</v>
      </c>
      <c r="Y201" s="225" t="s">
        <v>792</v>
      </c>
      <c r="Z201" s="225" t="s">
        <v>792</v>
      </c>
    </row>
    <row r="202" spans="1:26" ht="43" customHeight="1" x14ac:dyDescent="0.35">
      <c r="A202" s="203" t="s">
        <v>927</v>
      </c>
      <c r="B202" s="203" t="s">
        <v>1410</v>
      </c>
      <c r="C202" s="203" t="s">
        <v>1418</v>
      </c>
      <c r="D202" s="243">
        <v>94131603</v>
      </c>
      <c r="E202" s="216" t="s">
        <v>1427</v>
      </c>
      <c r="F202" s="228" t="s">
        <v>1428</v>
      </c>
      <c r="G202" s="188" t="s">
        <v>70</v>
      </c>
      <c r="H202" s="205" t="s">
        <v>70</v>
      </c>
      <c r="I202" s="217">
        <v>12</v>
      </c>
      <c r="J202" s="187" t="s">
        <v>940</v>
      </c>
      <c r="K202" s="218">
        <v>300000000</v>
      </c>
      <c r="L202" s="219">
        <v>0.19</v>
      </c>
      <c r="M202" s="218">
        <v>57000000</v>
      </c>
      <c r="N202" s="218">
        <v>357000000</v>
      </c>
      <c r="O202" s="203" t="s">
        <v>791</v>
      </c>
      <c r="P202" s="203" t="s">
        <v>89</v>
      </c>
      <c r="Q202" s="220">
        <v>357000000</v>
      </c>
      <c r="R202" s="220">
        <v>0</v>
      </c>
      <c r="S202" s="220">
        <v>0</v>
      </c>
      <c r="T202" s="220">
        <v>0</v>
      </c>
      <c r="U202" s="203" t="s">
        <v>1420</v>
      </c>
      <c r="V202" s="204"/>
      <c r="W202" s="207"/>
      <c r="X202" s="225" t="s">
        <v>792</v>
      </c>
      <c r="Y202" s="225" t="s">
        <v>792</v>
      </c>
      <c r="Z202" s="225" t="s">
        <v>792</v>
      </c>
    </row>
    <row r="203" spans="1:26" ht="43" customHeight="1" x14ac:dyDescent="0.35">
      <c r="A203" s="203" t="s">
        <v>927</v>
      </c>
      <c r="B203" s="203" t="s">
        <v>1410</v>
      </c>
      <c r="C203" s="203" t="s">
        <v>1418</v>
      </c>
      <c r="D203" s="243">
        <v>94131603</v>
      </c>
      <c r="E203" s="216" t="s">
        <v>1427</v>
      </c>
      <c r="F203" s="228" t="s">
        <v>1428</v>
      </c>
      <c r="G203" s="188" t="s">
        <v>70</v>
      </c>
      <c r="H203" s="205" t="s">
        <v>70</v>
      </c>
      <c r="I203" s="217">
        <v>12</v>
      </c>
      <c r="J203" s="187" t="s">
        <v>940</v>
      </c>
      <c r="K203" s="218">
        <v>300000000</v>
      </c>
      <c r="L203" s="219">
        <v>0.19</v>
      </c>
      <c r="M203" s="218">
        <v>57000000</v>
      </c>
      <c r="N203" s="218">
        <v>357000000</v>
      </c>
      <c r="O203" s="203" t="s">
        <v>791</v>
      </c>
      <c r="P203" s="203" t="s">
        <v>89</v>
      </c>
      <c r="Q203" s="220">
        <v>357000000</v>
      </c>
      <c r="R203" s="220">
        <v>0</v>
      </c>
      <c r="S203" s="220">
        <v>0</v>
      </c>
      <c r="T203" s="220">
        <v>0</v>
      </c>
      <c r="U203" s="203" t="s">
        <v>1420</v>
      </c>
      <c r="V203" s="204"/>
      <c r="W203" s="207"/>
      <c r="X203" s="225" t="s">
        <v>792</v>
      </c>
      <c r="Y203" s="225" t="s">
        <v>792</v>
      </c>
      <c r="Z203" s="225" t="s">
        <v>792</v>
      </c>
    </row>
    <row r="204" spans="1:26" ht="43" customHeight="1" x14ac:dyDescent="0.35">
      <c r="A204" s="203" t="s">
        <v>927</v>
      </c>
      <c r="B204" s="203" t="s">
        <v>1410</v>
      </c>
      <c r="C204" s="203" t="s">
        <v>1418</v>
      </c>
      <c r="D204" s="243">
        <v>94131603</v>
      </c>
      <c r="E204" s="216" t="s">
        <v>1427</v>
      </c>
      <c r="F204" s="228" t="s">
        <v>1428</v>
      </c>
      <c r="G204" s="188" t="s">
        <v>70</v>
      </c>
      <c r="H204" s="205" t="s">
        <v>70</v>
      </c>
      <c r="I204" s="217">
        <v>12</v>
      </c>
      <c r="J204" s="187" t="s">
        <v>940</v>
      </c>
      <c r="K204" s="218">
        <v>300000000</v>
      </c>
      <c r="L204" s="219">
        <v>0.19</v>
      </c>
      <c r="M204" s="218">
        <v>57000000</v>
      </c>
      <c r="N204" s="218">
        <v>357000000</v>
      </c>
      <c r="O204" s="203" t="s">
        <v>791</v>
      </c>
      <c r="P204" s="203" t="s">
        <v>89</v>
      </c>
      <c r="Q204" s="220">
        <v>357000000</v>
      </c>
      <c r="R204" s="220">
        <v>0</v>
      </c>
      <c r="S204" s="220">
        <v>0</v>
      </c>
      <c r="T204" s="220">
        <v>0</v>
      </c>
      <c r="U204" s="203" t="s">
        <v>1420</v>
      </c>
      <c r="V204" s="204"/>
      <c r="W204" s="207"/>
      <c r="X204" s="225" t="s">
        <v>792</v>
      </c>
      <c r="Y204" s="225" t="s">
        <v>792</v>
      </c>
      <c r="Z204" s="225" t="s">
        <v>792</v>
      </c>
    </row>
    <row r="205" spans="1:26" ht="43" customHeight="1" x14ac:dyDescent="0.35">
      <c r="A205" s="203" t="s">
        <v>927</v>
      </c>
      <c r="B205" s="203" t="s">
        <v>1410</v>
      </c>
      <c r="C205" s="203" t="s">
        <v>1418</v>
      </c>
      <c r="D205" s="243">
        <v>94131603</v>
      </c>
      <c r="E205" s="216" t="s">
        <v>1427</v>
      </c>
      <c r="F205" s="228" t="s">
        <v>1428</v>
      </c>
      <c r="G205" s="188" t="s">
        <v>70</v>
      </c>
      <c r="H205" s="205" t="s">
        <v>70</v>
      </c>
      <c r="I205" s="217">
        <v>12</v>
      </c>
      <c r="J205" s="187" t="s">
        <v>940</v>
      </c>
      <c r="K205" s="218">
        <v>200000000</v>
      </c>
      <c r="L205" s="219">
        <v>0.19</v>
      </c>
      <c r="M205" s="218">
        <v>38000000</v>
      </c>
      <c r="N205" s="218">
        <v>238000000</v>
      </c>
      <c r="O205" s="203" t="s">
        <v>791</v>
      </c>
      <c r="P205" s="203" t="s">
        <v>89</v>
      </c>
      <c r="Q205" s="220">
        <v>238000000</v>
      </c>
      <c r="R205" s="220">
        <v>0</v>
      </c>
      <c r="S205" s="220">
        <v>0</v>
      </c>
      <c r="T205" s="220">
        <v>0</v>
      </c>
      <c r="U205" s="203" t="s">
        <v>1420</v>
      </c>
      <c r="V205" s="204"/>
      <c r="W205" s="207"/>
      <c r="X205" s="225" t="s">
        <v>792</v>
      </c>
      <c r="Y205" s="225" t="s">
        <v>792</v>
      </c>
      <c r="Z205" s="225" t="s">
        <v>792</v>
      </c>
    </row>
    <row r="206" spans="1:26" ht="43" customHeight="1" x14ac:dyDescent="0.35">
      <c r="A206" s="203" t="s">
        <v>927</v>
      </c>
      <c r="B206" s="203" t="s">
        <v>1410</v>
      </c>
      <c r="C206" s="203" t="s">
        <v>1418</v>
      </c>
      <c r="D206" s="243">
        <v>94131603</v>
      </c>
      <c r="E206" s="216" t="s">
        <v>1427</v>
      </c>
      <c r="F206" s="228" t="s">
        <v>1428</v>
      </c>
      <c r="G206" s="188" t="s">
        <v>70</v>
      </c>
      <c r="H206" s="205" t="s">
        <v>70</v>
      </c>
      <c r="I206" s="217">
        <v>12</v>
      </c>
      <c r="J206" s="187" t="s">
        <v>940</v>
      </c>
      <c r="K206" s="218">
        <v>150000000</v>
      </c>
      <c r="L206" s="219">
        <v>0.19</v>
      </c>
      <c r="M206" s="218">
        <v>28500000</v>
      </c>
      <c r="N206" s="218">
        <v>178500000</v>
      </c>
      <c r="O206" s="203" t="s">
        <v>791</v>
      </c>
      <c r="P206" s="203" t="s">
        <v>89</v>
      </c>
      <c r="Q206" s="220">
        <v>178500000</v>
      </c>
      <c r="R206" s="220">
        <v>0</v>
      </c>
      <c r="S206" s="220">
        <v>0</v>
      </c>
      <c r="T206" s="220">
        <v>0</v>
      </c>
      <c r="U206" s="203" t="s">
        <v>1420</v>
      </c>
      <c r="V206" s="204"/>
      <c r="W206" s="207"/>
      <c r="X206" s="225" t="s">
        <v>792</v>
      </c>
      <c r="Y206" s="225" t="s">
        <v>792</v>
      </c>
      <c r="Z206" s="225" t="s">
        <v>792</v>
      </c>
    </row>
    <row r="207" spans="1:26" ht="43" customHeight="1" x14ac:dyDescent="0.35">
      <c r="A207" s="203" t="s">
        <v>927</v>
      </c>
      <c r="B207" s="203" t="s">
        <v>1410</v>
      </c>
      <c r="C207" s="203" t="s">
        <v>1418</v>
      </c>
      <c r="D207" s="243">
        <v>94131603</v>
      </c>
      <c r="E207" s="216" t="s">
        <v>1427</v>
      </c>
      <c r="F207" s="228" t="s">
        <v>1428</v>
      </c>
      <c r="G207" s="188" t="s">
        <v>70</v>
      </c>
      <c r="H207" s="205" t="s">
        <v>70</v>
      </c>
      <c r="I207" s="217">
        <v>12</v>
      </c>
      <c r="J207" s="187" t="s">
        <v>940</v>
      </c>
      <c r="K207" s="218">
        <v>200000000</v>
      </c>
      <c r="L207" s="219">
        <v>0.19</v>
      </c>
      <c r="M207" s="218">
        <v>38000000</v>
      </c>
      <c r="N207" s="218">
        <v>238000000</v>
      </c>
      <c r="O207" s="203" t="s">
        <v>791</v>
      </c>
      <c r="P207" s="203" t="s">
        <v>89</v>
      </c>
      <c r="Q207" s="220">
        <v>238000000</v>
      </c>
      <c r="R207" s="220">
        <v>0</v>
      </c>
      <c r="S207" s="220">
        <v>0</v>
      </c>
      <c r="T207" s="220">
        <v>0</v>
      </c>
      <c r="U207" s="203" t="s">
        <v>1420</v>
      </c>
      <c r="V207" s="204"/>
      <c r="W207" s="207"/>
      <c r="X207" s="225" t="s">
        <v>792</v>
      </c>
      <c r="Y207" s="225" t="s">
        <v>792</v>
      </c>
      <c r="Z207" s="225" t="s">
        <v>792</v>
      </c>
    </row>
    <row r="208" spans="1:26" ht="43" customHeight="1" x14ac:dyDescent="0.35">
      <c r="A208" s="203" t="s">
        <v>927</v>
      </c>
      <c r="B208" s="203" t="s">
        <v>1410</v>
      </c>
      <c r="C208" s="203" t="s">
        <v>1418</v>
      </c>
      <c r="D208" s="243">
        <v>94131603</v>
      </c>
      <c r="E208" s="216" t="s">
        <v>1427</v>
      </c>
      <c r="F208" s="228" t="s">
        <v>1428</v>
      </c>
      <c r="G208" s="188" t="s">
        <v>70</v>
      </c>
      <c r="H208" s="205" t="s">
        <v>70</v>
      </c>
      <c r="I208" s="217">
        <v>12</v>
      </c>
      <c r="J208" s="187" t="s">
        <v>940</v>
      </c>
      <c r="K208" s="218">
        <v>100000000</v>
      </c>
      <c r="L208" s="219">
        <v>0.19</v>
      </c>
      <c r="M208" s="218">
        <v>19000000</v>
      </c>
      <c r="N208" s="218">
        <v>119000000</v>
      </c>
      <c r="O208" s="203" t="s">
        <v>791</v>
      </c>
      <c r="P208" s="203" t="s">
        <v>89</v>
      </c>
      <c r="Q208" s="220">
        <v>119000000</v>
      </c>
      <c r="R208" s="220">
        <v>0</v>
      </c>
      <c r="S208" s="220">
        <v>0</v>
      </c>
      <c r="T208" s="220">
        <v>0</v>
      </c>
      <c r="U208" s="203" t="s">
        <v>1420</v>
      </c>
      <c r="V208" s="204"/>
      <c r="W208" s="207"/>
      <c r="X208" s="225" t="s">
        <v>792</v>
      </c>
      <c r="Y208" s="225" t="s">
        <v>792</v>
      </c>
      <c r="Z208" s="225" t="s">
        <v>792</v>
      </c>
    </row>
    <row r="209" spans="1:26" ht="43" customHeight="1" x14ac:dyDescent="0.35">
      <c r="A209" s="203" t="s">
        <v>927</v>
      </c>
      <c r="B209" s="203" t="s">
        <v>1410</v>
      </c>
      <c r="C209" s="203" t="s">
        <v>1418</v>
      </c>
      <c r="D209" s="243">
        <v>94131603</v>
      </c>
      <c r="E209" s="216" t="s">
        <v>1427</v>
      </c>
      <c r="F209" s="228" t="s">
        <v>1428</v>
      </c>
      <c r="G209" s="188" t="s">
        <v>70</v>
      </c>
      <c r="H209" s="205" t="s">
        <v>70</v>
      </c>
      <c r="I209" s="217">
        <v>12</v>
      </c>
      <c r="J209" s="187" t="s">
        <v>940</v>
      </c>
      <c r="K209" s="218">
        <v>100000000</v>
      </c>
      <c r="L209" s="219">
        <v>0.19</v>
      </c>
      <c r="M209" s="218">
        <v>19000000</v>
      </c>
      <c r="N209" s="218">
        <v>119000000</v>
      </c>
      <c r="O209" s="203" t="s">
        <v>791</v>
      </c>
      <c r="P209" s="203" t="s">
        <v>89</v>
      </c>
      <c r="Q209" s="220">
        <v>119000000</v>
      </c>
      <c r="R209" s="220">
        <v>0</v>
      </c>
      <c r="S209" s="220">
        <v>0</v>
      </c>
      <c r="T209" s="220">
        <v>0</v>
      </c>
      <c r="U209" s="203" t="s">
        <v>1420</v>
      </c>
      <c r="V209" s="204"/>
      <c r="W209" s="207"/>
      <c r="X209" s="225" t="s">
        <v>792</v>
      </c>
      <c r="Y209" s="225" t="s">
        <v>792</v>
      </c>
      <c r="Z209" s="225" t="s">
        <v>792</v>
      </c>
    </row>
    <row r="210" spans="1:26" ht="43" customHeight="1" x14ac:dyDescent="0.35">
      <c r="A210" s="203" t="s">
        <v>927</v>
      </c>
      <c r="B210" s="203" t="s">
        <v>1410</v>
      </c>
      <c r="C210" s="203" t="s">
        <v>1418</v>
      </c>
      <c r="D210" s="243">
        <v>94131603</v>
      </c>
      <c r="E210" s="216" t="s">
        <v>1427</v>
      </c>
      <c r="F210" s="228" t="s">
        <v>1428</v>
      </c>
      <c r="G210" s="188" t="s">
        <v>70</v>
      </c>
      <c r="H210" s="205" t="s">
        <v>70</v>
      </c>
      <c r="I210" s="217">
        <v>12</v>
      </c>
      <c r="J210" s="187" t="s">
        <v>940</v>
      </c>
      <c r="K210" s="218">
        <v>200000000</v>
      </c>
      <c r="L210" s="219">
        <v>0.19</v>
      </c>
      <c r="M210" s="218">
        <v>38000000</v>
      </c>
      <c r="N210" s="218">
        <v>238000000</v>
      </c>
      <c r="O210" s="203" t="s">
        <v>791</v>
      </c>
      <c r="P210" s="203" t="s">
        <v>89</v>
      </c>
      <c r="Q210" s="220">
        <v>238000000</v>
      </c>
      <c r="R210" s="220">
        <v>0</v>
      </c>
      <c r="S210" s="220">
        <v>0</v>
      </c>
      <c r="T210" s="220">
        <v>0</v>
      </c>
      <c r="U210" s="203" t="s">
        <v>1420</v>
      </c>
      <c r="V210" s="204"/>
      <c r="W210" s="207"/>
      <c r="X210" s="225" t="s">
        <v>792</v>
      </c>
      <c r="Y210" s="225" t="s">
        <v>792</v>
      </c>
      <c r="Z210" s="225" t="s">
        <v>792</v>
      </c>
    </row>
    <row r="211" spans="1:26" ht="43" customHeight="1" x14ac:dyDescent="0.35">
      <c r="A211" s="203" t="s">
        <v>927</v>
      </c>
      <c r="B211" s="203" t="s">
        <v>1410</v>
      </c>
      <c r="C211" s="203" t="s">
        <v>1418</v>
      </c>
      <c r="D211" s="243">
        <v>94131603</v>
      </c>
      <c r="E211" s="216" t="s">
        <v>1427</v>
      </c>
      <c r="F211" s="228" t="s">
        <v>1428</v>
      </c>
      <c r="G211" s="188" t="s">
        <v>70</v>
      </c>
      <c r="H211" s="205" t="s">
        <v>70</v>
      </c>
      <c r="I211" s="217">
        <v>12</v>
      </c>
      <c r="J211" s="187" t="s">
        <v>940</v>
      </c>
      <c r="K211" s="218">
        <v>150000000</v>
      </c>
      <c r="L211" s="219">
        <v>0.19</v>
      </c>
      <c r="M211" s="218">
        <v>28500000</v>
      </c>
      <c r="N211" s="218">
        <v>178500000</v>
      </c>
      <c r="O211" s="203" t="s">
        <v>791</v>
      </c>
      <c r="P211" s="203" t="s">
        <v>89</v>
      </c>
      <c r="Q211" s="220">
        <v>178500000</v>
      </c>
      <c r="R211" s="220">
        <v>0</v>
      </c>
      <c r="S211" s="220">
        <v>0</v>
      </c>
      <c r="T211" s="220">
        <v>0</v>
      </c>
      <c r="U211" s="203" t="s">
        <v>1420</v>
      </c>
      <c r="V211" s="204"/>
      <c r="W211" s="207"/>
      <c r="X211" s="225" t="s">
        <v>792</v>
      </c>
      <c r="Y211" s="225" t="s">
        <v>792</v>
      </c>
      <c r="Z211" s="225" t="s">
        <v>792</v>
      </c>
    </row>
    <row r="212" spans="1:26" ht="43" customHeight="1" x14ac:dyDescent="0.35">
      <c r="A212" s="203" t="s">
        <v>927</v>
      </c>
      <c r="B212" s="203" t="s">
        <v>1410</v>
      </c>
      <c r="C212" s="203" t="s">
        <v>1418</v>
      </c>
      <c r="D212" s="243">
        <v>94131603</v>
      </c>
      <c r="E212" s="216" t="s">
        <v>1427</v>
      </c>
      <c r="F212" s="228" t="s">
        <v>1428</v>
      </c>
      <c r="G212" s="188" t="s">
        <v>70</v>
      </c>
      <c r="H212" s="205" t="s">
        <v>70</v>
      </c>
      <c r="I212" s="217">
        <v>12</v>
      </c>
      <c r="J212" s="187" t="s">
        <v>940</v>
      </c>
      <c r="K212" s="218">
        <v>150000000</v>
      </c>
      <c r="L212" s="219">
        <v>0.19</v>
      </c>
      <c r="M212" s="218">
        <v>28500000</v>
      </c>
      <c r="N212" s="218">
        <v>178500000</v>
      </c>
      <c r="O212" s="203" t="s">
        <v>791</v>
      </c>
      <c r="P212" s="203" t="s">
        <v>89</v>
      </c>
      <c r="Q212" s="220">
        <v>178500000</v>
      </c>
      <c r="R212" s="220">
        <v>0</v>
      </c>
      <c r="S212" s="220">
        <v>0</v>
      </c>
      <c r="T212" s="220">
        <v>0</v>
      </c>
      <c r="U212" s="203" t="s">
        <v>1420</v>
      </c>
      <c r="V212" s="204"/>
      <c r="W212" s="207"/>
      <c r="X212" s="225" t="s">
        <v>792</v>
      </c>
      <c r="Y212" s="225" t="s">
        <v>792</v>
      </c>
      <c r="Z212" s="225" t="s">
        <v>792</v>
      </c>
    </row>
    <row r="213" spans="1:26" ht="43" customHeight="1" x14ac:dyDescent="0.35">
      <c r="A213" s="203" t="s">
        <v>927</v>
      </c>
      <c r="B213" s="203" t="s">
        <v>1410</v>
      </c>
      <c r="C213" s="203" t="s">
        <v>1418</v>
      </c>
      <c r="D213" s="243">
        <v>94131603</v>
      </c>
      <c r="E213" s="216" t="s">
        <v>1427</v>
      </c>
      <c r="F213" s="228" t="s">
        <v>1428</v>
      </c>
      <c r="G213" s="188" t="s">
        <v>70</v>
      </c>
      <c r="H213" s="205" t="s">
        <v>70</v>
      </c>
      <c r="I213" s="217">
        <v>12</v>
      </c>
      <c r="J213" s="187" t="s">
        <v>940</v>
      </c>
      <c r="K213" s="218">
        <v>100000000</v>
      </c>
      <c r="L213" s="219">
        <v>0.19</v>
      </c>
      <c r="M213" s="218">
        <v>19000000</v>
      </c>
      <c r="N213" s="218">
        <v>119000000</v>
      </c>
      <c r="O213" s="203" t="s">
        <v>791</v>
      </c>
      <c r="P213" s="203" t="s">
        <v>89</v>
      </c>
      <c r="Q213" s="220">
        <v>119000000</v>
      </c>
      <c r="R213" s="220">
        <v>0</v>
      </c>
      <c r="S213" s="220">
        <v>0</v>
      </c>
      <c r="T213" s="220">
        <v>0</v>
      </c>
      <c r="U213" s="203" t="s">
        <v>1420</v>
      </c>
      <c r="V213" s="204"/>
      <c r="W213" s="207"/>
      <c r="X213" s="225" t="s">
        <v>792</v>
      </c>
      <c r="Y213" s="225" t="s">
        <v>792</v>
      </c>
      <c r="Z213" s="225" t="s">
        <v>792</v>
      </c>
    </row>
    <row r="214" spans="1:26" ht="43" customHeight="1" x14ac:dyDescent="0.35">
      <c r="A214" s="203" t="s">
        <v>927</v>
      </c>
      <c r="B214" s="203" t="s">
        <v>1410</v>
      </c>
      <c r="C214" s="203" t="s">
        <v>1418</v>
      </c>
      <c r="D214" s="243">
        <v>94131603</v>
      </c>
      <c r="E214" s="216" t="s">
        <v>1427</v>
      </c>
      <c r="F214" s="228" t="s">
        <v>1428</v>
      </c>
      <c r="G214" s="188" t="s">
        <v>70</v>
      </c>
      <c r="H214" s="205" t="s">
        <v>70</v>
      </c>
      <c r="I214" s="217">
        <v>12</v>
      </c>
      <c r="J214" s="187" t="s">
        <v>940</v>
      </c>
      <c r="K214" s="218">
        <v>150000000</v>
      </c>
      <c r="L214" s="219">
        <v>0.19</v>
      </c>
      <c r="M214" s="218">
        <v>28500000</v>
      </c>
      <c r="N214" s="218">
        <v>178500000</v>
      </c>
      <c r="O214" s="203" t="s">
        <v>791</v>
      </c>
      <c r="P214" s="203" t="s">
        <v>89</v>
      </c>
      <c r="Q214" s="220">
        <v>178500000</v>
      </c>
      <c r="R214" s="220">
        <v>0</v>
      </c>
      <c r="S214" s="220">
        <v>0</v>
      </c>
      <c r="T214" s="220">
        <v>0</v>
      </c>
      <c r="U214" s="203" t="s">
        <v>1420</v>
      </c>
      <c r="V214" s="204"/>
      <c r="W214" s="207"/>
      <c r="X214" s="225" t="s">
        <v>792</v>
      </c>
      <c r="Y214" s="225" t="s">
        <v>792</v>
      </c>
      <c r="Z214" s="225" t="s">
        <v>792</v>
      </c>
    </row>
    <row r="215" spans="1:26" ht="43" customHeight="1" x14ac:dyDescent="0.35">
      <c r="A215" s="203" t="s">
        <v>927</v>
      </c>
      <c r="B215" s="203" t="s">
        <v>1410</v>
      </c>
      <c r="C215" s="203" t="s">
        <v>1418</v>
      </c>
      <c r="D215" s="243">
        <v>94131603</v>
      </c>
      <c r="E215" s="216" t="s">
        <v>1427</v>
      </c>
      <c r="F215" s="228" t="s">
        <v>1428</v>
      </c>
      <c r="G215" s="188" t="s">
        <v>70</v>
      </c>
      <c r="H215" s="205" t="s">
        <v>70</v>
      </c>
      <c r="I215" s="217">
        <v>12</v>
      </c>
      <c r="J215" s="187" t="s">
        <v>940</v>
      </c>
      <c r="K215" s="218">
        <v>150000000</v>
      </c>
      <c r="L215" s="219">
        <v>0.19</v>
      </c>
      <c r="M215" s="218">
        <v>28500000</v>
      </c>
      <c r="N215" s="218">
        <v>178500000</v>
      </c>
      <c r="O215" s="203" t="s">
        <v>791</v>
      </c>
      <c r="P215" s="203" t="s">
        <v>89</v>
      </c>
      <c r="Q215" s="220">
        <v>178500000</v>
      </c>
      <c r="R215" s="220">
        <v>0</v>
      </c>
      <c r="S215" s="220">
        <v>0</v>
      </c>
      <c r="T215" s="220">
        <v>0</v>
      </c>
      <c r="U215" s="203" t="s">
        <v>1420</v>
      </c>
      <c r="V215" s="204"/>
      <c r="W215" s="207"/>
      <c r="X215" s="225" t="s">
        <v>792</v>
      </c>
      <c r="Y215" s="225" t="s">
        <v>792</v>
      </c>
      <c r="Z215" s="225" t="s">
        <v>792</v>
      </c>
    </row>
    <row r="216" spans="1:26" ht="43" customHeight="1" x14ac:dyDescent="0.35">
      <c r="A216" s="203" t="s">
        <v>927</v>
      </c>
      <c r="B216" s="203" t="s">
        <v>1410</v>
      </c>
      <c r="C216" s="203" t="s">
        <v>1418</v>
      </c>
      <c r="D216" s="243">
        <v>94131603</v>
      </c>
      <c r="E216" s="216" t="s">
        <v>1427</v>
      </c>
      <c r="F216" s="228" t="s">
        <v>1428</v>
      </c>
      <c r="G216" s="188" t="s">
        <v>70</v>
      </c>
      <c r="H216" s="205" t="s">
        <v>70</v>
      </c>
      <c r="I216" s="217">
        <v>12</v>
      </c>
      <c r="J216" s="187" t="s">
        <v>940</v>
      </c>
      <c r="K216" s="218">
        <v>150000000</v>
      </c>
      <c r="L216" s="219">
        <v>0.19</v>
      </c>
      <c r="M216" s="218">
        <v>28500000</v>
      </c>
      <c r="N216" s="218">
        <v>178500000</v>
      </c>
      <c r="O216" s="203" t="s">
        <v>791</v>
      </c>
      <c r="P216" s="203" t="s">
        <v>89</v>
      </c>
      <c r="Q216" s="220">
        <v>178500000</v>
      </c>
      <c r="R216" s="220">
        <v>0</v>
      </c>
      <c r="S216" s="220">
        <v>0</v>
      </c>
      <c r="T216" s="220">
        <v>0</v>
      </c>
      <c r="U216" s="203" t="s">
        <v>1420</v>
      </c>
      <c r="V216" s="204"/>
      <c r="W216" s="207"/>
      <c r="X216" s="225" t="s">
        <v>792</v>
      </c>
      <c r="Y216" s="225" t="s">
        <v>792</v>
      </c>
      <c r="Z216" s="225" t="s">
        <v>792</v>
      </c>
    </row>
    <row r="217" spans="1:26" ht="43" customHeight="1" x14ac:dyDescent="0.35">
      <c r="A217" s="203" t="s">
        <v>927</v>
      </c>
      <c r="B217" s="203" t="s">
        <v>1410</v>
      </c>
      <c r="C217" s="203" t="s">
        <v>1418</v>
      </c>
      <c r="D217" s="243">
        <v>94131603</v>
      </c>
      <c r="E217" s="216" t="s">
        <v>1427</v>
      </c>
      <c r="F217" s="228" t="s">
        <v>1428</v>
      </c>
      <c r="G217" s="188" t="s">
        <v>70</v>
      </c>
      <c r="H217" s="205" t="s">
        <v>70</v>
      </c>
      <c r="I217" s="217">
        <v>12</v>
      </c>
      <c r="J217" s="187" t="s">
        <v>940</v>
      </c>
      <c r="K217" s="218">
        <v>150000000</v>
      </c>
      <c r="L217" s="219">
        <v>0.19</v>
      </c>
      <c r="M217" s="218">
        <v>28500000</v>
      </c>
      <c r="N217" s="218">
        <v>178500000</v>
      </c>
      <c r="O217" s="203" t="s">
        <v>791</v>
      </c>
      <c r="P217" s="203" t="s">
        <v>89</v>
      </c>
      <c r="Q217" s="220">
        <v>178500000</v>
      </c>
      <c r="R217" s="220">
        <v>0</v>
      </c>
      <c r="S217" s="220">
        <v>0</v>
      </c>
      <c r="T217" s="220">
        <v>0</v>
      </c>
      <c r="U217" s="203" t="s">
        <v>1420</v>
      </c>
      <c r="V217" s="204"/>
      <c r="W217" s="207"/>
      <c r="X217" s="225" t="s">
        <v>792</v>
      </c>
      <c r="Y217" s="225" t="s">
        <v>792</v>
      </c>
      <c r="Z217" s="225" t="s">
        <v>792</v>
      </c>
    </row>
    <row r="218" spans="1:26" ht="43" customHeight="1" x14ac:dyDescent="0.35">
      <c r="A218" s="203" t="s">
        <v>927</v>
      </c>
      <c r="B218" s="203" t="s">
        <v>1410</v>
      </c>
      <c r="C218" s="203" t="s">
        <v>1418</v>
      </c>
      <c r="D218" s="243">
        <v>94131603</v>
      </c>
      <c r="E218" s="216" t="s">
        <v>1427</v>
      </c>
      <c r="F218" s="228" t="s">
        <v>1428</v>
      </c>
      <c r="G218" s="188" t="s">
        <v>71</v>
      </c>
      <c r="H218" s="205" t="s">
        <v>71</v>
      </c>
      <c r="I218" s="217">
        <v>12</v>
      </c>
      <c r="J218" s="187" t="s">
        <v>940</v>
      </c>
      <c r="K218" s="218">
        <v>400000000</v>
      </c>
      <c r="L218" s="219">
        <v>0.19</v>
      </c>
      <c r="M218" s="218">
        <v>76000000</v>
      </c>
      <c r="N218" s="218">
        <v>476000000</v>
      </c>
      <c r="O218" s="203" t="s">
        <v>791</v>
      </c>
      <c r="P218" s="203" t="s">
        <v>89</v>
      </c>
      <c r="Q218" s="220">
        <v>476000000</v>
      </c>
      <c r="R218" s="220">
        <v>0</v>
      </c>
      <c r="S218" s="220">
        <v>0</v>
      </c>
      <c r="T218" s="220">
        <v>0</v>
      </c>
      <c r="U218" s="203" t="s">
        <v>1420</v>
      </c>
      <c r="V218" s="204"/>
      <c r="W218" s="207"/>
      <c r="X218" s="225" t="s">
        <v>792</v>
      </c>
      <c r="Y218" s="225" t="s">
        <v>792</v>
      </c>
      <c r="Z218" s="225" t="s">
        <v>792</v>
      </c>
    </row>
    <row r="219" spans="1:26" ht="43" customHeight="1" x14ac:dyDescent="0.35">
      <c r="A219" s="203" t="s">
        <v>927</v>
      </c>
      <c r="B219" s="203" t="s">
        <v>1410</v>
      </c>
      <c r="C219" s="203" t="s">
        <v>1418</v>
      </c>
      <c r="D219" s="243">
        <v>94131603</v>
      </c>
      <c r="E219" s="216" t="s">
        <v>1427</v>
      </c>
      <c r="F219" s="228" t="s">
        <v>1428</v>
      </c>
      <c r="G219" s="188" t="s">
        <v>71</v>
      </c>
      <c r="H219" s="205" t="s">
        <v>71</v>
      </c>
      <c r="I219" s="217">
        <v>12</v>
      </c>
      <c r="J219" s="187" t="s">
        <v>940</v>
      </c>
      <c r="K219" s="218">
        <v>400000000</v>
      </c>
      <c r="L219" s="219">
        <v>0.19</v>
      </c>
      <c r="M219" s="218">
        <v>76000000</v>
      </c>
      <c r="N219" s="218">
        <v>476000000</v>
      </c>
      <c r="O219" s="203" t="s">
        <v>791</v>
      </c>
      <c r="P219" s="203" t="s">
        <v>89</v>
      </c>
      <c r="Q219" s="220">
        <v>476000000</v>
      </c>
      <c r="R219" s="220">
        <v>0</v>
      </c>
      <c r="S219" s="220">
        <v>0</v>
      </c>
      <c r="T219" s="220">
        <v>0</v>
      </c>
      <c r="U219" s="203" t="s">
        <v>1420</v>
      </c>
      <c r="V219" s="204"/>
      <c r="W219" s="207"/>
      <c r="X219" s="225" t="s">
        <v>792</v>
      </c>
      <c r="Y219" s="225" t="s">
        <v>792</v>
      </c>
      <c r="Z219" s="225" t="s">
        <v>792</v>
      </c>
    </row>
    <row r="220" spans="1:26" ht="43" customHeight="1" x14ac:dyDescent="0.35">
      <c r="A220" s="203" t="s">
        <v>927</v>
      </c>
      <c r="B220" s="203" t="s">
        <v>1410</v>
      </c>
      <c r="C220" s="203" t="s">
        <v>1418</v>
      </c>
      <c r="D220" s="243">
        <v>94131603</v>
      </c>
      <c r="E220" s="216" t="s">
        <v>1427</v>
      </c>
      <c r="F220" s="228" t="s">
        <v>1428</v>
      </c>
      <c r="G220" s="188" t="s">
        <v>71</v>
      </c>
      <c r="H220" s="205" t="s">
        <v>71</v>
      </c>
      <c r="I220" s="217">
        <v>12</v>
      </c>
      <c r="J220" s="187" t="s">
        <v>940</v>
      </c>
      <c r="K220" s="218">
        <v>150000000</v>
      </c>
      <c r="L220" s="219">
        <v>0.19</v>
      </c>
      <c r="M220" s="218">
        <v>28500000</v>
      </c>
      <c r="N220" s="218">
        <v>178500000</v>
      </c>
      <c r="O220" s="203" t="s">
        <v>791</v>
      </c>
      <c r="P220" s="203" t="s">
        <v>89</v>
      </c>
      <c r="Q220" s="220">
        <v>178500000</v>
      </c>
      <c r="R220" s="220">
        <v>0</v>
      </c>
      <c r="S220" s="220">
        <v>0</v>
      </c>
      <c r="T220" s="220">
        <v>0</v>
      </c>
      <c r="U220" s="203" t="s">
        <v>1420</v>
      </c>
      <c r="V220" s="204"/>
      <c r="W220" s="207"/>
      <c r="X220" s="225" t="s">
        <v>792</v>
      </c>
      <c r="Y220" s="225" t="s">
        <v>792</v>
      </c>
      <c r="Z220" s="225" t="s">
        <v>792</v>
      </c>
    </row>
    <row r="221" spans="1:26" ht="43" customHeight="1" x14ac:dyDescent="0.35">
      <c r="A221" s="203" t="s">
        <v>927</v>
      </c>
      <c r="B221" s="203" t="s">
        <v>1410</v>
      </c>
      <c r="C221" s="203" t="s">
        <v>1418</v>
      </c>
      <c r="D221" s="243">
        <v>94131603</v>
      </c>
      <c r="E221" s="216" t="s">
        <v>1427</v>
      </c>
      <c r="F221" s="228" t="s">
        <v>1428</v>
      </c>
      <c r="G221" s="188" t="s">
        <v>72</v>
      </c>
      <c r="H221" s="205" t="s">
        <v>72</v>
      </c>
      <c r="I221" s="217">
        <v>12</v>
      </c>
      <c r="J221" s="187" t="s">
        <v>940</v>
      </c>
      <c r="K221" s="218">
        <v>150000000</v>
      </c>
      <c r="L221" s="219">
        <v>0.19</v>
      </c>
      <c r="M221" s="218">
        <v>28500000</v>
      </c>
      <c r="N221" s="218">
        <v>178500000</v>
      </c>
      <c r="O221" s="203" t="s">
        <v>791</v>
      </c>
      <c r="P221" s="203" t="s">
        <v>89</v>
      </c>
      <c r="Q221" s="220">
        <v>178500000</v>
      </c>
      <c r="R221" s="220">
        <v>0</v>
      </c>
      <c r="S221" s="220">
        <v>0</v>
      </c>
      <c r="T221" s="220">
        <v>0</v>
      </c>
      <c r="U221" s="203" t="s">
        <v>1420</v>
      </c>
      <c r="V221" s="204"/>
      <c r="W221" s="207"/>
      <c r="X221" s="225" t="s">
        <v>792</v>
      </c>
      <c r="Y221" s="225" t="s">
        <v>792</v>
      </c>
      <c r="Z221" s="225" t="s">
        <v>792</v>
      </c>
    </row>
    <row r="222" spans="1:26" ht="43" customHeight="1" x14ac:dyDescent="0.35">
      <c r="A222" s="203" t="s">
        <v>927</v>
      </c>
      <c r="B222" s="203" t="s">
        <v>1410</v>
      </c>
      <c r="C222" s="203" t="s">
        <v>1418</v>
      </c>
      <c r="D222" s="243">
        <v>94131603</v>
      </c>
      <c r="E222" s="216" t="s">
        <v>1427</v>
      </c>
      <c r="F222" s="228" t="s">
        <v>1428</v>
      </c>
      <c r="G222" s="188" t="s">
        <v>72</v>
      </c>
      <c r="H222" s="205" t="s">
        <v>72</v>
      </c>
      <c r="I222" s="217">
        <v>12</v>
      </c>
      <c r="J222" s="187" t="s">
        <v>940</v>
      </c>
      <c r="K222" s="218">
        <v>150000000</v>
      </c>
      <c r="L222" s="219">
        <v>0.19</v>
      </c>
      <c r="M222" s="218">
        <v>28500000</v>
      </c>
      <c r="N222" s="218">
        <v>178500000</v>
      </c>
      <c r="O222" s="203" t="s">
        <v>791</v>
      </c>
      <c r="P222" s="203" t="s">
        <v>89</v>
      </c>
      <c r="Q222" s="220">
        <v>178500000</v>
      </c>
      <c r="R222" s="220">
        <v>0</v>
      </c>
      <c r="S222" s="220">
        <v>0</v>
      </c>
      <c r="T222" s="220">
        <v>0</v>
      </c>
      <c r="U222" s="203" t="s">
        <v>1420</v>
      </c>
      <c r="V222" s="204"/>
      <c r="W222" s="207"/>
      <c r="X222" s="225" t="s">
        <v>792</v>
      </c>
      <c r="Y222" s="225" t="s">
        <v>792</v>
      </c>
      <c r="Z222" s="225" t="s">
        <v>792</v>
      </c>
    </row>
    <row r="223" spans="1:26" ht="43" customHeight="1" x14ac:dyDescent="0.35">
      <c r="A223" s="203" t="s">
        <v>927</v>
      </c>
      <c r="B223" s="203" t="s">
        <v>1410</v>
      </c>
      <c r="C223" s="203" t="s">
        <v>1418</v>
      </c>
      <c r="D223" s="243">
        <v>94131603</v>
      </c>
      <c r="E223" s="216" t="s">
        <v>1427</v>
      </c>
      <c r="F223" s="228" t="s">
        <v>1428</v>
      </c>
      <c r="G223" s="188" t="s">
        <v>72</v>
      </c>
      <c r="H223" s="205" t="s">
        <v>72</v>
      </c>
      <c r="I223" s="217">
        <v>12</v>
      </c>
      <c r="J223" s="187" t="s">
        <v>940</v>
      </c>
      <c r="K223" s="218">
        <v>400000000</v>
      </c>
      <c r="L223" s="219">
        <v>0.19</v>
      </c>
      <c r="M223" s="218">
        <v>76000000</v>
      </c>
      <c r="N223" s="218">
        <v>476000000</v>
      </c>
      <c r="O223" s="203" t="s">
        <v>791</v>
      </c>
      <c r="P223" s="203" t="s">
        <v>89</v>
      </c>
      <c r="Q223" s="220">
        <v>476000000</v>
      </c>
      <c r="R223" s="220">
        <v>0</v>
      </c>
      <c r="S223" s="220">
        <v>0</v>
      </c>
      <c r="T223" s="220">
        <v>0</v>
      </c>
      <c r="U223" s="203" t="s">
        <v>1420</v>
      </c>
      <c r="V223" s="204"/>
      <c r="W223" s="207"/>
      <c r="X223" s="225" t="s">
        <v>792</v>
      </c>
      <c r="Y223" s="225" t="s">
        <v>792</v>
      </c>
      <c r="Z223" s="225" t="s">
        <v>792</v>
      </c>
    </row>
    <row r="224" spans="1:26" ht="43" customHeight="1" x14ac:dyDescent="0.35">
      <c r="A224" s="203" t="s">
        <v>927</v>
      </c>
      <c r="B224" s="203" t="s">
        <v>1410</v>
      </c>
      <c r="C224" s="203" t="s">
        <v>1418</v>
      </c>
      <c r="D224" s="243">
        <v>94131603</v>
      </c>
      <c r="E224" s="216" t="s">
        <v>1427</v>
      </c>
      <c r="F224" s="228" t="s">
        <v>1428</v>
      </c>
      <c r="G224" s="188" t="s">
        <v>75</v>
      </c>
      <c r="H224" s="205" t="s">
        <v>75</v>
      </c>
      <c r="I224" s="217">
        <v>12</v>
      </c>
      <c r="J224" s="187" t="s">
        <v>940</v>
      </c>
      <c r="K224" s="218">
        <v>150000000</v>
      </c>
      <c r="L224" s="219">
        <v>0.19</v>
      </c>
      <c r="M224" s="218">
        <v>28500000</v>
      </c>
      <c r="N224" s="218">
        <v>178500000</v>
      </c>
      <c r="O224" s="203" t="s">
        <v>791</v>
      </c>
      <c r="P224" s="203" t="s">
        <v>89</v>
      </c>
      <c r="Q224" s="220">
        <v>178500000</v>
      </c>
      <c r="R224" s="220">
        <v>0</v>
      </c>
      <c r="S224" s="220">
        <v>0</v>
      </c>
      <c r="T224" s="220">
        <v>0</v>
      </c>
      <c r="U224" s="203" t="s">
        <v>1420</v>
      </c>
      <c r="V224" s="204"/>
      <c r="W224" s="207"/>
      <c r="X224" s="225" t="s">
        <v>792</v>
      </c>
      <c r="Y224" s="225" t="s">
        <v>792</v>
      </c>
      <c r="Z224" s="225" t="s">
        <v>792</v>
      </c>
    </row>
    <row r="225" spans="1:26" ht="43" customHeight="1" x14ac:dyDescent="0.35">
      <c r="A225" s="203" t="s">
        <v>927</v>
      </c>
      <c r="B225" s="203" t="s">
        <v>1410</v>
      </c>
      <c r="C225" s="203" t="s">
        <v>1418</v>
      </c>
      <c r="D225" s="243">
        <v>94131603</v>
      </c>
      <c r="E225" s="216" t="s">
        <v>1427</v>
      </c>
      <c r="F225" s="228" t="s">
        <v>1428</v>
      </c>
      <c r="G225" s="188" t="s">
        <v>75</v>
      </c>
      <c r="H225" s="205" t="s">
        <v>75</v>
      </c>
      <c r="I225" s="217">
        <v>12</v>
      </c>
      <c r="J225" s="187" t="s">
        <v>940</v>
      </c>
      <c r="K225" s="218">
        <v>150000000</v>
      </c>
      <c r="L225" s="219">
        <v>0.19</v>
      </c>
      <c r="M225" s="218">
        <v>28500000</v>
      </c>
      <c r="N225" s="218">
        <v>178500000</v>
      </c>
      <c r="O225" s="203" t="s">
        <v>791</v>
      </c>
      <c r="P225" s="203" t="s">
        <v>89</v>
      </c>
      <c r="Q225" s="220">
        <v>178500000</v>
      </c>
      <c r="R225" s="220">
        <v>0</v>
      </c>
      <c r="S225" s="220">
        <v>0</v>
      </c>
      <c r="T225" s="220">
        <v>0</v>
      </c>
      <c r="U225" s="203" t="s">
        <v>1420</v>
      </c>
      <c r="V225" s="204"/>
      <c r="W225" s="207"/>
      <c r="X225" s="225" t="s">
        <v>792</v>
      </c>
      <c r="Y225" s="225" t="s">
        <v>792</v>
      </c>
      <c r="Z225" s="225" t="s">
        <v>792</v>
      </c>
    </row>
    <row r="226" spans="1:26" ht="43" customHeight="1" x14ac:dyDescent="0.35">
      <c r="A226" s="203" t="s">
        <v>927</v>
      </c>
      <c r="B226" s="203" t="s">
        <v>1410</v>
      </c>
      <c r="C226" s="203" t="s">
        <v>1418</v>
      </c>
      <c r="D226" s="243">
        <v>94131603</v>
      </c>
      <c r="E226" s="216" t="s">
        <v>1427</v>
      </c>
      <c r="F226" s="228" t="s">
        <v>1428</v>
      </c>
      <c r="G226" s="188" t="s">
        <v>76</v>
      </c>
      <c r="H226" s="205" t="s">
        <v>76</v>
      </c>
      <c r="I226" s="217">
        <v>12</v>
      </c>
      <c r="J226" s="187" t="s">
        <v>940</v>
      </c>
      <c r="K226" s="218">
        <v>150000000</v>
      </c>
      <c r="L226" s="219">
        <v>0.19</v>
      </c>
      <c r="M226" s="218">
        <v>28500000</v>
      </c>
      <c r="N226" s="218">
        <v>178500000</v>
      </c>
      <c r="O226" s="203" t="s">
        <v>791</v>
      </c>
      <c r="P226" s="203" t="s">
        <v>89</v>
      </c>
      <c r="Q226" s="220">
        <v>178500000</v>
      </c>
      <c r="R226" s="220">
        <v>0</v>
      </c>
      <c r="S226" s="220">
        <v>0</v>
      </c>
      <c r="T226" s="220">
        <v>0</v>
      </c>
      <c r="U226" s="203" t="s">
        <v>1420</v>
      </c>
      <c r="V226" s="204"/>
      <c r="W226" s="207"/>
      <c r="X226" s="225" t="s">
        <v>792</v>
      </c>
      <c r="Y226" s="225" t="s">
        <v>792</v>
      </c>
      <c r="Z226" s="225" t="s">
        <v>792</v>
      </c>
    </row>
    <row r="227" spans="1:26" ht="43" customHeight="1" x14ac:dyDescent="0.35">
      <c r="A227" s="203" t="s">
        <v>927</v>
      </c>
      <c r="B227" s="203" t="s">
        <v>1410</v>
      </c>
      <c r="C227" s="203" t="s">
        <v>1418</v>
      </c>
      <c r="D227" s="243">
        <v>94131603</v>
      </c>
      <c r="E227" s="216" t="s">
        <v>1427</v>
      </c>
      <c r="F227" s="228" t="s">
        <v>1428</v>
      </c>
      <c r="G227" s="188" t="s">
        <v>76</v>
      </c>
      <c r="H227" s="205" t="s">
        <v>76</v>
      </c>
      <c r="I227" s="217">
        <v>12</v>
      </c>
      <c r="J227" s="187" t="s">
        <v>940</v>
      </c>
      <c r="K227" s="218">
        <v>150000000</v>
      </c>
      <c r="L227" s="219">
        <v>0.19</v>
      </c>
      <c r="M227" s="218">
        <v>28500000</v>
      </c>
      <c r="N227" s="218">
        <v>178500000</v>
      </c>
      <c r="O227" s="203" t="s">
        <v>791</v>
      </c>
      <c r="P227" s="203" t="s">
        <v>89</v>
      </c>
      <c r="Q227" s="220">
        <v>178500000</v>
      </c>
      <c r="R227" s="220">
        <v>0</v>
      </c>
      <c r="S227" s="220">
        <v>0</v>
      </c>
      <c r="T227" s="220">
        <v>0</v>
      </c>
      <c r="U227" s="203" t="s">
        <v>1420</v>
      </c>
      <c r="V227" s="204"/>
      <c r="W227" s="207"/>
      <c r="X227" s="225" t="s">
        <v>792</v>
      </c>
      <c r="Y227" s="225" t="s">
        <v>792</v>
      </c>
      <c r="Z227" s="225" t="s">
        <v>792</v>
      </c>
    </row>
    <row r="228" spans="1:26" ht="43" customHeight="1" x14ac:dyDescent="0.35">
      <c r="A228" s="203" t="s">
        <v>927</v>
      </c>
      <c r="B228" s="203" t="s">
        <v>1410</v>
      </c>
      <c r="C228" s="203" t="s">
        <v>1418</v>
      </c>
      <c r="D228" s="243">
        <v>94131603</v>
      </c>
      <c r="E228" s="216" t="s">
        <v>1427</v>
      </c>
      <c r="F228" s="228" t="s">
        <v>1428</v>
      </c>
      <c r="G228" s="188" t="s">
        <v>76</v>
      </c>
      <c r="H228" s="205" t="s">
        <v>76</v>
      </c>
      <c r="I228" s="217">
        <v>12</v>
      </c>
      <c r="J228" s="187" t="s">
        <v>940</v>
      </c>
      <c r="K228" s="218">
        <v>150000000</v>
      </c>
      <c r="L228" s="219">
        <v>0.19</v>
      </c>
      <c r="M228" s="218">
        <v>28500000</v>
      </c>
      <c r="N228" s="218">
        <v>178500000</v>
      </c>
      <c r="O228" s="203" t="s">
        <v>791</v>
      </c>
      <c r="P228" s="203" t="s">
        <v>89</v>
      </c>
      <c r="Q228" s="220">
        <v>178500000</v>
      </c>
      <c r="R228" s="220">
        <v>0</v>
      </c>
      <c r="S228" s="220">
        <v>0</v>
      </c>
      <c r="T228" s="220">
        <v>0</v>
      </c>
      <c r="U228" s="203" t="s">
        <v>1420</v>
      </c>
      <c r="V228" s="204"/>
      <c r="W228" s="207"/>
      <c r="X228" s="225" t="s">
        <v>792</v>
      </c>
      <c r="Y228" s="225" t="s">
        <v>792</v>
      </c>
      <c r="Z228" s="225" t="s">
        <v>792</v>
      </c>
    </row>
    <row r="229" spans="1:26" ht="43" customHeight="1" x14ac:dyDescent="0.35">
      <c r="A229" s="203" t="s">
        <v>927</v>
      </c>
      <c r="B229" s="203" t="s">
        <v>1410</v>
      </c>
      <c r="C229" s="203" t="s">
        <v>1418</v>
      </c>
      <c r="D229" s="243">
        <v>94131603</v>
      </c>
      <c r="E229" s="216" t="s">
        <v>1427</v>
      </c>
      <c r="F229" s="228" t="s">
        <v>1428</v>
      </c>
      <c r="G229" s="188" t="s">
        <v>76</v>
      </c>
      <c r="H229" s="205" t="s">
        <v>76</v>
      </c>
      <c r="I229" s="217">
        <v>12</v>
      </c>
      <c r="J229" s="187" t="s">
        <v>940</v>
      </c>
      <c r="K229" s="218">
        <v>150000000</v>
      </c>
      <c r="L229" s="219">
        <v>0.19</v>
      </c>
      <c r="M229" s="218">
        <v>28500000</v>
      </c>
      <c r="N229" s="218">
        <v>178500000</v>
      </c>
      <c r="O229" s="203" t="s">
        <v>791</v>
      </c>
      <c r="P229" s="203" t="s">
        <v>89</v>
      </c>
      <c r="Q229" s="220">
        <v>178500000</v>
      </c>
      <c r="R229" s="220">
        <v>0</v>
      </c>
      <c r="S229" s="220">
        <v>0</v>
      </c>
      <c r="T229" s="220">
        <v>0</v>
      </c>
      <c r="U229" s="203" t="s">
        <v>1420</v>
      </c>
      <c r="V229" s="204"/>
      <c r="W229" s="207"/>
      <c r="X229" s="225" t="s">
        <v>792</v>
      </c>
      <c r="Y229" s="225" t="s">
        <v>792</v>
      </c>
      <c r="Z229" s="225" t="s">
        <v>792</v>
      </c>
    </row>
    <row r="230" spans="1:26" ht="43" customHeight="1" x14ac:dyDescent="0.35">
      <c r="A230" s="203" t="s">
        <v>927</v>
      </c>
      <c r="B230" s="203" t="s">
        <v>1410</v>
      </c>
      <c r="C230" s="203" t="s">
        <v>1418</v>
      </c>
      <c r="D230" s="243">
        <v>94131603</v>
      </c>
      <c r="E230" s="216" t="s">
        <v>1427</v>
      </c>
      <c r="F230" s="228" t="s">
        <v>722</v>
      </c>
      <c r="G230" s="188" t="s">
        <v>69</v>
      </c>
      <c r="H230" s="205" t="s">
        <v>69</v>
      </c>
      <c r="I230" s="217">
        <v>12</v>
      </c>
      <c r="J230" s="187" t="s">
        <v>940</v>
      </c>
      <c r="K230" s="218">
        <v>150000000</v>
      </c>
      <c r="L230" s="219">
        <v>0.19</v>
      </c>
      <c r="M230" s="218">
        <v>28500000</v>
      </c>
      <c r="N230" s="218">
        <v>178500000</v>
      </c>
      <c r="O230" s="203" t="s">
        <v>791</v>
      </c>
      <c r="P230" s="203" t="s">
        <v>89</v>
      </c>
      <c r="Q230" s="220">
        <v>178500000</v>
      </c>
      <c r="R230" s="220">
        <v>0</v>
      </c>
      <c r="S230" s="220">
        <v>0</v>
      </c>
      <c r="T230" s="220">
        <v>0</v>
      </c>
      <c r="U230" s="203" t="s">
        <v>1420</v>
      </c>
      <c r="V230" s="204"/>
      <c r="W230" s="207"/>
      <c r="X230" s="225" t="s">
        <v>792</v>
      </c>
      <c r="Y230" s="225" t="s">
        <v>792</v>
      </c>
      <c r="Z230" s="225" t="s">
        <v>792</v>
      </c>
    </row>
    <row r="231" spans="1:26" ht="43" customHeight="1" x14ac:dyDescent="0.35">
      <c r="A231" s="203" t="s">
        <v>927</v>
      </c>
      <c r="B231" s="203" t="s">
        <v>1410</v>
      </c>
      <c r="C231" s="203" t="s">
        <v>1418</v>
      </c>
      <c r="D231" s="243">
        <v>94131603</v>
      </c>
      <c r="E231" s="216" t="s">
        <v>1427</v>
      </c>
      <c r="F231" s="228" t="s">
        <v>722</v>
      </c>
      <c r="G231" s="188" t="s">
        <v>69</v>
      </c>
      <c r="H231" s="205" t="s">
        <v>69</v>
      </c>
      <c r="I231" s="217">
        <v>12</v>
      </c>
      <c r="J231" s="187" t="s">
        <v>940</v>
      </c>
      <c r="K231" s="218">
        <v>150000000</v>
      </c>
      <c r="L231" s="219">
        <v>0.19</v>
      </c>
      <c r="M231" s="218">
        <v>28500000</v>
      </c>
      <c r="N231" s="218">
        <v>178500000</v>
      </c>
      <c r="O231" s="203" t="s">
        <v>791</v>
      </c>
      <c r="P231" s="203" t="s">
        <v>89</v>
      </c>
      <c r="Q231" s="220">
        <v>178500000</v>
      </c>
      <c r="R231" s="220">
        <v>0</v>
      </c>
      <c r="S231" s="220">
        <v>0</v>
      </c>
      <c r="T231" s="220">
        <v>0</v>
      </c>
      <c r="U231" s="203" t="s">
        <v>1420</v>
      </c>
      <c r="V231" s="204"/>
      <c r="W231" s="207"/>
      <c r="X231" s="225" t="s">
        <v>792</v>
      </c>
      <c r="Y231" s="225" t="s">
        <v>792</v>
      </c>
      <c r="Z231" s="225" t="s">
        <v>792</v>
      </c>
    </row>
    <row r="232" spans="1:26" ht="43" customHeight="1" x14ac:dyDescent="0.35">
      <c r="A232" s="203" t="s">
        <v>927</v>
      </c>
      <c r="B232" s="203" t="s">
        <v>1410</v>
      </c>
      <c r="C232" s="203" t="s">
        <v>1418</v>
      </c>
      <c r="D232" s="243">
        <v>94131603</v>
      </c>
      <c r="E232" s="216" t="s">
        <v>1427</v>
      </c>
      <c r="F232" s="228" t="s">
        <v>722</v>
      </c>
      <c r="G232" s="188" t="s">
        <v>71</v>
      </c>
      <c r="H232" s="205" t="s">
        <v>71</v>
      </c>
      <c r="I232" s="217">
        <v>12</v>
      </c>
      <c r="J232" s="187" t="s">
        <v>940</v>
      </c>
      <c r="K232" s="218">
        <v>150000000</v>
      </c>
      <c r="L232" s="219">
        <v>0.19</v>
      </c>
      <c r="M232" s="218">
        <v>28500000</v>
      </c>
      <c r="N232" s="218">
        <v>178500000</v>
      </c>
      <c r="O232" s="203" t="s">
        <v>791</v>
      </c>
      <c r="P232" s="203" t="s">
        <v>89</v>
      </c>
      <c r="Q232" s="220">
        <v>178500000</v>
      </c>
      <c r="R232" s="220">
        <v>0</v>
      </c>
      <c r="S232" s="220">
        <v>0</v>
      </c>
      <c r="T232" s="220">
        <v>0</v>
      </c>
      <c r="U232" s="203" t="s">
        <v>1420</v>
      </c>
      <c r="V232" s="204"/>
      <c r="W232" s="207"/>
      <c r="X232" s="225" t="s">
        <v>792</v>
      </c>
      <c r="Y232" s="225" t="s">
        <v>792</v>
      </c>
      <c r="Z232" s="225" t="s">
        <v>792</v>
      </c>
    </row>
    <row r="233" spans="1:26" ht="43" customHeight="1" x14ac:dyDescent="0.35">
      <c r="A233" s="203" t="s">
        <v>927</v>
      </c>
      <c r="B233" s="203" t="s">
        <v>1410</v>
      </c>
      <c r="C233" s="203" t="s">
        <v>1418</v>
      </c>
      <c r="D233" s="243">
        <v>94131603</v>
      </c>
      <c r="E233" s="216" t="s">
        <v>1427</v>
      </c>
      <c r="F233" s="228" t="s">
        <v>722</v>
      </c>
      <c r="G233" s="188" t="s">
        <v>71</v>
      </c>
      <c r="H233" s="205" t="s">
        <v>71</v>
      </c>
      <c r="I233" s="217">
        <v>12</v>
      </c>
      <c r="J233" s="187" t="s">
        <v>940</v>
      </c>
      <c r="K233" s="218">
        <v>150000000</v>
      </c>
      <c r="L233" s="219">
        <v>0.19</v>
      </c>
      <c r="M233" s="218">
        <v>28500000</v>
      </c>
      <c r="N233" s="218">
        <v>178500000</v>
      </c>
      <c r="O233" s="203" t="s">
        <v>791</v>
      </c>
      <c r="P233" s="203" t="s">
        <v>89</v>
      </c>
      <c r="Q233" s="220">
        <v>178500000</v>
      </c>
      <c r="R233" s="220">
        <v>0</v>
      </c>
      <c r="S233" s="220">
        <v>0</v>
      </c>
      <c r="T233" s="220">
        <v>0</v>
      </c>
      <c r="U233" s="203" t="s">
        <v>1420</v>
      </c>
      <c r="V233" s="204"/>
      <c r="W233" s="207"/>
      <c r="X233" s="225" t="s">
        <v>792</v>
      </c>
      <c r="Y233" s="225" t="s">
        <v>792</v>
      </c>
      <c r="Z233" s="225" t="s">
        <v>792</v>
      </c>
    </row>
    <row r="234" spans="1:26" ht="43" customHeight="1" x14ac:dyDescent="0.35">
      <c r="A234" s="203" t="s">
        <v>927</v>
      </c>
      <c r="B234" s="203" t="s">
        <v>1410</v>
      </c>
      <c r="C234" s="203" t="s">
        <v>1418</v>
      </c>
      <c r="D234" s="243">
        <v>94131603</v>
      </c>
      <c r="E234" s="216" t="s">
        <v>1427</v>
      </c>
      <c r="F234" s="228" t="s">
        <v>722</v>
      </c>
      <c r="G234" s="188" t="s">
        <v>74</v>
      </c>
      <c r="H234" s="205" t="s">
        <v>74</v>
      </c>
      <c r="I234" s="217">
        <v>12</v>
      </c>
      <c r="J234" s="187" t="s">
        <v>940</v>
      </c>
      <c r="K234" s="218">
        <v>150000000</v>
      </c>
      <c r="L234" s="219">
        <v>0.19</v>
      </c>
      <c r="M234" s="218">
        <v>28500000</v>
      </c>
      <c r="N234" s="218">
        <v>178500000</v>
      </c>
      <c r="O234" s="203" t="s">
        <v>791</v>
      </c>
      <c r="P234" s="203" t="s">
        <v>89</v>
      </c>
      <c r="Q234" s="220">
        <v>178500000</v>
      </c>
      <c r="R234" s="220">
        <v>0</v>
      </c>
      <c r="S234" s="220">
        <v>0</v>
      </c>
      <c r="T234" s="220">
        <v>0</v>
      </c>
      <c r="U234" s="203" t="s">
        <v>1420</v>
      </c>
      <c r="V234" s="204"/>
      <c r="W234" s="207"/>
      <c r="X234" s="225" t="s">
        <v>792</v>
      </c>
      <c r="Y234" s="225" t="s">
        <v>792</v>
      </c>
      <c r="Z234" s="225" t="s">
        <v>792</v>
      </c>
    </row>
    <row r="235" spans="1:26" ht="43" customHeight="1" x14ac:dyDescent="0.35">
      <c r="A235" s="203" t="s">
        <v>927</v>
      </c>
      <c r="B235" s="203" t="s">
        <v>1410</v>
      </c>
      <c r="C235" s="203" t="s">
        <v>1418</v>
      </c>
      <c r="D235" s="243">
        <v>94131603</v>
      </c>
      <c r="E235" s="216" t="s">
        <v>1427</v>
      </c>
      <c r="F235" s="228" t="s">
        <v>722</v>
      </c>
      <c r="G235" s="188" t="s">
        <v>74</v>
      </c>
      <c r="H235" s="205" t="s">
        <v>74</v>
      </c>
      <c r="I235" s="217">
        <v>12</v>
      </c>
      <c r="J235" s="187" t="s">
        <v>940</v>
      </c>
      <c r="K235" s="218">
        <v>150000000</v>
      </c>
      <c r="L235" s="219">
        <v>0.19</v>
      </c>
      <c r="M235" s="218">
        <v>28500000</v>
      </c>
      <c r="N235" s="218">
        <v>178500000</v>
      </c>
      <c r="O235" s="203" t="s">
        <v>791</v>
      </c>
      <c r="P235" s="203" t="s">
        <v>89</v>
      </c>
      <c r="Q235" s="220">
        <v>178500000</v>
      </c>
      <c r="R235" s="220">
        <v>0</v>
      </c>
      <c r="S235" s="220">
        <v>0</v>
      </c>
      <c r="T235" s="220">
        <v>0</v>
      </c>
      <c r="U235" s="203" t="s">
        <v>1420</v>
      </c>
      <c r="V235" s="204"/>
      <c r="W235" s="207"/>
      <c r="X235" s="225" t="s">
        <v>792</v>
      </c>
      <c r="Y235" s="225" t="s">
        <v>792</v>
      </c>
      <c r="Z235" s="225" t="s">
        <v>792</v>
      </c>
    </row>
    <row r="236" spans="1:26" ht="43" customHeight="1" x14ac:dyDescent="0.35">
      <c r="A236" s="203" t="s">
        <v>927</v>
      </c>
      <c r="B236" s="203" t="s">
        <v>1410</v>
      </c>
      <c r="C236" s="203" t="s">
        <v>1429</v>
      </c>
      <c r="D236" s="243">
        <v>80101500</v>
      </c>
      <c r="E236" s="216" t="s">
        <v>1108</v>
      </c>
      <c r="F236" s="228" t="s">
        <v>1430</v>
      </c>
      <c r="G236" s="188" t="s">
        <v>69</v>
      </c>
      <c r="H236" s="205" t="s">
        <v>69</v>
      </c>
      <c r="I236" s="217">
        <v>9</v>
      </c>
      <c r="J236" s="187" t="s">
        <v>940</v>
      </c>
      <c r="K236" s="218">
        <v>110000000</v>
      </c>
      <c r="L236" s="219">
        <v>0</v>
      </c>
      <c r="M236" s="218">
        <v>0</v>
      </c>
      <c r="N236" s="218">
        <v>110000000</v>
      </c>
      <c r="O236" s="203" t="s">
        <v>791</v>
      </c>
      <c r="P236" s="203" t="s">
        <v>89</v>
      </c>
      <c r="Q236" s="220">
        <v>110000000</v>
      </c>
      <c r="R236" s="220">
        <v>0</v>
      </c>
      <c r="S236" s="220">
        <v>0</v>
      </c>
      <c r="T236" s="220">
        <v>0</v>
      </c>
      <c r="U236" s="203" t="s">
        <v>1431</v>
      </c>
      <c r="V236" s="204"/>
      <c r="W236" s="207"/>
      <c r="X236" s="225" t="s">
        <v>1203</v>
      </c>
      <c r="Y236" s="225" t="s">
        <v>1203</v>
      </c>
      <c r="Z236" s="225"/>
    </row>
    <row r="237" spans="1:26" ht="43" customHeight="1" x14ac:dyDescent="0.35">
      <c r="A237" s="203" t="s">
        <v>927</v>
      </c>
      <c r="B237" s="203" t="s">
        <v>1410</v>
      </c>
      <c r="C237" s="203" t="s">
        <v>1429</v>
      </c>
      <c r="D237" s="243">
        <v>80101500</v>
      </c>
      <c r="E237" s="216" t="s">
        <v>1108</v>
      </c>
      <c r="F237" s="228" t="s">
        <v>1430</v>
      </c>
      <c r="G237" s="188" t="s">
        <v>70</v>
      </c>
      <c r="H237" s="205" t="s">
        <v>70</v>
      </c>
      <c r="I237" s="217">
        <v>8</v>
      </c>
      <c r="J237" s="187" t="s">
        <v>940</v>
      </c>
      <c r="K237" s="218">
        <v>85000000</v>
      </c>
      <c r="L237" s="219">
        <v>0</v>
      </c>
      <c r="M237" s="218">
        <v>0</v>
      </c>
      <c r="N237" s="218">
        <v>85000000</v>
      </c>
      <c r="O237" s="203" t="s">
        <v>791</v>
      </c>
      <c r="P237" s="203" t="s">
        <v>89</v>
      </c>
      <c r="Q237" s="220">
        <v>85000000</v>
      </c>
      <c r="R237" s="220">
        <v>0</v>
      </c>
      <c r="S237" s="220">
        <v>0</v>
      </c>
      <c r="T237" s="220">
        <v>0</v>
      </c>
      <c r="U237" s="203" t="s">
        <v>1431</v>
      </c>
      <c r="V237" s="204"/>
      <c r="W237" s="207"/>
      <c r="X237" s="225" t="s">
        <v>1203</v>
      </c>
      <c r="Y237" s="225" t="s">
        <v>1203</v>
      </c>
      <c r="Z237" s="225"/>
    </row>
    <row r="238" spans="1:26" ht="43" customHeight="1" x14ac:dyDescent="0.35">
      <c r="A238" s="203" t="s">
        <v>927</v>
      </c>
      <c r="B238" s="203" t="s">
        <v>1432</v>
      </c>
      <c r="C238" s="203" t="s">
        <v>1433</v>
      </c>
      <c r="D238" s="243">
        <v>81110000</v>
      </c>
      <c r="E238" s="216" t="s">
        <v>1434</v>
      </c>
      <c r="F238" s="228" t="s">
        <v>1435</v>
      </c>
      <c r="G238" s="188" t="s">
        <v>71</v>
      </c>
      <c r="H238" s="205" t="s">
        <v>74</v>
      </c>
      <c r="I238" s="217">
        <v>36</v>
      </c>
      <c r="J238" s="187" t="s">
        <v>931</v>
      </c>
      <c r="K238" s="218">
        <v>1300000000</v>
      </c>
      <c r="L238" s="219">
        <v>0.19</v>
      </c>
      <c r="M238" s="218">
        <v>247000000</v>
      </c>
      <c r="N238" s="218">
        <v>1547000000</v>
      </c>
      <c r="O238" s="203" t="s">
        <v>794</v>
      </c>
      <c r="P238" s="203" t="s">
        <v>932</v>
      </c>
      <c r="Q238" s="220">
        <v>0</v>
      </c>
      <c r="R238" s="220">
        <v>495000000</v>
      </c>
      <c r="S238" s="220">
        <v>520000000</v>
      </c>
      <c r="T238" s="220">
        <v>532000000</v>
      </c>
      <c r="U238" s="203" t="s">
        <v>1436</v>
      </c>
      <c r="V238" s="204" t="s">
        <v>1437</v>
      </c>
      <c r="W238" s="207"/>
      <c r="X238" s="225" t="s">
        <v>1438</v>
      </c>
      <c r="Y238" s="225" t="s">
        <v>1439</v>
      </c>
      <c r="Z238" s="225" t="s">
        <v>1440</v>
      </c>
    </row>
    <row r="239" spans="1:26" ht="43" customHeight="1" x14ac:dyDescent="0.35">
      <c r="A239" s="203" t="s">
        <v>927</v>
      </c>
      <c r="B239" s="203" t="s">
        <v>1432</v>
      </c>
      <c r="C239" s="203" t="s">
        <v>1441</v>
      </c>
      <c r="D239" s="243">
        <v>81111508</v>
      </c>
      <c r="E239" s="216" t="s">
        <v>1442</v>
      </c>
      <c r="F239" s="228" t="s">
        <v>1443</v>
      </c>
      <c r="G239" s="188" t="s">
        <v>75</v>
      </c>
      <c r="H239" s="205" t="s">
        <v>76</v>
      </c>
      <c r="I239" s="217">
        <v>12</v>
      </c>
      <c r="J239" s="187" t="s">
        <v>940</v>
      </c>
      <c r="K239" s="218">
        <v>75000000</v>
      </c>
      <c r="L239" s="219">
        <v>0.19</v>
      </c>
      <c r="M239" s="218">
        <v>14250000</v>
      </c>
      <c r="N239" s="218">
        <v>89250000</v>
      </c>
      <c r="O239" s="203" t="s">
        <v>791</v>
      </c>
      <c r="P239" s="203" t="s">
        <v>89</v>
      </c>
      <c r="Q239" s="220">
        <v>0</v>
      </c>
      <c r="R239" s="220">
        <v>89250000</v>
      </c>
      <c r="S239" s="220">
        <v>0</v>
      </c>
      <c r="T239" s="220">
        <v>0</v>
      </c>
      <c r="U239" s="203" t="s">
        <v>1444</v>
      </c>
      <c r="V239" s="204" t="s">
        <v>1445</v>
      </c>
      <c r="W239" s="207"/>
      <c r="X239" s="225" t="s">
        <v>1446</v>
      </c>
      <c r="Y239" s="225" t="s">
        <v>1446</v>
      </c>
      <c r="Z239" s="225" t="s">
        <v>1447</v>
      </c>
    </row>
    <row r="240" spans="1:26" ht="43" customHeight="1" x14ac:dyDescent="0.35">
      <c r="A240" s="203" t="s">
        <v>927</v>
      </c>
      <c r="B240" s="203" t="s">
        <v>1432</v>
      </c>
      <c r="C240" s="203" t="s">
        <v>1448</v>
      </c>
      <c r="D240" s="243">
        <v>81111800</v>
      </c>
      <c r="E240" s="216" t="s">
        <v>1449</v>
      </c>
      <c r="F240" s="228" t="s">
        <v>1450</v>
      </c>
      <c r="G240" s="188" t="s">
        <v>67</v>
      </c>
      <c r="H240" s="205" t="s">
        <v>69</v>
      </c>
      <c r="I240" s="217">
        <v>36</v>
      </c>
      <c r="J240" s="187" t="s">
        <v>931</v>
      </c>
      <c r="K240" s="218">
        <v>1239782252</v>
      </c>
      <c r="L240" s="219">
        <v>0.19</v>
      </c>
      <c r="M240" s="218">
        <v>235558627.88</v>
      </c>
      <c r="N240" s="218">
        <v>1475340879.8800001</v>
      </c>
      <c r="O240" s="203" t="s">
        <v>794</v>
      </c>
      <c r="P240" s="203" t="s">
        <v>932</v>
      </c>
      <c r="Q240" s="220">
        <v>142540880</v>
      </c>
      <c r="R240" s="220">
        <v>499800000</v>
      </c>
      <c r="S240" s="220">
        <v>499800000</v>
      </c>
      <c r="T240" s="220">
        <v>333200000</v>
      </c>
      <c r="U240" s="203" t="s">
        <v>1451</v>
      </c>
      <c r="V240" s="204"/>
      <c r="W240" s="207">
        <v>119782252</v>
      </c>
      <c r="X240" s="225" t="s">
        <v>1446</v>
      </c>
      <c r="Y240" s="225" t="s">
        <v>1452</v>
      </c>
      <c r="Z240" s="225" t="s">
        <v>1453</v>
      </c>
    </row>
    <row r="241" spans="1:26" ht="43" customHeight="1" x14ac:dyDescent="0.35">
      <c r="A241" s="203" t="s">
        <v>927</v>
      </c>
      <c r="B241" s="203" t="s">
        <v>1432</v>
      </c>
      <c r="C241" s="203" t="s">
        <v>1441</v>
      </c>
      <c r="D241" s="243">
        <v>81111500</v>
      </c>
      <c r="E241" s="216" t="s">
        <v>1454</v>
      </c>
      <c r="F241" s="228" t="s">
        <v>1455</v>
      </c>
      <c r="G241" s="188" t="s">
        <v>73</v>
      </c>
      <c r="H241" s="205" t="s">
        <v>74</v>
      </c>
      <c r="I241" s="217">
        <v>12</v>
      </c>
      <c r="J241" s="187" t="s">
        <v>940</v>
      </c>
      <c r="K241" s="218">
        <v>46926801</v>
      </c>
      <c r="L241" s="219">
        <v>0.19</v>
      </c>
      <c r="M241" s="218">
        <v>8916092.1899999995</v>
      </c>
      <c r="N241" s="218">
        <v>55842893.189999998</v>
      </c>
      <c r="O241" s="203" t="s">
        <v>794</v>
      </c>
      <c r="P241" s="203" t="s">
        <v>932</v>
      </c>
      <c r="Q241" s="220">
        <v>18614298</v>
      </c>
      <c r="R241" s="220">
        <v>37228595</v>
      </c>
      <c r="S241" s="220">
        <v>0</v>
      </c>
      <c r="T241" s="220">
        <v>0</v>
      </c>
      <c r="U241" s="203" t="s">
        <v>1456</v>
      </c>
      <c r="V241" s="204"/>
      <c r="W241" s="207">
        <v>15642267</v>
      </c>
      <c r="X241" s="225" t="s">
        <v>1446</v>
      </c>
      <c r="Y241" s="225" t="s">
        <v>1028</v>
      </c>
      <c r="Z241" s="225" t="s">
        <v>1457</v>
      </c>
    </row>
    <row r="242" spans="1:26" ht="43" customHeight="1" x14ac:dyDescent="0.35">
      <c r="A242" s="203" t="s">
        <v>927</v>
      </c>
      <c r="B242" s="203" t="s">
        <v>1432</v>
      </c>
      <c r="C242" s="203" t="s">
        <v>1458</v>
      </c>
      <c r="D242" s="243">
        <v>81111705</v>
      </c>
      <c r="E242" s="216" t="s">
        <v>1459</v>
      </c>
      <c r="F242" s="228" t="s">
        <v>1460</v>
      </c>
      <c r="G242" s="188" t="s">
        <v>71</v>
      </c>
      <c r="H242" s="205" t="s">
        <v>74</v>
      </c>
      <c r="I242" s="217">
        <v>12</v>
      </c>
      <c r="J242" s="187" t="s">
        <v>949</v>
      </c>
      <c r="K242" s="218">
        <v>345536716</v>
      </c>
      <c r="L242" s="219">
        <v>0.19</v>
      </c>
      <c r="M242" s="218">
        <v>65651976.039999999</v>
      </c>
      <c r="N242" s="218">
        <v>411188692.04000002</v>
      </c>
      <c r="O242" s="203" t="s">
        <v>794</v>
      </c>
      <c r="P242" s="203" t="s">
        <v>932</v>
      </c>
      <c r="Q242" s="220">
        <v>289287069</v>
      </c>
      <c r="R242" s="220">
        <v>121901623</v>
      </c>
      <c r="S242" s="220">
        <v>0</v>
      </c>
      <c r="T242" s="220">
        <v>0</v>
      </c>
      <c r="U242" s="203" t="s">
        <v>1461</v>
      </c>
      <c r="V242" s="204" t="s">
        <v>1462</v>
      </c>
      <c r="W242" s="207">
        <v>243098377</v>
      </c>
      <c r="X242" s="225" t="s">
        <v>1463</v>
      </c>
      <c r="Y242" s="225" t="s">
        <v>724</v>
      </c>
      <c r="Z242" s="225" t="s">
        <v>1464</v>
      </c>
    </row>
    <row r="243" spans="1:26" ht="43" customHeight="1" x14ac:dyDescent="0.35">
      <c r="A243" s="203" t="s">
        <v>927</v>
      </c>
      <c r="B243" s="203" t="s">
        <v>1432</v>
      </c>
      <c r="C243" s="203" t="s">
        <v>1441</v>
      </c>
      <c r="D243" s="243">
        <v>81111800</v>
      </c>
      <c r="E243" s="216" t="s">
        <v>1449</v>
      </c>
      <c r="F243" s="228" t="s">
        <v>1465</v>
      </c>
      <c r="G243" s="188" t="s">
        <v>71</v>
      </c>
      <c r="H243" s="205" t="s">
        <v>73</v>
      </c>
      <c r="I243" s="217">
        <v>24</v>
      </c>
      <c r="J243" s="187" t="s">
        <v>931</v>
      </c>
      <c r="K243" s="218">
        <v>2880000000</v>
      </c>
      <c r="L243" s="219">
        <v>0.19</v>
      </c>
      <c r="M243" s="218">
        <v>547200000</v>
      </c>
      <c r="N243" s="218">
        <v>3427200000</v>
      </c>
      <c r="O243" s="203" t="s">
        <v>794</v>
      </c>
      <c r="P243" s="203" t="s">
        <v>932</v>
      </c>
      <c r="Q243" s="220">
        <v>357000000</v>
      </c>
      <c r="R243" s="220">
        <v>1713600000</v>
      </c>
      <c r="S243" s="220">
        <v>1356600000</v>
      </c>
      <c r="T243" s="220">
        <v>0</v>
      </c>
      <c r="U243" s="203" t="s">
        <v>1466</v>
      </c>
      <c r="V243" s="204" t="s">
        <v>1467</v>
      </c>
      <c r="W243" s="207">
        <v>300000000</v>
      </c>
      <c r="X243" s="225" t="s">
        <v>941</v>
      </c>
      <c r="Y243" s="225" t="s">
        <v>941</v>
      </c>
      <c r="Z243" s="225" t="s">
        <v>1468</v>
      </c>
    </row>
    <row r="244" spans="1:26" ht="43" customHeight="1" x14ac:dyDescent="0.35">
      <c r="A244" s="203" t="s">
        <v>927</v>
      </c>
      <c r="B244" s="203" t="s">
        <v>1432</v>
      </c>
      <c r="C244" s="203" t="s">
        <v>1448</v>
      </c>
      <c r="D244" s="243">
        <v>81112501</v>
      </c>
      <c r="E244" s="216" t="s">
        <v>1469</v>
      </c>
      <c r="F244" s="228" t="s">
        <v>1470</v>
      </c>
      <c r="G244" s="188" t="s">
        <v>71</v>
      </c>
      <c r="H244" s="205" t="s">
        <v>73</v>
      </c>
      <c r="I244" s="217">
        <v>36</v>
      </c>
      <c r="J244" s="187" t="s">
        <v>931</v>
      </c>
      <c r="K244" s="218">
        <v>6549553137</v>
      </c>
      <c r="L244" s="219"/>
      <c r="M244" s="218">
        <v>34200000</v>
      </c>
      <c r="N244" s="218">
        <v>6583753137</v>
      </c>
      <c r="O244" s="203" t="s">
        <v>794</v>
      </c>
      <c r="P244" s="203" t="s">
        <v>932</v>
      </c>
      <c r="Q244" s="220">
        <v>1851829613</v>
      </c>
      <c r="R244" s="220">
        <v>2182485759</v>
      </c>
      <c r="S244" s="220">
        <v>2478037765</v>
      </c>
      <c r="T244" s="220">
        <v>71400000</v>
      </c>
      <c r="U244" s="203" t="s">
        <v>1471</v>
      </c>
      <c r="V244" s="204" t="s">
        <v>1472</v>
      </c>
      <c r="W244" s="207">
        <v>1851829613</v>
      </c>
      <c r="X244" s="225" t="s">
        <v>1463</v>
      </c>
      <c r="Y244" s="225" t="s">
        <v>1473</v>
      </c>
      <c r="Z244" s="225" t="s">
        <v>715</v>
      </c>
    </row>
    <row r="245" spans="1:26" ht="43" customHeight="1" x14ac:dyDescent="0.35">
      <c r="A245" s="203" t="s">
        <v>927</v>
      </c>
      <c r="B245" s="203" t="s">
        <v>1432</v>
      </c>
      <c r="C245" s="203" t="s">
        <v>1448</v>
      </c>
      <c r="D245" s="243">
        <v>81111800</v>
      </c>
      <c r="E245" s="216" t="s">
        <v>1449</v>
      </c>
      <c r="F245" s="228" t="s">
        <v>1474</v>
      </c>
      <c r="G245" s="188" t="s">
        <v>67</v>
      </c>
      <c r="H245" s="205" t="s">
        <v>71</v>
      </c>
      <c r="I245" s="217">
        <v>38</v>
      </c>
      <c r="J245" s="187" t="s">
        <v>931</v>
      </c>
      <c r="K245" s="218">
        <v>15957939156</v>
      </c>
      <c r="L245" s="219">
        <v>0.19</v>
      </c>
      <c r="M245" s="218">
        <v>3032008439.6399999</v>
      </c>
      <c r="N245" s="218">
        <v>18989947595.639999</v>
      </c>
      <c r="O245" s="203" t="s">
        <v>794</v>
      </c>
      <c r="P245" s="203" t="s">
        <v>932</v>
      </c>
      <c r="Q245" s="220">
        <v>865407563</v>
      </c>
      <c r="R245" s="220">
        <v>6214128011</v>
      </c>
      <c r="S245" s="220">
        <v>6214128011</v>
      </c>
      <c r="T245" s="220">
        <v>5696284010</v>
      </c>
      <c r="U245" s="203" t="s">
        <v>1475</v>
      </c>
      <c r="V245" s="204" t="s">
        <v>1476</v>
      </c>
      <c r="W245" s="207">
        <v>727233246</v>
      </c>
      <c r="X245" s="225" t="s">
        <v>1477</v>
      </c>
      <c r="Y245" s="225" t="s">
        <v>1478</v>
      </c>
      <c r="Z245" s="225" t="s">
        <v>1479</v>
      </c>
    </row>
    <row r="246" spans="1:26" ht="43" customHeight="1" x14ac:dyDescent="0.35">
      <c r="A246" s="203" t="s">
        <v>927</v>
      </c>
      <c r="B246" s="203" t="s">
        <v>1432</v>
      </c>
      <c r="C246" s="203" t="s">
        <v>1448</v>
      </c>
      <c r="D246" s="243">
        <v>81111508</v>
      </c>
      <c r="E246" s="216" t="s">
        <v>1442</v>
      </c>
      <c r="F246" s="228" t="s">
        <v>1480</v>
      </c>
      <c r="G246" s="188" t="s">
        <v>75</v>
      </c>
      <c r="H246" s="205" t="s">
        <v>76</v>
      </c>
      <c r="I246" s="217">
        <v>24</v>
      </c>
      <c r="J246" s="187" t="s">
        <v>949</v>
      </c>
      <c r="K246" s="218">
        <v>239999856</v>
      </c>
      <c r="L246" s="219">
        <v>0.19</v>
      </c>
      <c r="M246" s="218">
        <v>45599972.640000001</v>
      </c>
      <c r="N246" s="218">
        <v>285599828.63999999</v>
      </c>
      <c r="O246" s="203" t="s">
        <v>794</v>
      </c>
      <c r="P246" s="203" t="s">
        <v>932</v>
      </c>
      <c r="Q246" s="220">
        <v>11899993</v>
      </c>
      <c r="R246" s="220">
        <v>142799914</v>
      </c>
      <c r="S246" s="220">
        <v>130899921</v>
      </c>
      <c r="T246" s="220">
        <v>0</v>
      </c>
      <c r="U246" s="203" t="s">
        <v>1481</v>
      </c>
      <c r="V246" s="204"/>
      <c r="W246" s="207">
        <v>9999994</v>
      </c>
      <c r="X246" s="225" t="s">
        <v>1482</v>
      </c>
      <c r="Y246" s="225" t="s">
        <v>1482</v>
      </c>
      <c r="Z246" s="225" t="s">
        <v>1483</v>
      </c>
    </row>
    <row r="247" spans="1:26" ht="43" customHeight="1" x14ac:dyDescent="0.35">
      <c r="A247" s="203" t="s">
        <v>927</v>
      </c>
      <c r="B247" s="203" t="s">
        <v>1432</v>
      </c>
      <c r="C247" s="203" t="s">
        <v>1433</v>
      </c>
      <c r="D247" s="243">
        <v>81112200</v>
      </c>
      <c r="E247" s="216" t="s">
        <v>1322</v>
      </c>
      <c r="F247" s="228" t="s">
        <v>1484</v>
      </c>
      <c r="G247" s="188" t="s">
        <v>74</v>
      </c>
      <c r="H247" s="205" t="s">
        <v>76</v>
      </c>
      <c r="I247" s="217">
        <v>24</v>
      </c>
      <c r="J247" s="187" t="s">
        <v>940</v>
      </c>
      <c r="K247" s="218">
        <v>1450000000</v>
      </c>
      <c r="L247" s="219">
        <v>0.19</v>
      </c>
      <c r="M247" s="218">
        <v>275500000</v>
      </c>
      <c r="N247" s="218">
        <v>1725500000</v>
      </c>
      <c r="O247" s="203" t="s">
        <v>794</v>
      </c>
      <c r="P247" s="203" t="s">
        <v>932</v>
      </c>
      <c r="Q247" s="220">
        <v>0</v>
      </c>
      <c r="R247" s="220">
        <v>850000000</v>
      </c>
      <c r="S247" s="220">
        <v>875500000</v>
      </c>
      <c r="T247" s="220">
        <v>0</v>
      </c>
      <c r="U247" s="203" t="s">
        <v>1485</v>
      </c>
      <c r="V247" s="204" t="s">
        <v>1486</v>
      </c>
      <c r="W247" s="207"/>
      <c r="X247" s="225" t="s">
        <v>1438</v>
      </c>
      <c r="Y247" s="225" t="s">
        <v>1439</v>
      </c>
      <c r="Z247" s="225" t="s">
        <v>1487</v>
      </c>
    </row>
    <row r="248" spans="1:26" ht="43" customHeight="1" x14ac:dyDescent="0.35">
      <c r="A248" s="203" t="s">
        <v>927</v>
      </c>
      <c r="B248" s="203" t="s">
        <v>1432</v>
      </c>
      <c r="C248" s="203" t="s">
        <v>1441</v>
      </c>
      <c r="D248" s="243">
        <v>81112200</v>
      </c>
      <c r="E248" s="216" t="s">
        <v>1322</v>
      </c>
      <c r="F248" s="228" t="s">
        <v>1488</v>
      </c>
      <c r="G248" s="188" t="s">
        <v>74</v>
      </c>
      <c r="H248" s="205" t="s">
        <v>76</v>
      </c>
      <c r="I248" s="217">
        <v>24</v>
      </c>
      <c r="J248" s="187" t="s">
        <v>940</v>
      </c>
      <c r="K248" s="218">
        <v>2114705882.3499999</v>
      </c>
      <c r="L248" s="219">
        <v>0.19</v>
      </c>
      <c r="M248" s="218">
        <v>401794117.64649999</v>
      </c>
      <c r="N248" s="218">
        <v>2516499999.9965</v>
      </c>
      <c r="O248" s="203" t="s">
        <v>794</v>
      </c>
      <c r="P248" s="203" t="s">
        <v>932</v>
      </c>
      <c r="Q248" s="220">
        <v>0</v>
      </c>
      <c r="R248" s="220">
        <v>1160250000</v>
      </c>
      <c r="S248" s="220">
        <v>1356250000</v>
      </c>
      <c r="T248" s="220">
        <v>0</v>
      </c>
      <c r="U248" s="203" t="s">
        <v>1489</v>
      </c>
      <c r="V248" s="204" t="s">
        <v>1486</v>
      </c>
      <c r="W248" s="207"/>
      <c r="X248" s="225" t="s">
        <v>1446</v>
      </c>
      <c r="Y248" s="225" t="s">
        <v>1490</v>
      </c>
      <c r="Z248" s="225" t="s">
        <v>1491</v>
      </c>
    </row>
    <row r="249" spans="1:26" ht="43" customHeight="1" x14ac:dyDescent="0.35">
      <c r="A249" s="203" t="s">
        <v>927</v>
      </c>
      <c r="B249" s="203" t="s">
        <v>1432</v>
      </c>
      <c r="C249" s="203" t="s">
        <v>1433</v>
      </c>
      <c r="D249" s="243">
        <v>81111508</v>
      </c>
      <c r="E249" s="216" t="s">
        <v>1442</v>
      </c>
      <c r="F249" s="228" t="s">
        <v>1492</v>
      </c>
      <c r="G249" s="188" t="s">
        <v>71</v>
      </c>
      <c r="H249" s="205" t="s">
        <v>74</v>
      </c>
      <c r="I249" s="217">
        <v>36</v>
      </c>
      <c r="J249" s="187" t="s">
        <v>940</v>
      </c>
      <c r="K249" s="218">
        <v>26164637878</v>
      </c>
      <c r="L249" s="219">
        <v>0.19</v>
      </c>
      <c r="M249" s="218">
        <v>4971281196.8199997</v>
      </c>
      <c r="N249" s="218">
        <v>31135919074.82</v>
      </c>
      <c r="O249" s="203" t="s">
        <v>794</v>
      </c>
      <c r="P249" s="203" t="s">
        <v>932</v>
      </c>
      <c r="Q249" s="220">
        <v>0</v>
      </c>
      <c r="R249" s="220">
        <v>10098135916</v>
      </c>
      <c r="S249" s="220">
        <v>10098135916</v>
      </c>
      <c r="T249" s="220">
        <v>10098135916</v>
      </c>
      <c r="U249" s="203" t="s">
        <v>1493</v>
      </c>
      <c r="V249" s="204" t="s">
        <v>1494</v>
      </c>
      <c r="W249" s="207"/>
      <c r="X249" s="225" t="s">
        <v>1446</v>
      </c>
      <c r="Y249" s="225" t="s">
        <v>1490</v>
      </c>
      <c r="Z249" s="225" t="s">
        <v>1495</v>
      </c>
    </row>
    <row r="250" spans="1:26" ht="43" customHeight="1" x14ac:dyDescent="0.35">
      <c r="A250" s="203" t="s">
        <v>927</v>
      </c>
      <c r="B250" s="203" t="s">
        <v>1432</v>
      </c>
      <c r="C250" s="203" t="s">
        <v>1448</v>
      </c>
      <c r="D250" s="243">
        <v>81111800</v>
      </c>
      <c r="E250" s="216" t="s">
        <v>1449</v>
      </c>
      <c r="F250" s="228" t="s">
        <v>1496</v>
      </c>
      <c r="G250" s="188" t="s">
        <v>75</v>
      </c>
      <c r="H250" s="205" t="s">
        <v>77</v>
      </c>
      <c r="I250" s="217">
        <v>24</v>
      </c>
      <c r="J250" s="187" t="s">
        <v>931</v>
      </c>
      <c r="K250" s="218">
        <v>581351241</v>
      </c>
      <c r="L250" s="219">
        <v>0.19</v>
      </c>
      <c r="M250" s="218">
        <v>110456735.79000001</v>
      </c>
      <c r="N250" s="218">
        <v>691807976.78999996</v>
      </c>
      <c r="O250" s="203" t="s">
        <v>794</v>
      </c>
      <c r="P250" s="203" t="s">
        <v>932</v>
      </c>
      <c r="Q250" s="220">
        <v>0</v>
      </c>
      <c r="R250" s="220">
        <v>345903988</v>
      </c>
      <c r="S250" s="220">
        <v>345903988</v>
      </c>
      <c r="T250" s="220">
        <v>0</v>
      </c>
      <c r="U250" s="203" t="s">
        <v>1481</v>
      </c>
      <c r="V250" s="204" t="s">
        <v>1497</v>
      </c>
      <c r="W250" s="207"/>
      <c r="X250" s="225" t="s">
        <v>1498</v>
      </c>
      <c r="Y250" s="225" t="s">
        <v>1382</v>
      </c>
      <c r="Z250" s="225" t="s">
        <v>1382</v>
      </c>
    </row>
    <row r="251" spans="1:26" ht="43" customHeight="1" x14ac:dyDescent="0.35">
      <c r="A251" s="203" t="s">
        <v>927</v>
      </c>
      <c r="B251" s="203" t="s">
        <v>1432</v>
      </c>
      <c r="C251" s="203" t="s">
        <v>1448</v>
      </c>
      <c r="D251" s="243">
        <v>81111800</v>
      </c>
      <c r="E251" s="216" t="s">
        <v>1449</v>
      </c>
      <c r="F251" s="228" t="s">
        <v>1499</v>
      </c>
      <c r="G251" s="188" t="s">
        <v>74</v>
      </c>
      <c r="H251" s="205" t="s">
        <v>76</v>
      </c>
      <c r="I251" s="217">
        <v>36</v>
      </c>
      <c r="J251" s="187" t="s">
        <v>931</v>
      </c>
      <c r="K251" s="218">
        <v>3771482869</v>
      </c>
      <c r="L251" s="219">
        <v>0.19</v>
      </c>
      <c r="M251" s="218">
        <v>716581745.11000001</v>
      </c>
      <c r="N251" s="218">
        <v>4488064614.1099997</v>
      </c>
      <c r="O251" s="203" t="s">
        <v>794</v>
      </c>
      <c r="P251" s="203" t="s">
        <v>932</v>
      </c>
      <c r="Q251" s="220">
        <v>0</v>
      </c>
      <c r="R251" s="220">
        <v>997347692</v>
      </c>
      <c r="S251" s="220">
        <v>1496021538</v>
      </c>
      <c r="T251" s="220">
        <v>1496021538</v>
      </c>
      <c r="U251" s="203" t="s">
        <v>1500</v>
      </c>
      <c r="V251" s="204" t="s">
        <v>1501</v>
      </c>
      <c r="W251" s="207"/>
      <c r="X251" s="225" t="s">
        <v>712</v>
      </c>
      <c r="Y251" s="225" t="s">
        <v>712</v>
      </c>
      <c r="Z251" s="225"/>
    </row>
    <row r="252" spans="1:26" ht="43" customHeight="1" x14ac:dyDescent="0.35">
      <c r="A252" s="203" t="s">
        <v>927</v>
      </c>
      <c r="B252" s="203" t="s">
        <v>1432</v>
      </c>
      <c r="C252" s="203" t="s">
        <v>1448</v>
      </c>
      <c r="D252" s="243">
        <v>81111900</v>
      </c>
      <c r="E252" s="216" t="s">
        <v>1502</v>
      </c>
      <c r="F252" s="228" t="s">
        <v>1503</v>
      </c>
      <c r="G252" s="188" t="s">
        <v>76</v>
      </c>
      <c r="H252" s="205" t="s">
        <v>78</v>
      </c>
      <c r="I252" s="217">
        <v>36</v>
      </c>
      <c r="J252" s="187" t="s">
        <v>931</v>
      </c>
      <c r="K252" s="218">
        <v>1566238650</v>
      </c>
      <c r="L252" s="219">
        <v>0.19</v>
      </c>
      <c r="M252" s="218">
        <v>297585343.5</v>
      </c>
      <c r="N252" s="218">
        <v>1863823993.5</v>
      </c>
      <c r="O252" s="203" t="s">
        <v>794</v>
      </c>
      <c r="P252" s="203" t="s">
        <v>932</v>
      </c>
      <c r="Q252" s="220">
        <v>0</v>
      </c>
      <c r="R252" s="220">
        <v>362410221</v>
      </c>
      <c r="S252" s="220">
        <v>621274665</v>
      </c>
      <c r="T252" s="220">
        <v>621274665</v>
      </c>
      <c r="U252" s="203" t="s">
        <v>1481</v>
      </c>
      <c r="V252" s="204" t="s">
        <v>1504</v>
      </c>
      <c r="W252" s="207"/>
      <c r="X252" s="225" t="s">
        <v>1498</v>
      </c>
      <c r="Y252" s="225" t="s">
        <v>1382</v>
      </c>
      <c r="Z252" s="225" t="s">
        <v>1505</v>
      </c>
    </row>
    <row r="253" spans="1:26" ht="43" customHeight="1" x14ac:dyDescent="0.35">
      <c r="A253" s="203" t="s">
        <v>927</v>
      </c>
      <c r="B253" s="203" t="s">
        <v>1432</v>
      </c>
      <c r="C253" s="203" t="s">
        <v>1448</v>
      </c>
      <c r="D253" s="243">
        <v>81111508</v>
      </c>
      <c r="E253" s="216" t="s">
        <v>1442</v>
      </c>
      <c r="F253" s="228" t="s">
        <v>1506</v>
      </c>
      <c r="G253" s="188" t="s">
        <v>72</v>
      </c>
      <c r="H253" s="205" t="s">
        <v>73</v>
      </c>
      <c r="I253" s="217">
        <v>36</v>
      </c>
      <c r="J253" s="187" t="s">
        <v>940</v>
      </c>
      <c r="K253" s="218">
        <v>907134924</v>
      </c>
      <c r="L253" s="219"/>
      <c r="M253" s="218">
        <v>6270000</v>
      </c>
      <c r="N253" s="218">
        <v>913404924</v>
      </c>
      <c r="O253" s="203" t="s">
        <v>794</v>
      </c>
      <c r="P253" s="203" t="s">
        <v>932</v>
      </c>
      <c r="Q253" s="220">
        <v>150000000</v>
      </c>
      <c r="R253" s="220">
        <v>425925327</v>
      </c>
      <c r="S253" s="220">
        <v>324389597</v>
      </c>
      <c r="T253" s="220">
        <v>13090000</v>
      </c>
      <c r="U253" s="203" t="s">
        <v>1507</v>
      </c>
      <c r="V253" s="204" t="s">
        <v>1508</v>
      </c>
      <c r="W253" s="207">
        <v>150000000</v>
      </c>
      <c r="X253" s="225" t="s">
        <v>1509</v>
      </c>
      <c r="Y253" s="225" t="s">
        <v>1509</v>
      </c>
      <c r="Z253" s="225" t="s">
        <v>716</v>
      </c>
    </row>
    <row r="254" spans="1:26" ht="43" customHeight="1" x14ac:dyDescent="0.35">
      <c r="A254" s="203" t="s">
        <v>927</v>
      </c>
      <c r="B254" s="203" t="s">
        <v>1432</v>
      </c>
      <c r="C254" s="203" t="s">
        <v>1441</v>
      </c>
      <c r="D254" s="243">
        <v>81111500</v>
      </c>
      <c r="E254" s="216" t="s">
        <v>1434</v>
      </c>
      <c r="F254" s="228" t="s">
        <v>1510</v>
      </c>
      <c r="G254" s="188" t="s">
        <v>67</v>
      </c>
      <c r="H254" s="205" t="s">
        <v>67</v>
      </c>
      <c r="I254" s="217">
        <v>16</v>
      </c>
      <c r="J254" s="187" t="s">
        <v>931</v>
      </c>
      <c r="K254" s="218">
        <v>539825531</v>
      </c>
      <c r="L254" s="219">
        <v>0</v>
      </c>
      <c r="M254" s="218">
        <v>71307905</v>
      </c>
      <c r="N254" s="218">
        <v>611133436</v>
      </c>
      <c r="O254" s="203" t="s">
        <v>794</v>
      </c>
      <c r="P254" s="203" t="s">
        <v>1511</v>
      </c>
      <c r="Q254" s="220">
        <v>430297569</v>
      </c>
      <c r="R254" s="220">
        <v>180835867</v>
      </c>
      <c r="S254" s="220">
        <v>0</v>
      </c>
      <c r="T254" s="220">
        <v>0</v>
      </c>
      <c r="U254" s="203" t="s">
        <v>1512</v>
      </c>
      <c r="V254" s="204" t="s">
        <v>1513</v>
      </c>
      <c r="W254" s="207">
        <v>381295612</v>
      </c>
      <c r="X254" s="225" t="s">
        <v>1514</v>
      </c>
      <c r="Y254" s="225" t="s">
        <v>1515</v>
      </c>
      <c r="Z254" s="225" t="s">
        <v>711</v>
      </c>
    </row>
    <row r="255" spans="1:26" ht="43" customHeight="1" x14ac:dyDescent="0.35">
      <c r="A255" s="203" t="s">
        <v>927</v>
      </c>
      <c r="B255" s="203" t="s">
        <v>1432</v>
      </c>
      <c r="C255" s="203" t="s">
        <v>1448</v>
      </c>
      <c r="D255" s="243">
        <v>81111801</v>
      </c>
      <c r="E255" s="216" t="s">
        <v>1516</v>
      </c>
      <c r="F255" s="228" t="s">
        <v>1517</v>
      </c>
      <c r="G255" s="188" t="s">
        <v>67</v>
      </c>
      <c r="H255" s="205" t="s">
        <v>67</v>
      </c>
      <c r="I255" s="217">
        <v>37</v>
      </c>
      <c r="J255" s="187" t="s">
        <v>931</v>
      </c>
      <c r="K255" s="218">
        <v>697681256</v>
      </c>
      <c r="L255" s="219"/>
      <c r="M255" s="218">
        <v>132559437</v>
      </c>
      <c r="N255" s="218">
        <v>830240693</v>
      </c>
      <c r="O255" s="203" t="s">
        <v>794</v>
      </c>
      <c r="P255" s="203" t="s">
        <v>1511</v>
      </c>
      <c r="Q255" s="220">
        <v>230622415</v>
      </c>
      <c r="R255" s="220">
        <v>276746898</v>
      </c>
      <c r="S255" s="220">
        <v>276746897</v>
      </c>
      <c r="T255" s="220">
        <v>46124483</v>
      </c>
      <c r="U255" s="203" t="s">
        <v>1481</v>
      </c>
      <c r="V255" s="204" t="s">
        <v>1518</v>
      </c>
      <c r="W255" s="207">
        <v>193800349</v>
      </c>
      <c r="X255" s="225" t="s">
        <v>1381</v>
      </c>
      <c r="Y255" s="225" t="s">
        <v>1382</v>
      </c>
      <c r="Z255" s="225" t="s">
        <v>1519</v>
      </c>
    </row>
    <row r="256" spans="1:26" ht="43" customHeight="1" x14ac:dyDescent="0.35">
      <c r="A256" s="203" t="s">
        <v>927</v>
      </c>
      <c r="B256" s="203" t="s">
        <v>1432</v>
      </c>
      <c r="C256" s="203" t="s">
        <v>1458</v>
      </c>
      <c r="D256" s="243">
        <v>81111705</v>
      </c>
      <c r="E256" s="216" t="s">
        <v>1459</v>
      </c>
      <c r="F256" s="228" t="s">
        <v>1520</v>
      </c>
      <c r="G256" s="188" t="s">
        <v>67</v>
      </c>
      <c r="H256" s="205" t="s">
        <v>67</v>
      </c>
      <c r="I256" s="217">
        <v>14</v>
      </c>
      <c r="J256" s="187" t="s">
        <v>931</v>
      </c>
      <c r="K256" s="218">
        <v>3309078325</v>
      </c>
      <c r="L256" s="219">
        <v>0</v>
      </c>
      <c r="M256" s="218">
        <v>357858901</v>
      </c>
      <c r="N256" s="218">
        <v>3666937226</v>
      </c>
      <c r="O256" s="203" t="s">
        <v>794</v>
      </c>
      <c r="P256" s="203" t="s">
        <v>1511</v>
      </c>
      <c r="Q256" s="220">
        <v>3336788213</v>
      </c>
      <c r="R256" s="220">
        <v>330149014</v>
      </c>
      <c r="S256" s="220">
        <v>0</v>
      </c>
      <c r="T256" s="220">
        <v>0</v>
      </c>
      <c r="U256" s="203" t="s">
        <v>1461</v>
      </c>
      <c r="V256" s="204" t="s">
        <v>1513</v>
      </c>
      <c r="W256" s="207">
        <v>3031642179</v>
      </c>
      <c r="X256" s="225" t="s">
        <v>1521</v>
      </c>
      <c r="Y256" s="225" t="s">
        <v>1522</v>
      </c>
      <c r="Z256" s="225" t="s">
        <v>1523</v>
      </c>
    </row>
    <row r="257" spans="1:26" ht="43" customHeight="1" x14ac:dyDescent="0.35">
      <c r="A257" s="203" t="s">
        <v>927</v>
      </c>
      <c r="B257" s="203" t="s">
        <v>1432</v>
      </c>
      <c r="C257" s="203" t="s">
        <v>1448</v>
      </c>
      <c r="D257" s="243">
        <v>81111500</v>
      </c>
      <c r="E257" s="216" t="s">
        <v>1434</v>
      </c>
      <c r="F257" s="228" t="s">
        <v>1524</v>
      </c>
      <c r="G257" s="188" t="s">
        <v>70</v>
      </c>
      <c r="H257" s="205" t="s">
        <v>73</v>
      </c>
      <c r="I257" s="217">
        <v>5</v>
      </c>
      <c r="J257" s="187" t="s">
        <v>949</v>
      </c>
      <c r="K257" s="218">
        <v>120000000</v>
      </c>
      <c r="L257" s="219">
        <v>0</v>
      </c>
      <c r="M257" s="218">
        <v>0</v>
      </c>
      <c r="N257" s="218">
        <v>120000000</v>
      </c>
      <c r="O257" s="203" t="s">
        <v>791</v>
      </c>
      <c r="P257" s="203" t="s">
        <v>89</v>
      </c>
      <c r="Q257" s="220">
        <v>120000000</v>
      </c>
      <c r="R257" s="220">
        <v>0</v>
      </c>
      <c r="S257" s="220">
        <v>0</v>
      </c>
      <c r="T257" s="220">
        <v>0</v>
      </c>
      <c r="U257" s="203" t="s">
        <v>1451</v>
      </c>
      <c r="V257" s="204" t="s">
        <v>1525</v>
      </c>
      <c r="W257" s="207">
        <v>120000000</v>
      </c>
      <c r="X257" s="225" t="s">
        <v>1070</v>
      </c>
      <c r="Y257" s="225" t="s">
        <v>1070</v>
      </c>
      <c r="Z257" s="225" t="s">
        <v>1524</v>
      </c>
    </row>
    <row r="258" spans="1:26" ht="43" customHeight="1" x14ac:dyDescent="0.35">
      <c r="A258" s="203" t="s">
        <v>927</v>
      </c>
      <c r="B258" s="203" t="s">
        <v>1432</v>
      </c>
      <c r="C258" s="203" t="s">
        <v>1448</v>
      </c>
      <c r="D258" s="243">
        <v>81111500</v>
      </c>
      <c r="E258" s="216" t="s">
        <v>1434</v>
      </c>
      <c r="F258" s="228" t="s">
        <v>1526</v>
      </c>
      <c r="G258" s="188" t="s">
        <v>73</v>
      </c>
      <c r="H258" s="205" t="s">
        <v>75</v>
      </c>
      <c r="I258" s="217">
        <v>12</v>
      </c>
      <c r="J258" s="187" t="s">
        <v>940</v>
      </c>
      <c r="K258" s="218">
        <v>10000000</v>
      </c>
      <c r="L258" s="219">
        <v>0.19</v>
      </c>
      <c r="M258" s="218">
        <v>1900000</v>
      </c>
      <c r="N258" s="218">
        <v>11900000</v>
      </c>
      <c r="O258" s="203" t="s">
        <v>791</v>
      </c>
      <c r="P258" s="203" t="s">
        <v>89</v>
      </c>
      <c r="Q258" s="220">
        <v>11900000</v>
      </c>
      <c r="R258" s="220">
        <v>0</v>
      </c>
      <c r="S258" s="220">
        <v>0</v>
      </c>
      <c r="T258" s="220">
        <v>0</v>
      </c>
      <c r="U258" s="203" t="s">
        <v>1471</v>
      </c>
      <c r="V258" s="204" t="s">
        <v>1527</v>
      </c>
      <c r="W258" s="207">
        <v>10000000</v>
      </c>
      <c r="X258" s="225" t="s">
        <v>1528</v>
      </c>
      <c r="Y258" s="225" t="s">
        <v>1528</v>
      </c>
      <c r="Z258" s="225" t="s">
        <v>713</v>
      </c>
    </row>
    <row r="259" spans="1:26" ht="43" customHeight="1" x14ac:dyDescent="0.35">
      <c r="A259" s="203" t="s">
        <v>927</v>
      </c>
      <c r="B259" s="203" t="s">
        <v>1432</v>
      </c>
      <c r="C259" s="203" t="s">
        <v>1448</v>
      </c>
      <c r="D259" s="243">
        <v>81112501</v>
      </c>
      <c r="E259" s="216" t="s">
        <v>1469</v>
      </c>
      <c r="F259" s="228" t="s">
        <v>1529</v>
      </c>
      <c r="G259" s="188" t="s">
        <v>74</v>
      </c>
      <c r="H259" s="205" t="s">
        <v>76</v>
      </c>
      <c r="I259" s="217">
        <v>24</v>
      </c>
      <c r="J259" s="187" t="s">
        <v>940</v>
      </c>
      <c r="K259" s="218">
        <v>480000000</v>
      </c>
      <c r="L259" s="219"/>
      <c r="M259" s="218">
        <v>0</v>
      </c>
      <c r="N259" s="218">
        <v>480000000</v>
      </c>
      <c r="O259" s="203" t="s">
        <v>794</v>
      </c>
      <c r="P259" s="203" t="s">
        <v>932</v>
      </c>
      <c r="Q259" s="220">
        <v>0</v>
      </c>
      <c r="R259" s="220">
        <v>240000000</v>
      </c>
      <c r="S259" s="220">
        <v>240000000</v>
      </c>
      <c r="T259" s="220">
        <v>0</v>
      </c>
      <c r="U259" s="203" t="s">
        <v>1471</v>
      </c>
      <c r="V259" s="204" t="s">
        <v>1527</v>
      </c>
      <c r="W259" s="207"/>
      <c r="X259" s="225" t="s">
        <v>1530</v>
      </c>
      <c r="Y259" s="225" t="s">
        <v>1531</v>
      </c>
      <c r="Z259" s="225" t="s">
        <v>1532</v>
      </c>
    </row>
    <row r="260" spans="1:26" ht="43" customHeight="1" x14ac:dyDescent="0.35">
      <c r="A260" s="203" t="s">
        <v>927</v>
      </c>
      <c r="B260" s="203" t="s">
        <v>1432</v>
      </c>
      <c r="C260" s="203" t="s">
        <v>1433</v>
      </c>
      <c r="D260" s="243">
        <v>81111508</v>
      </c>
      <c r="E260" s="216" t="s">
        <v>1442</v>
      </c>
      <c r="F260" s="228" t="s">
        <v>1533</v>
      </c>
      <c r="G260" s="188" t="s">
        <v>73</v>
      </c>
      <c r="H260" s="205" t="s">
        <v>76</v>
      </c>
      <c r="I260" s="217">
        <v>12</v>
      </c>
      <c r="J260" s="187" t="s">
        <v>931</v>
      </c>
      <c r="K260" s="218">
        <v>4320000000</v>
      </c>
      <c r="L260" s="219">
        <v>0.19</v>
      </c>
      <c r="M260" s="218">
        <v>820800000</v>
      </c>
      <c r="N260" s="218">
        <v>5140800000</v>
      </c>
      <c r="O260" s="203" t="s">
        <v>794</v>
      </c>
      <c r="P260" s="203" t="s">
        <v>932</v>
      </c>
      <c r="Q260" s="220">
        <v>3213000000</v>
      </c>
      <c r="R260" s="220">
        <v>1927800000</v>
      </c>
      <c r="S260" s="220">
        <v>0</v>
      </c>
      <c r="T260" s="220">
        <v>0</v>
      </c>
      <c r="U260" s="203" t="s">
        <v>1534</v>
      </c>
      <c r="V260" s="204" t="s">
        <v>1535</v>
      </c>
      <c r="W260" s="207">
        <v>2700000000</v>
      </c>
      <c r="X260" s="225" t="s">
        <v>1137</v>
      </c>
      <c r="Y260" s="225" t="s">
        <v>1137</v>
      </c>
      <c r="Z260" s="225" t="s">
        <v>1536</v>
      </c>
    </row>
    <row r="261" spans="1:26" ht="43" customHeight="1" x14ac:dyDescent="0.35">
      <c r="A261" s="203" t="s">
        <v>927</v>
      </c>
      <c r="B261" s="203" t="s">
        <v>1432</v>
      </c>
      <c r="C261" s="203" t="s">
        <v>1537</v>
      </c>
      <c r="D261" s="243">
        <v>84111600</v>
      </c>
      <c r="E261" s="216" t="s">
        <v>1146</v>
      </c>
      <c r="F261" s="228" t="s">
        <v>1538</v>
      </c>
      <c r="G261" s="188" t="s">
        <v>72</v>
      </c>
      <c r="H261" s="205" t="s">
        <v>73</v>
      </c>
      <c r="I261" s="217">
        <v>6</v>
      </c>
      <c r="J261" s="187" t="s">
        <v>940</v>
      </c>
      <c r="K261" s="218">
        <v>42666051</v>
      </c>
      <c r="L261" s="219">
        <v>0.19</v>
      </c>
      <c r="M261" s="218">
        <v>8106549.6900000004</v>
      </c>
      <c r="N261" s="218">
        <v>50772600.689999998</v>
      </c>
      <c r="O261" s="203" t="s">
        <v>791</v>
      </c>
      <c r="P261" s="203" t="s">
        <v>89</v>
      </c>
      <c r="Q261" s="220">
        <v>50772600.689999998</v>
      </c>
      <c r="R261" s="220">
        <v>0</v>
      </c>
      <c r="S261" s="220">
        <v>0</v>
      </c>
      <c r="T261" s="220">
        <v>0</v>
      </c>
      <c r="U261" s="203" t="s">
        <v>796</v>
      </c>
      <c r="V261" s="204"/>
      <c r="W261" s="207">
        <v>42666051</v>
      </c>
      <c r="X261" s="225" t="s">
        <v>941</v>
      </c>
      <c r="Y261" s="225" t="s">
        <v>941</v>
      </c>
      <c r="Z261" s="225" t="s">
        <v>1539</v>
      </c>
    </row>
    <row r="262" spans="1:26" ht="43" customHeight="1" x14ac:dyDescent="0.35">
      <c r="A262" s="203" t="s">
        <v>927</v>
      </c>
      <c r="B262" s="203" t="s">
        <v>1432</v>
      </c>
      <c r="C262" s="203" t="s">
        <v>1540</v>
      </c>
      <c r="D262" s="243">
        <v>81111504</v>
      </c>
      <c r="E262" s="216" t="s">
        <v>1541</v>
      </c>
      <c r="F262" s="228" t="s">
        <v>1542</v>
      </c>
      <c r="G262" s="188" t="s">
        <v>72</v>
      </c>
      <c r="H262" s="205" t="s">
        <v>73</v>
      </c>
      <c r="I262" s="217">
        <v>12</v>
      </c>
      <c r="J262" s="187" t="s">
        <v>940</v>
      </c>
      <c r="K262" s="218">
        <v>50655397</v>
      </c>
      <c r="L262" s="219">
        <v>0.19</v>
      </c>
      <c r="M262" s="218">
        <v>7596428</v>
      </c>
      <c r="N262" s="218">
        <v>58251825</v>
      </c>
      <c r="O262" s="203" t="s">
        <v>794</v>
      </c>
      <c r="P262" s="203" t="s">
        <v>932</v>
      </c>
      <c r="Q262" s="220">
        <v>42789095.899999999</v>
      </c>
      <c r="R262" s="220">
        <v>15462729.1</v>
      </c>
      <c r="S262" s="220">
        <v>0</v>
      </c>
      <c r="T262" s="220">
        <v>0</v>
      </c>
      <c r="U262" s="203" t="s">
        <v>1543</v>
      </c>
      <c r="V262" s="204" t="s">
        <v>1544</v>
      </c>
      <c r="W262" s="207">
        <v>37661507</v>
      </c>
      <c r="X262" s="225" t="s">
        <v>1545</v>
      </c>
      <c r="Y262" s="225" t="s">
        <v>1546</v>
      </c>
      <c r="Z262" s="225" t="s">
        <v>1547</v>
      </c>
    </row>
    <row r="263" spans="1:26" ht="43" customHeight="1" x14ac:dyDescent="0.35">
      <c r="A263" s="203" t="s">
        <v>927</v>
      </c>
      <c r="B263" s="203" t="s">
        <v>1432</v>
      </c>
      <c r="C263" s="203" t="s">
        <v>1537</v>
      </c>
      <c r="D263" s="243">
        <v>81112218</v>
      </c>
      <c r="E263" s="216" t="s">
        <v>1288</v>
      </c>
      <c r="F263" s="228" t="s">
        <v>1548</v>
      </c>
      <c r="G263" s="188" t="s">
        <v>72</v>
      </c>
      <c r="H263" s="205" t="s">
        <v>73</v>
      </c>
      <c r="I263" s="217">
        <v>12</v>
      </c>
      <c r="J263" s="187" t="s">
        <v>940</v>
      </c>
      <c r="K263" s="218">
        <v>47229501.519999996</v>
      </c>
      <c r="L263" s="219">
        <v>0.19</v>
      </c>
      <c r="M263" s="218">
        <v>8973605.2887999993</v>
      </c>
      <c r="N263" s="218">
        <v>56203106.808799997</v>
      </c>
      <c r="O263" s="203" t="s">
        <v>794</v>
      </c>
      <c r="P263" s="203" t="s">
        <v>932</v>
      </c>
      <c r="Q263" s="220">
        <v>48552019.039999999</v>
      </c>
      <c r="R263" s="220">
        <v>7651087.7687999988</v>
      </c>
      <c r="S263" s="220">
        <v>0</v>
      </c>
      <c r="T263" s="220">
        <v>0</v>
      </c>
      <c r="U263" s="203" t="s">
        <v>795</v>
      </c>
      <c r="V263" s="204"/>
      <c r="W263" s="207">
        <v>40800016</v>
      </c>
      <c r="X263" s="225" t="s">
        <v>1549</v>
      </c>
      <c r="Y263" s="225" t="s">
        <v>1550</v>
      </c>
      <c r="Z263" s="225" t="s">
        <v>1551</v>
      </c>
    </row>
    <row r="264" spans="1:26" ht="43" customHeight="1" x14ac:dyDescent="0.35">
      <c r="A264" s="203" t="s">
        <v>927</v>
      </c>
      <c r="B264" s="203" t="s">
        <v>1432</v>
      </c>
      <c r="C264" s="203" t="s">
        <v>1552</v>
      </c>
      <c r="D264" s="243">
        <v>93141702</v>
      </c>
      <c r="E264" s="216" t="s">
        <v>1553</v>
      </c>
      <c r="F264" s="228" t="s">
        <v>709</v>
      </c>
      <c r="G264" s="188" t="s">
        <v>68</v>
      </c>
      <c r="H264" s="205" t="s">
        <v>69</v>
      </c>
      <c r="I264" s="217">
        <v>2</v>
      </c>
      <c r="J264" s="187" t="s">
        <v>949</v>
      </c>
      <c r="K264" s="218">
        <v>50000000</v>
      </c>
      <c r="L264" s="219">
        <v>0.19</v>
      </c>
      <c r="M264" s="218">
        <v>9500000</v>
      </c>
      <c r="N264" s="218">
        <v>59500000</v>
      </c>
      <c r="O264" s="203" t="s">
        <v>791</v>
      </c>
      <c r="P264" s="203" t="s">
        <v>89</v>
      </c>
      <c r="Q264" s="220">
        <v>59500000</v>
      </c>
      <c r="R264" s="220">
        <v>0</v>
      </c>
      <c r="S264" s="220">
        <v>0</v>
      </c>
      <c r="T264" s="220">
        <v>0</v>
      </c>
      <c r="U264" s="203" t="s">
        <v>1554</v>
      </c>
      <c r="V264" s="204"/>
      <c r="W264" s="207">
        <v>50000000</v>
      </c>
      <c r="X264" s="225" t="s">
        <v>941</v>
      </c>
      <c r="Y264" s="225" t="s">
        <v>941</v>
      </c>
      <c r="Z264" s="225" t="s">
        <v>1555</v>
      </c>
    </row>
    <row r="265" spans="1:26" ht="43" customHeight="1" x14ac:dyDescent="0.35">
      <c r="A265" s="203" t="s">
        <v>927</v>
      </c>
      <c r="B265" s="203" t="s">
        <v>1432</v>
      </c>
      <c r="C265" s="203" t="s">
        <v>1556</v>
      </c>
      <c r="D265" s="243">
        <v>81112001</v>
      </c>
      <c r="E265" s="216" t="s">
        <v>1217</v>
      </c>
      <c r="F265" s="228" t="s">
        <v>1557</v>
      </c>
      <c r="G265" s="188" t="s">
        <v>67</v>
      </c>
      <c r="H265" s="205" t="s">
        <v>68</v>
      </c>
      <c r="I265" s="217">
        <v>15</v>
      </c>
      <c r="J265" s="187" t="s">
        <v>931</v>
      </c>
      <c r="K265" s="218">
        <v>838568000</v>
      </c>
      <c r="L265" s="219">
        <v>0.19</v>
      </c>
      <c r="M265" s="218">
        <v>159327920</v>
      </c>
      <c r="N265" s="218">
        <v>997895920</v>
      </c>
      <c r="O265" s="203" t="s">
        <v>794</v>
      </c>
      <c r="P265" s="203" t="s">
        <v>1511</v>
      </c>
      <c r="Q265" s="220">
        <v>998410000</v>
      </c>
      <c r="R265" s="220">
        <v>110879000</v>
      </c>
      <c r="S265" s="220">
        <v>0</v>
      </c>
      <c r="T265" s="220">
        <v>0</v>
      </c>
      <c r="U265" s="203" t="s">
        <v>1558</v>
      </c>
      <c r="V265" s="204"/>
      <c r="W265" s="207">
        <v>838568000</v>
      </c>
      <c r="X265" s="225" t="s">
        <v>941</v>
      </c>
      <c r="Y265" s="225" t="s">
        <v>941</v>
      </c>
      <c r="Z265" s="225" t="s">
        <v>1559</v>
      </c>
    </row>
    <row r="266" spans="1:26" ht="43" customHeight="1" x14ac:dyDescent="0.35">
      <c r="A266" s="203" t="s">
        <v>927</v>
      </c>
      <c r="B266" s="203" t="s">
        <v>1432</v>
      </c>
      <c r="C266" s="203" t="s">
        <v>1556</v>
      </c>
      <c r="D266" s="243">
        <v>81112001</v>
      </c>
      <c r="E266" s="216" t="s">
        <v>1217</v>
      </c>
      <c r="F266" s="228" t="s">
        <v>1557</v>
      </c>
      <c r="G266" s="188" t="s">
        <v>67</v>
      </c>
      <c r="H266" s="205" t="s">
        <v>68</v>
      </c>
      <c r="I266" s="217">
        <v>15</v>
      </c>
      <c r="J266" s="187" t="s">
        <v>931</v>
      </c>
      <c r="K266" s="218">
        <v>467697000</v>
      </c>
      <c r="L266" s="219">
        <v>0</v>
      </c>
      <c r="M266" s="218">
        <v>0</v>
      </c>
      <c r="N266" s="218">
        <v>467697000</v>
      </c>
      <c r="O266" s="203" t="s">
        <v>794</v>
      </c>
      <c r="P266" s="203" t="s">
        <v>1511</v>
      </c>
      <c r="Q266" s="220">
        <v>468000000</v>
      </c>
      <c r="R266" s="220">
        <v>155899000</v>
      </c>
      <c r="S266" s="220">
        <v>0</v>
      </c>
      <c r="T266" s="220">
        <v>0</v>
      </c>
      <c r="U266" s="203" t="s">
        <v>1558</v>
      </c>
      <c r="V266" s="204"/>
      <c r="W266" s="207">
        <v>467697000</v>
      </c>
      <c r="X266" s="225" t="s">
        <v>1128</v>
      </c>
      <c r="Y266" s="225" t="s">
        <v>1128</v>
      </c>
      <c r="Z266" s="225" t="s">
        <v>1559</v>
      </c>
    </row>
    <row r="267" spans="1:26" ht="43" customHeight="1" x14ac:dyDescent="0.35">
      <c r="A267" s="203" t="s">
        <v>927</v>
      </c>
      <c r="B267" s="203" t="s">
        <v>1432</v>
      </c>
      <c r="C267" s="203" t="s">
        <v>1556</v>
      </c>
      <c r="D267" s="243">
        <v>81112001</v>
      </c>
      <c r="E267" s="216" t="s">
        <v>1217</v>
      </c>
      <c r="F267" s="228" t="s">
        <v>1560</v>
      </c>
      <c r="G267" s="188" t="s">
        <v>71</v>
      </c>
      <c r="H267" s="205" t="s">
        <v>73</v>
      </c>
      <c r="I267" s="217">
        <v>6</v>
      </c>
      <c r="J267" s="187" t="s">
        <v>931</v>
      </c>
      <c r="K267" s="218">
        <v>105900000</v>
      </c>
      <c r="L267" s="219">
        <v>0.19</v>
      </c>
      <c r="M267" s="218">
        <v>20121000</v>
      </c>
      <c r="N267" s="218">
        <v>126021000</v>
      </c>
      <c r="O267" s="203" t="s">
        <v>791</v>
      </c>
      <c r="P267" s="203" t="s">
        <v>89</v>
      </c>
      <c r="Q267" s="220">
        <v>126021000</v>
      </c>
      <c r="R267" s="220">
        <v>0</v>
      </c>
      <c r="S267" s="220">
        <v>0</v>
      </c>
      <c r="T267" s="220">
        <v>0</v>
      </c>
      <c r="U267" s="203" t="s">
        <v>1558</v>
      </c>
      <c r="V267" s="204"/>
      <c r="W267" s="207">
        <v>105900000</v>
      </c>
      <c r="X267" s="225" t="s">
        <v>1027</v>
      </c>
      <c r="Y267" s="225" t="s">
        <v>1027</v>
      </c>
      <c r="Z267" s="225" t="s">
        <v>1561</v>
      </c>
    </row>
    <row r="268" spans="1:26" ht="43" customHeight="1" x14ac:dyDescent="0.35">
      <c r="A268" s="203" t="s">
        <v>927</v>
      </c>
      <c r="B268" s="203" t="s">
        <v>1432</v>
      </c>
      <c r="C268" s="203" t="s">
        <v>1556</v>
      </c>
      <c r="D268" s="243">
        <v>80101505</v>
      </c>
      <c r="E268" s="216" t="s">
        <v>1347</v>
      </c>
      <c r="F268" s="228" t="s">
        <v>1562</v>
      </c>
      <c r="G268" s="188" t="s">
        <v>69</v>
      </c>
      <c r="H268" s="205" t="s">
        <v>70</v>
      </c>
      <c r="I268" s="217">
        <v>2</v>
      </c>
      <c r="J268" s="187" t="s">
        <v>949</v>
      </c>
      <c r="K268" s="218">
        <v>38000000</v>
      </c>
      <c r="L268" s="219">
        <v>0.19</v>
      </c>
      <c r="M268" s="218">
        <v>7220000</v>
      </c>
      <c r="N268" s="218">
        <v>45220000</v>
      </c>
      <c r="O268" s="203" t="s">
        <v>791</v>
      </c>
      <c r="P268" s="203" t="s">
        <v>89</v>
      </c>
      <c r="Q268" s="220">
        <v>45220000</v>
      </c>
      <c r="R268" s="220">
        <v>0</v>
      </c>
      <c r="S268" s="220">
        <v>0</v>
      </c>
      <c r="T268" s="220">
        <v>0</v>
      </c>
      <c r="U268" s="203" t="s">
        <v>1558</v>
      </c>
      <c r="V268" s="204"/>
      <c r="W268" s="207">
        <v>38000000</v>
      </c>
      <c r="X268" s="225" t="s">
        <v>941</v>
      </c>
      <c r="Y268" s="225" t="s">
        <v>941</v>
      </c>
      <c r="Z268" s="225" t="s">
        <v>1563</v>
      </c>
    </row>
    <row r="269" spans="1:26" ht="43" customHeight="1" x14ac:dyDescent="0.35">
      <c r="A269" s="203" t="s">
        <v>927</v>
      </c>
      <c r="B269" s="203" t="s">
        <v>1432</v>
      </c>
      <c r="C269" s="203" t="s">
        <v>1552</v>
      </c>
      <c r="D269" s="243">
        <v>81141902</v>
      </c>
      <c r="E269" s="216" t="s">
        <v>1564</v>
      </c>
      <c r="F269" s="228" t="s">
        <v>1565</v>
      </c>
      <c r="G269" s="188" t="s">
        <v>71</v>
      </c>
      <c r="H269" s="205" t="s">
        <v>73</v>
      </c>
      <c r="I269" s="217">
        <v>6</v>
      </c>
      <c r="J269" s="187" t="s">
        <v>931</v>
      </c>
      <c r="K269" s="218">
        <v>42300000</v>
      </c>
      <c r="L269" s="219">
        <v>0.19</v>
      </c>
      <c r="M269" s="218">
        <v>8037000</v>
      </c>
      <c r="N269" s="218">
        <v>50337000</v>
      </c>
      <c r="O269" s="203" t="s">
        <v>791</v>
      </c>
      <c r="P269" s="203" t="s">
        <v>89</v>
      </c>
      <c r="Q269" s="220">
        <v>50337000</v>
      </c>
      <c r="R269" s="220">
        <v>0</v>
      </c>
      <c r="S269" s="220">
        <v>0</v>
      </c>
      <c r="T269" s="220">
        <v>0</v>
      </c>
      <c r="U269" s="203" t="s">
        <v>1554</v>
      </c>
      <c r="V269" s="204"/>
      <c r="W269" s="207">
        <v>42300000</v>
      </c>
      <c r="X269" s="225" t="s">
        <v>941</v>
      </c>
      <c r="Y269" s="225" t="s">
        <v>941</v>
      </c>
      <c r="Z269" s="225" t="s">
        <v>1566</v>
      </c>
    </row>
    <row r="270" spans="1:26" ht="43" customHeight="1" x14ac:dyDescent="0.35">
      <c r="A270" s="203" t="s">
        <v>927</v>
      </c>
      <c r="B270" s="203" t="s">
        <v>1432</v>
      </c>
      <c r="C270" s="203" t="s">
        <v>1552</v>
      </c>
      <c r="D270" s="243">
        <v>81141902</v>
      </c>
      <c r="E270" s="216" t="s">
        <v>1564</v>
      </c>
      <c r="F270" s="228" t="s">
        <v>1565</v>
      </c>
      <c r="G270" s="188" t="s">
        <v>71</v>
      </c>
      <c r="H270" s="205" t="s">
        <v>73</v>
      </c>
      <c r="I270" s="217">
        <v>6</v>
      </c>
      <c r="J270" s="187" t="s">
        <v>931</v>
      </c>
      <c r="K270" s="218">
        <v>100000000</v>
      </c>
      <c r="L270" s="219">
        <v>0.19</v>
      </c>
      <c r="M270" s="218">
        <v>19000000</v>
      </c>
      <c r="N270" s="218">
        <v>119000000</v>
      </c>
      <c r="O270" s="203" t="s">
        <v>791</v>
      </c>
      <c r="P270" s="203" t="s">
        <v>89</v>
      </c>
      <c r="Q270" s="220">
        <v>119000000</v>
      </c>
      <c r="R270" s="220">
        <v>0</v>
      </c>
      <c r="S270" s="220">
        <v>0</v>
      </c>
      <c r="T270" s="220">
        <v>0</v>
      </c>
      <c r="U270" s="203" t="s">
        <v>1554</v>
      </c>
      <c r="V270" s="204"/>
      <c r="W270" s="207">
        <v>100000000</v>
      </c>
      <c r="X270" s="225" t="s">
        <v>1128</v>
      </c>
      <c r="Y270" s="225" t="s">
        <v>1128</v>
      </c>
      <c r="Z270" s="225" t="s">
        <v>1566</v>
      </c>
    </row>
    <row r="271" spans="1:26" ht="43" customHeight="1" x14ac:dyDescent="0.35">
      <c r="A271" s="203" t="s">
        <v>927</v>
      </c>
      <c r="B271" s="203" t="s">
        <v>1432</v>
      </c>
      <c r="C271" s="203" t="s">
        <v>1552</v>
      </c>
      <c r="D271" s="243">
        <v>81141902</v>
      </c>
      <c r="E271" s="216" t="s">
        <v>1564</v>
      </c>
      <c r="F271" s="228" t="s">
        <v>1565</v>
      </c>
      <c r="G271" s="188" t="s">
        <v>71</v>
      </c>
      <c r="H271" s="205" t="s">
        <v>73</v>
      </c>
      <c r="I271" s="217">
        <v>6</v>
      </c>
      <c r="J271" s="187" t="s">
        <v>931</v>
      </c>
      <c r="K271" s="218">
        <v>150000000</v>
      </c>
      <c r="L271" s="219">
        <v>0.19</v>
      </c>
      <c r="M271" s="218">
        <v>28500000</v>
      </c>
      <c r="N271" s="218">
        <v>178500000</v>
      </c>
      <c r="O271" s="203" t="s">
        <v>791</v>
      </c>
      <c r="P271" s="203" t="s">
        <v>89</v>
      </c>
      <c r="Q271" s="220">
        <v>178500000</v>
      </c>
      <c r="R271" s="220">
        <v>0</v>
      </c>
      <c r="S271" s="220">
        <v>0</v>
      </c>
      <c r="T271" s="220">
        <v>0</v>
      </c>
      <c r="U271" s="203" t="s">
        <v>1554</v>
      </c>
      <c r="V271" s="204"/>
      <c r="W271" s="207">
        <v>150000000</v>
      </c>
      <c r="X271" s="225" t="s">
        <v>941</v>
      </c>
      <c r="Y271" s="225" t="s">
        <v>941</v>
      </c>
      <c r="Z271" s="225" t="s">
        <v>1567</v>
      </c>
    </row>
    <row r="272" spans="1:26" ht="43" customHeight="1" x14ac:dyDescent="0.35">
      <c r="A272" s="203" t="s">
        <v>927</v>
      </c>
      <c r="B272" s="203" t="s">
        <v>1432</v>
      </c>
      <c r="C272" s="203" t="s">
        <v>1556</v>
      </c>
      <c r="D272" s="243">
        <v>80101505</v>
      </c>
      <c r="E272" s="216" t="s">
        <v>1347</v>
      </c>
      <c r="F272" s="228" t="s">
        <v>1568</v>
      </c>
      <c r="G272" s="188" t="s">
        <v>75</v>
      </c>
      <c r="H272" s="205" t="s">
        <v>76</v>
      </c>
      <c r="I272" s="217">
        <v>2</v>
      </c>
      <c r="J272" s="187" t="s">
        <v>940</v>
      </c>
      <c r="K272" s="218">
        <v>3690000</v>
      </c>
      <c r="L272" s="219">
        <v>0.19</v>
      </c>
      <c r="M272" s="218">
        <v>701100</v>
      </c>
      <c r="N272" s="218">
        <v>4391100</v>
      </c>
      <c r="O272" s="203" t="s">
        <v>791</v>
      </c>
      <c r="P272" s="203" t="s">
        <v>89</v>
      </c>
      <c r="Q272" s="220">
        <v>4391100</v>
      </c>
      <c r="R272" s="220">
        <v>0</v>
      </c>
      <c r="S272" s="220">
        <v>0</v>
      </c>
      <c r="T272" s="220">
        <v>0</v>
      </c>
      <c r="U272" s="203" t="s">
        <v>1558</v>
      </c>
      <c r="V272" s="204"/>
      <c r="W272" s="207">
        <v>3690000</v>
      </c>
      <c r="X272" s="225" t="s">
        <v>941</v>
      </c>
      <c r="Y272" s="225" t="s">
        <v>941</v>
      </c>
      <c r="Z272" s="225" t="s">
        <v>708</v>
      </c>
    </row>
    <row r="273" spans="1:26" ht="43" customHeight="1" x14ac:dyDescent="0.35">
      <c r="A273" s="203" t="s">
        <v>927</v>
      </c>
      <c r="B273" s="203" t="s">
        <v>1432</v>
      </c>
      <c r="C273" s="203" t="s">
        <v>1552</v>
      </c>
      <c r="D273" s="243">
        <v>81141902</v>
      </c>
      <c r="E273" s="216" t="s">
        <v>1564</v>
      </c>
      <c r="F273" s="228" t="s">
        <v>710</v>
      </c>
      <c r="G273" s="188" t="s">
        <v>71</v>
      </c>
      <c r="H273" s="205" t="s">
        <v>73</v>
      </c>
      <c r="I273" s="217">
        <v>5</v>
      </c>
      <c r="J273" s="187" t="s">
        <v>931</v>
      </c>
      <c r="K273" s="218">
        <v>250000000</v>
      </c>
      <c r="L273" s="219">
        <v>0.19</v>
      </c>
      <c r="M273" s="218">
        <v>47500000</v>
      </c>
      <c r="N273" s="218">
        <v>297500000</v>
      </c>
      <c r="O273" s="203" t="s">
        <v>791</v>
      </c>
      <c r="P273" s="203" t="s">
        <v>89</v>
      </c>
      <c r="Q273" s="220">
        <v>297500000</v>
      </c>
      <c r="R273" s="220">
        <v>0</v>
      </c>
      <c r="S273" s="220">
        <v>0</v>
      </c>
      <c r="T273" s="220">
        <v>0</v>
      </c>
      <c r="U273" s="203" t="s">
        <v>1554</v>
      </c>
      <c r="V273" s="204"/>
      <c r="W273" s="207">
        <v>250000000</v>
      </c>
      <c r="X273" s="225" t="s">
        <v>941</v>
      </c>
      <c r="Y273" s="225" t="s">
        <v>941</v>
      </c>
      <c r="Z273" s="225" t="s">
        <v>1569</v>
      </c>
    </row>
    <row r="274" spans="1:26" ht="43" customHeight="1" x14ac:dyDescent="0.35">
      <c r="A274" s="203" t="s">
        <v>927</v>
      </c>
      <c r="B274" s="203" t="s">
        <v>1432</v>
      </c>
      <c r="C274" s="203" t="s">
        <v>1556</v>
      </c>
      <c r="D274" s="243">
        <v>81141902</v>
      </c>
      <c r="E274" s="216" t="s">
        <v>1564</v>
      </c>
      <c r="F274" s="228" t="s">
        <v>706</v>
      </c>
      <c r="G274" s="188" t="s">
        <v>72</v>
      </c>
      <c r="H274" s="205" t="s">
        <v>74</v>
      </c>
      <c r="I274" s="217">
        <v>6</v>
      </c>
      <c r="J274" s="187" t="s">
        <v>931</v>
      </c>
      <c r="K274" s="218">
        <v>200000000</v>
      </c>
      <c r="L274" s="219">
        <v>0.19</v>
      </c>
      <c r="M274" s="218">
        <v>38000000</v>
      </c>
      <c r="N274" s="218">
        <v>238000000</v>
      </c>
      <c r="O274" s="203" t="s">
        <v>791</v>
      </c>
      <c r="P274" s="203" t="s">
        <v>89</v>
      </c>
      <c r="Q274" s="220">
        <v>238000000</v>
      </c>
      <c r="R274" s="220">
        <v>0</v>
      </c>
      <c r="S274" s="220">
        <v>0</v>
      </c>
      <c r="T274" s="220">
        <v>0</v>
      </c>
      <c r="U274" s="203" t="s">
        <v>797</v>
      </c>
      <c r="V274" s="204"/>
      <c r="W274" s="207">
        <v>200000000</v>
      </c>
      <c r="X274" s="225" t="s">
        <v>941</v>
      </c>
      <c r="Y274" s="225" t="s">
        <v>941</v>
      </c>
      <c r="Z274" s="225" t="s">
        <v>1570</v>
      </c>
    </row>
    <row r="275" spans="1:26" ht="43" customHeight="1" x14ac:dyDescent="0.35">
      <c r="A275" s="203" t="s">
        <v>927</v>
      </c>
      <c r="B275" s="203" t="s">
        <v>1432</v>
      </c>
      <c r="C275" s="203" t="s">
        <v>1552</v>
      </c>
      <c r="D275" s="243">
        <v>81141902</v>
      </c>
      <c r="E275" s="216" t="s">
        <v>1564</v>
      </c>
      <c r="F275" s="228" t="s">
        <v>1571</v>
      </c>
      <c r="G275" s="188" t="s">
        <v>71</v>
      </c>
      <c r="H275" s="205" t="s">
        <v>73</v>
      </c>
      <c r="I275" s="217">
        <v>6</v>
      </c>
      <c r="J275" s="187" t="s">
        <v>931</v>
      </c>
      <c r="K275" s="218">
        <v>250000000</v>
      </c>
      <c r="L275" s="219">
        <v>0.19</v>
      </c>
      <c r="M275" s="218">
        <v>47500000</v>
      </c>
      <c r="N275" s="218">
        <v>297500000</v>
      </c>
      <c r="O275" s="203" t="s">
        <v>791</v>
      </c>
      <c r="P275" s="203" t="s">
        <v>89</v>
      </c>
      <c r="Q275" s="220">
        <v>297500000</v>
      </c>
      <c r="R275" s="220">
        <v>0</v>
      </c>
      <c r="S275" s="220">
        <v>0</v>
      </c>
      <c r="T275" s="220">
        <v>0</v>
      </c>
      <c r="U275" s="203" t="s">
        <v>1554</v>
      </c>
      <c r="V275" s="204"/>
      <c r="W275" s="207">
        <v>250000000</v>
      </c>
      <c r="X275" s="225" t="s">
        <v>941</v>
      </c>
      <c r="Y275" s="225" t="s">
        <v>941</v>
      </c>
      <c r="Z275" s="225" t="s">
        <v>1572</v>
      </c>
    </row>
    <row r="276" spans="1:26" ht="43" customHeight="1" x14ac:dyDescent="0.35">
      <c r="A276" s="203" t="s">
        <v>927</v>
      </c>
      <c r="B276" s="203" t="s">
        <v>1432</v>
      </c>
      <c r="C276" s="203" t="s">
        <v>1556</v>
      </c>
      <c r="D276" s="243">
        <v>81141902</v>
      </c>
      <c r="E276" s="216" t="s">
        <v>1564</v>
      </c>
      <c r="F276" s="228" t="s">
        <v>1573</v>
      </c>
      <c r="G276" s="188" t="s">
        <v>71</v>
      </c>
      <c r="H276" s="205" t="s">
        <v>73</v>
      </c>
      <c r="I276" s="217">
        <v>7</v>
      </c>
      <c r="J276" s="187" t="s">
        <v>931</v>
      </c>
      <c r="K276" s="218">
        <v>250000000</v>
      </c>
      <c r="L276" s="219">
        <v>0.19</v>
      </c>
      <c r="M276" s="218">
        <v>47500000</v>
      </c>
      <c r="N276" s="218">
        <v>297500000</v>
      </c>
      <c r="O276" s="203" t="s">
        <v>791</v>
      </c>
      <c r="P276" s="203" t="s">
        <v>89</v>
      </c>
      <c r="Q276" s="220">
        <v>297500000</v>
      </c>
      <c r="R276" s="220">
        <v>0</v>
      </c>
      <c r="S276" s="220">
        <v>0</v>
      </c>
      <c r="T276" s="220">
        <v>0</v>
      </c>
      <c r="U276" s="203" t="s">
        <v>1574</v>
      </c>
      <c r="V276" s="204"/>
      <c r="W276" s="207">
        <v>250000000</v>
      </c>
      <c r="X276" s="225" t="s">
        <v>941</v>
      </c>
      <c r="Y276" s="225" t="s">
        <v>941</v>
      </c>
      <c r="Z276" s="225" t="s">
        <v>1575</v>
      </c>
    </row>
    <row r="277" spans="1:26" ht="43" customHeight="1" x14ac:dyDescent="0.35">
      <c r="A277" s="203" t="s">
        <v>927</v>
      </c>
      <c r="B277" s="203" t="s">
        <v>1432</v>
      </c>
      <c r="C277" s="203" t="s">
        <v>1556</v>
      </c>
      <c r="D277" s="243">
        <v>81141902</v>
      </c>
      <c r="E277" s="216" t="s">
        <v>1564</v>
      </c>
      <c r="F277" s="228" t="s">
        <v>1573</v>
      </c>
      <c r="G277" s="188" t="s">
        <v>71</v>
      </c>
      <c r="H277" s="205" t="s">
        <v>73</v>
      </c>
      <c r="I277" s="217">
        <v>7</v>
      </c>
      <c r="J277" s="187" t="s">
        <v>931</v>
      </c>
      <c r="K277" s="218">
        <v>200000000</v>
      </c>
      <c r="L277" s="219">
        <v>0.19</v>
      </c>
      <c r="M277" s="218">
        <v>38000000</v>
      </c>
      <c r="N277" s="218">
        <v>238000000</v>
      </c>
      <c r="O277" s="203" t="s">
        <v>791</v>
      </c>
      <c r="P277" s="203" t="s">
        <v>89</v>
      </c>
      <c r="Q277" s="220">
        <v>238000000</v>
      </c>
      <c r="R277" s="220">
        <v>0</v>
      </c>
      <c r="S277" s="220">
        <v>0</v>
      </c>
      <c r="T277" s="220">
        <v>0</v>
      </c>
      <c r="U277" s="203" t="s">
        <v>1574</v>
      </c>
      <c r="V277" s="204"/>
      <c r="W277" s="207">
        <v>200000000</v>
      </c>
      <c r="X277" s="225" t="s">
        <v>1027</v>
      </c>
      <c r="Y277" s="225" t="s">
        <v>1027</v>
      </c>
      <c r="Z277" s="225" t="s">
        <v>1575</v>
      </c>
    </row>
    <row r="278" spans="1:26" ht="43" customHeight="1" x14ac:dyDescent="0.35">
      <c r="A278" s="203" t="s">
        <v>927</v>
      </c>
      <c r="B278" s="203" t="s">
        <v>1432</v>
      </c>
      <c r="C278" s="203" t="s">
        <v>1552</v>
      </c>
      <c r="D278" s="243">
        <v>94101503</v>
      </c>
      <c r="E278" s="216" t="s">
        <v>1576</v>
      </c>
      <c r="F278" s="228" t="s">
        <v>707</v>
      </c>
      <c r="G278" s="188" t="s">
        <v>77</v>
      </c>
      <c r="H278" s="205" t="s">
        <v>77</v>
      </c>
      <c r="I278" s="217">
        <v>1</v>
      </c>
      <c r="J278" s="187" t="s">
        <v>940</v>
      </c>
      <c r="K278" s="218">
        <v>6700000</v>
      </c>
      <c r="L278" s="219">
        <v>0.19</v>
      </c>
      <c r="M278" s="218">
        <v>1273000</v>
      </c>
      <c r="N278" s="218">
        <v>7973000</v>
      </c>
      <c r="O278" s="203" t="s">
        <v>791</v>
      </c>
      <c r="P278" s="203" t="s">
        <v>89</v>
      </c>
      <c r="Q278" s="220">
        <v>7973000</v>
      </c>
      <c r="R278" s="220">
        <v>0</v>
      </c>
      <c r="S278" s="220">
        <v>0</v>
      </c>
      <c r="T278" s="220">
        <v>0</v>
      </c>
      <c r="U278" s="203" t="s">
        <v>1554</v>
      </c>
      <c r="V278" s="204" t="s">
        <v>1577</v>
      </c>
      <c r="W278" s="207">
        <v>6700000</v>
      </c>
      <c r="X278" s="225" t="s">
        <v>1080</v>
      </c>
      <c r="Y278" s="225" t="s">
        <v>1080</v>
      </c>
      <c r="Z278" s="225" t="s">
        <v>1578</v>
      </c>
    </row>
    <row r="279" spans="1:26" ht="43" customHeight="1" x14ac:dyDescent="0.35">
      <c r="A279" s="203" t="s">
        <v>927</v>
      </c>
      <c r="B279" s="203" t="s">
        <v>1432</v>
      </c>
      <c r="C279" s="203" t="s">
        <v>1556</v>
      </c>
      <c r="D279" s="243">
        <v>81141902</v>
      </c>
      <c r="E279" s="216" t="s">
        <v>1564</v>
      </c>
      <c r="F279" s="228" t="s">
        <v>1579</v>
      </c>
      <c r="G279" s="188" t="s">
        <v>70</v>
      </c>
      <c r="H279" s="205" t="s">
        <v>72</v>
      </c>
      <c r="I279" s="217">
        <v>6</v>
      </c>
      <c r="J279" s="187" t="s">
        <v>940</v>
      </c>
      <c r="K279" s="218">
        <v>200000000</v>
      </c>
      <c r="L279" s="219">
        <v>0.19</v>
      </c>
      <c r="M279" s="218">
        <v>38000000</v>
      </c>
      <c r="N279" s="218">
        <v>238000000</v>
      </c>
      <c r="O279" s="203" t="s">
        <v>791</v>
      </c>
      <c r="P279" s="203" t="s">
        <v>89</v>
      </c>
      <c r="Q279" s="220">
        <v>238000000</v>
      </c>
      <c r="R279" s="220">
        <v>0</v>
      </c>
      <c r="S279" s="220">
        <v>0</v>
      </c>
      <c r="T279" s="220">
        <v>0</v>
      </c>
      <c r="U279" s="203" t="s">
        <v>1558</v>
      </c>
      <c r="V279" s="204"/>
      <c r="W279" s="207">
        <v>200000000</v>
      </c>
      <c r="X279" s="225" t="s">
        <v>1027</v>
      </c>
      <c r="Y279" s="225" t="s">
        <v>1027</v>
      </c>
      <c r="Z279" s="225" t="s">
        <v>1580</v>
      </c>
    </row>
    <row r="280" spans="1:26" ht="43" customHeight="1" x14ac:dyDescent="0.35">
      <c r="A280" s="203" t="s">
        <v>927</v>
      </c>
      <c r="B280" s="203" t="s">
        <v>1432</v>
      </c>
      <c r="C280" s="203" t="s">
        <v>1556</v>
      </c>
      <c r="D280" s="243">
        <v>14111808</v>
      </c>
      <c r="E280" s="216" t="s">
        <v>1581</v>
      </c>
      <c r="F280" s="228" t="s">
        <v>1582</v>
      </c>
      <c r="G280" s="188" t="s">
        <v>74</v>
      </c>
      <c r="H280" s="205" t="s">
        <v>75</v>
      </c>
      <c r="I280" s="217">
        <v>4</v>
      </c>
      <c r="J280" s="187" t="s">
        <v>940</v>
      </c>
      <c r="K280" s="218">
        <v>200000000</v>
      </c>
      <c r="L280" s="219">
        <v>0.19</v>
      </c>
      <c r="M280" s="218">
        <v>38000000</v>
      </c>
      <c r="N280" s="218">
        <v>238000000</v>
      </c>
      <c r="O280" s="203" t="s">
        <v>791</v>
      </c>
      <c r="P280" s="203" t="s">
        <v>89</v>
      </c>
      <c r="Q280" s="220">
        <v>238000000</v>
      </c>
      <c r="R280" s="220">
        <v>0</v>
      </c>
      <c r="S280" s="220">
        <v>0</v>
      </c>
      <c r="T280" s="220">
        <v>0</v>
      </c>
      <c r="U280" s="203" t="s">
        <v>1348</v>
      </c>
      <c r="V280" s="204" t="s">
        <v>1583</v>
      </c>
      <c r="W280" s="207">
        <v>200000000</v>
      </c>
      <c r="X280" s="225" t="s">
        <v>941</v>
      </c>
      <c r="Y280" s="225" t="s">
        <v>941</v>
      </c>
      <c r="Z280" s="225" t="s">
        <v>1304</v>
      </c>
    </row>
    <row r="281" spans="1:26" ht="43" customHeight="1" x14ac:dyDescent="0.35">
      <c r="A281" s="203" t="s">
        <v>927</v>
      </c>
      <c r="B281" s="203" t="s">
        <v>1432</v>
      </c>
      <c r="C281" s="203" t="s">
        <v>1556</v>
      </c>
      <c r="D281" s="243">
        <v>81112501</v>
      </c>
      <c r="E281" s="216" t="s">
        <v>1584</v>
      </c>
      <c r="F281" s="228" t="s">
        <v>1585</v>
      </c>
      <c r="G281" s="188" t="s">
        <v>70</v>
      </c>
      <c r="H281" s="205" t="s">
        <v>72</v>
      </c>
      <c r="I281" s="217">
        <v>12</v>
      </c>
      <c r="J281" s="187" t="s">
        <v>931</v>
      </c>
      <c r="K281" s="218">
        <v>252000000</v>
      </c>
      <c r="L281" s="219">
        <v>0.19</v>
      </c>
      <c r="M281" s="218">
        <v>47880000</v>
      </c>
      <c r="N281" s="218">
        <v>299880000</v>
      </c>
      <c r="O281" s="203" t="s">
        <v>794</v>
      </c>
      <c r="P281" s="203" t="s">
        <v>932</v>
      </c>
      <c r="Q281" s="220">
        <v>299880000</v>
      </c>
      <c r="R281" s="244">
        <v>0</v>
      </c>
      <c r="S281" s="244">
        <v>0</v>
      </c>
      <c r="T281" s="244">
        <v>0</v>
      </c>
      <c r="U281" s="203" t="s">
        <v>1431</v>
      </c>
      <c r="V281" s="204" t="s">
        <v>1586</v>
      </c>
      <c r="W281" s="207">
        <v>252000000</v>
      </c>
      <c r="X281" s="225" t="s">
        <v>941</v>
      </c>
      <c r="Y281" s="225" t="s">
        <v>941</v>
      </c>
      <c r="Z281" s="225" t="s">
        <v>1587</v>
      </c>
    </row>
    <row r="282" spans="1:26" ht="43" customHeight="1" x14ac:dyDescent="0.35">
      <c r="A282" s="203" t="s">
        <v>927</v>
      </c>
      <c r="B282" s="203" t="s">
        <v>1432</v>
      </c>
      <c r="C282" s="203" t="s">
        <v>1556</v>
      </c>
      <c r="D282" s="243">
        <v>81112501</v>
      </c>
      <c r="E282" s="216" t="s">
        <v>1584</v>
      </c>
      <c r="F282" s="228" t="s">
        <v>1585</v>
      </c>
      <c r="G282" s="188" t="s">
        <v>70</v>
      </c>
      <c r="H282" s="205" t="s">
        <v>72</v>
      </c>
      <c r="I282" s="217">
        <v>12</v>
      </c>
      <c r="J282" s="187" t="s">
        <v>931</v>
      </c>
      <c r="K282" s="218">
        <v>130000000</v>
      </c>
      <c r="L282" s="219">
        <v>0.19</v>
      </c>
      <c r="M282" s="218">
        <v>24700000</v>
      </c>
      <c r="N282" s="218">
        <v>154700000</v>
      </c>
      <c r="O282" s="203" t="s">
        <v>794</v>
      </c>
      <c r="P282" s="203" t="s">
        <v>932</v>
      </c>
      <c r="Q282" s="220">
        <v>154700000</v>
      </c>
      <c r="R282" s="244">
        <v>0</v>
      </c>
      <c r="S282" s="244">
        <v>0</v>
      </c>
      <c r="T282" s="244">
        <v>0</v>
      </c>
      <c r="U282" s="203" t="s">
        <v>1431</v>
      </c>
      <c r="V282" s="204" t="s">
        <v>1586</v>
      </c>
      <c r="W282" s="207">
        <v>130000000</v>
      </c>
      <c r="X282" s="225" t="s">
        <v>1128</v>
      </c>
      <c r="Y282" s="225" t="s">
        <v>1128</v>
      </c>
      <c r="Z282" s="225" t="s">
        <v>1587</v>
      </c>
    </row>
    <row r="283" spans="1:26" ht="43" customHeight="1" x14ac:dyDescent="0.35">
      <c r="A283" s="203" t="s">
        <v>927</v>
      </c>
      <c r="B283" s="203" t="s">
        <v>1432</v>
      </c>
      <c r="C283" s="203" t="s">
        <v>1556</v>
      </c>
      <c r="D283" s="243">
        <v>43233001</v>
      </c>
      <c r="E283" s="216" t="s">
        <v>1588</v>
      </c>
      <c r="F283" s="228" t="s">
        <v>1589</v>
      </c>
      <c r="G283" s="188" t="s">
        <v>70</v>
      </c>
      <c r="H283" s="205" t="s">
        <v>72</v>
      </c>
      <c r="I283" s="217">
        <v>6</v>
      </c>
      <c r="J283" s="187" t="s">
        <v>949</v>
      </c>
      <c r="K283" s="218">
        <v>250000000</v>
      </c>
      <c r="L283" s="219">
        <v>0.19</v>
      </c>
      <c r="M283" s="218">
        <v>47500000</v>
      </c>
      <c r="N283" s="218">
        <v>297500000</v>
      </c>
      <c r="O283" s="203" t="s">
        <v>791</v>
      </c>
      <c r="P283" s="203" t="s">
        <v>89</v>
      </c>
      <c r="Q283" s="220">
        <v>297500000</v>
      </c>
      <c r="R283" s="220">
        <v>0</v>
      </c>
      <c r="S283" s="220">
        <v>0</v>
      </c>
      <c r="T283" s="220">
        <v>0</v>
      </c>
      <c r="U283" s="203" t="s">
        <v>1590</v>
      </c>
      <c r="V283" s="204" t="s">
        <v>1586</v>
      </c>
      <c r="W283" s="207">
        <v>250000000</v>
      </c>
      <c r="X283" s="225" t="s">
        <v>941</v>
      </c>
      <c r="Y283" s="225" t="s">
        <v>941</v>
      </c>
      <c r="Z283" s="225" t="s">
        <v>1111</v>
      </c>
    </row>
    <row r="284" spans="1:26" ht="43" customHeight="1" x14ac:dyDescent="0.35">
      <c r="A284" s="203" t="s">
        <v>927</v>
      </c>
      <c r="B284" s="203" t="s">
        <v>1432</v>
      </c>
      <c r="C284" s="203" t="s">
        <v>1556</v>
      </c>
      <c r="D284" s="243">
        <v>80101500</v>
      </c>
      <c r="E284" s="216" t="s">
        <v>969</v>
      </c>
      <c r="F284" s="228" t="s">
        <v>1591</v>
      </c>
      <c r="G284" s="188" t="s">
        <v>67</v>
      </c>
      <c r="H284" s="205" t="s">
        <v>67</v>
      </c>
      <c r="I284" s="217">
        <v>10</v>
      </c>
      <c r="J284" s="187" t="s">
        <v>931</v>
      </c>
      <c r="K284" s="218">
        <v>457000000</v>
      </c>
      <c r="L284" s="219">
        <v>0.19</v>
      </c>
      <c r="M284" s="218">
        <v>86830000</v>
      </c>
      <c r="N284" s="218">
        <v>543830000</v>
      </c>
      <c r="O284" s="203" t="s">
        <v>791</v>
      </c>
      <c r="P284" s="203" t="s">
        <v>89</v>
      </c>
      <c r="Q284" s="220">
        <v>543830000</v>
      </c>
      <c r="R284" s="220">
        <v>0</v>
      </c>
      <c r="S284" s="220">
        <v>0</v>
      </c>
      <c r="T284" s="220">
        <v>0</v>
      </c>
      <c r="U284" s="203" t="s">
        <v>1348</v>
      </c>
      <c r="V284" s="204" t="s">
        <v>1592</v>
      </c>
      <c r="W284" s="207">
        <v>457000000</v>
      </c>
      <c r="X284" s="225" t="s">
        <v>941</v>
      </c>
      <c r="Y284" s="225" t="s">
        <v>941</v>
      </c>
      <c r="Z284" s="225" t="s">
        <v>1593</v>
      </c>
    </row>
    <row r="285" spans="1:26" ht="43" customHeight="1" x14ac:dyDescent="0.35">
      <c r="A285" s="203" t="s">
        <v>927</v>
      </c>
      <c r="B285" s="203" t="s">
        <v>1432</v>
      </c>
      <c r="C285" s="203" t="s">
        <v>1556</v>
      </c>
      <c r="D285" s="243">
        <v>43231500</v>
      </c>
      <c r="E285" s="216" t="s">
        <v>1389</v>
      </c>
      <c r="F285" s="228" t="s">
        <v>1594</v>
      </c>
      <c r="G285" s="188" t="s">
        <v>69</v>
      </c>
      <c r="H285" s="205" t="s">
        <v>70</v>
      </c>
      <c r="I285" s="217">
        <v>9</v>
      </c>
      <c r="J285" s="187" t="s">
        <v>949</v>
      </c>
      <c r="K285" s="218">
        <v>475000000</v>
      </c>
      <c r="L285" s="219">
        <v>0.19</v>
      </c>
      <c r="M285" s="218">
        <v>90250000</v>
      </c>
      <c r="N285" s="218">
        <v>565250000</v>
      </c>
      <c r="O285" s="203" t="s">
        <v>794</v>
      </c>
      <c r="P285" s="203" t="s">
        <v>932</v>
      </c>
      <c r="Q285" s="220">
        <v>505750000</v>
      </c>
      <c r="R285" s="244">
        <v>0</v>
      </c>
      <c r="S285" s="244">
        <v>0</v>
      </c>
      <c r="T285" s="244">
        <v>0</v>
      </c>
      <c r="U285" s="203" t="s">
        <v>1595</v>
      </c>
      <c r="V285" s="204" t="s">
        <v>1586</v>
      </c>
      <c r="W285" s="207">
        <v>475000000</v>
      </c>
      <c r="X285" s="225" t="s">
        <v>941</v>
      </c>
      <c r="Y285" s="225" t="s">
        <v>941</v>
      </c>
      <c r="Z285" s="225" t="s">
        <v>1596</v>
      </c>
    </row>
    <row r="286" spans="1:26" ht="43" customHeight="1" x14ac:dyDescent="0.35">
      <c r="A286" s="203" t="s">
        <v>927</v>
      </c>
      <c r="B286" s="203" t="s">
        <v>1432</v>
      </c>
      <c r="C286" s="203" t="s">
        <v>1556</v>
      </c>
      <c r="D286" s="243">
        <v>43231500</v>
      </c>
      <c r="E286" s="216" t="s">
        <v>1389</v>
      </c>
      <c r="F286" s="228" t="s">
        <v>1597</v>
      </c>
      <c r="G286" s="188" t="s">
        <v>69</v>
      </c>
      <c r="H286" s="205" t="s">
        <v>70</v>
      </c>
      <c r="I286" s="217">
        <v>6</v>
      </c>
      <c r="J286" s="187" t="s">
        <v>949</v>
      </c>
      <c r="K286" s="218">
        <v>175000000</v>
      </c>
      <c r="L286" s="219">
        <v>0.19</v>
      </c>
      <c r="M286" s="218">
        <v>33250000</v>
      </c>
      <c r="N286" s="218">
        <v>208250000</v>
      </c>
      <c r="O286" s="203" t="s">
        <v>791</v>
      </c>
      <c r="P286" s="203" t="s">
        <v>89</v>
      </c>
      <c r="Q286" s="220">
        <v>208250000</v>
      </c>
      <c r="R286" s="220">
        <v>0</v>
      </c>
      <c r="S286" s="220">
        <v>0</v>
      </c>
      <c r="T286" s="220">
        <v>0</v>
      </c>
      <c r="U286" s="203" t="s">
        <v>1595</v>
      </c>
      <c r="V286" s="204" t="s">
        <v>1586</v>
      </c>
      <c r="W286" s="207">
        <v>175000000</v>
      </c>
      <c r="X286" s="225" t="s">
        <v>941</v>
      </c>
      <c r="Y286" s="225" t="s">
        <v>941</v>
      </c>
      <c r="Z286" s="225" t="s">
        <v>1596</v>
      </c>
    </row>
    <row r="287" spans="1:26" ht="43" customHeight="1" x14ac:dyDescent="0.35">
      <c r="A287" s="203" t="s">
        <v>927</v>
      </c>
      <c r="B287" s="203" t="s">
        <v>1432</v>
      </c>
      <c r="C287" s="203" t="s">
        <v>1556</v>
      </c>
      <c r="D287" s="243">
        <v>43231600</v>
      </c>
      <c r="E287" s="216" t="s">
        <v>1123</v>
      </c>
      <c r="F287" s="228" t="s">
        <v>1598</v>
      </c>
      <c r="G287" s="188" t="s">
        <v>75</v>
      </c>
      <c r="H287" s="205" t="s">
        <v>77</v>
      </c>
      <c r="I287" s="217">
        <v>24</v>
      </c>
      <c r="J287" s="187" t="s">
        <v>931</v>
      </c>
      <c r="K287" s="218">
        <v>3500000000</v>
      </c>
      <c r="L287" s="219">
        <v>0.19</v>
      </c>
      <c r="M287" s="218">
        <v>665000000</v>
      </c>
      <c r="N287" s="218">
        <v>4165000000</v>
      </c>
      <c r="O287" s="203" t="s">
        <v>794</v>
      </c>
      <c r="P287" s="203" t="s">
        <v>932</v>
      </c>
      <c r="Q287" s="220">
        <v>4165000000</v>
      </c>
      <c r="R287" s="244">
        <v>0</v>
      </c>
      <c r="S287" s="244">
        <v>0</v>
      </c>
      <c r="T287" s="244">
        <v>0</v>
      </c>
      <c r="U287" s="203" t="s">
        <v>1348</v>
      </c>
      <c r="V287" s="204" t="s">
        <v>1586</v>
      </c>
      <c r="W287" s="207">
        <v>3500000000</v>
      </c>
      <c r="X287" s="225" t="s">
        <v>1599</v>
      </c>
      <c r="Y287" s="225" t="s">
        <v>1599</v>
      </c>
      <c r="Z287" s="225" t="s">
        <v>1600</v>
      </c>
    </row>
    <row r="288" spans="1:26" ht="43" customHeight="1" x14ac:dyDescent="0.35">
      <c r="A288" s="203" t="s">
        <v>1601</v>
      </c>
      <c r="B288" s="203" t="s">
        <v>1149</v>
      </c>
      <c r="C288" s="203" t="s">
        <v>1602</v>
      </c>
      <c r="D288" s="243">
        <v>80141902</v>
      </c>
      <c r="E288" s="216" t="s">
        <v>1603</v>
      </c>
      <c r="F288" s="228" t="s">
        <v>1604</v>
      </c>
      <c r="G288" s="188" t="s">
        <v>69</v>
      </c>
      <c r="H288" s="205" t="s">
        <v>69</v>
      </c>
      <c r="I288" s="217">
        <v>1</v>
      </c>
      <c r="J288" s="187" t="s">
        <v>940</v>
      </c>
      <c r="K288" s="218">
        <v>1500000</v>
      </c>
      <c r="L288" s="219">
        <v>0.19</v>
      </c>
      <c r="M288" s="218">
        <v>285000</v>
      </c>
      <c r="N288" s="218">
        <v>1785000</v>
      </c>
      <c r="O288" s="203" t="s">
        <v>791</v>
      </c>
      <c r="P288" s="203" t="s">
        <v>89</v>
      </c>
      <c r="Q288" s="220">
        <v>1785000</v>
      </c>
      <c r="R288" s="220">
        <v>0</v>
      </c>
      <c r="S288" s="220">
        <v>0</v>
      </c>
      <c r="T288" s="220">
        <v>0</v>
      </c>
      <c r="U288" s="203" t="s">
        <v>1605</v>
      </c>
      <c r="V288" s="204"/>
      <c r="W288" s="207"/>
      <c r="X288" s="225" t="s">
        <v>1228</v>
      </c>
      <c r="Y288" s="225" t="s">
        <v>1234</v>
      </c>
      <c r="Z288" s="225" t="s">
        <v>1235</v>
      </c>
    </row>
    <row r="289" spans="1:26" ht="43" customHeight="1" x14ac:dyDescent="0.35">
      <c r="A289" s="203" t="s">
        <v>1601</v>
      </c>
      <c r="B289" s="203" t="s">
        <v>1149</v>
      </c>
      <c r="C289" s="203" t="s">
        <v>1602</v>
      </c>
      <c r="D289" s="243">
        <v>80141902</v>
      </c>
      <c r="E289" s="216" t="s">
        <v>1603</v>
      </c>
      <c r="F289" s="228" t="s">
        <v>1606</v>
      </c>
      <c r="G289" s="188" t="s">
        <v>77</v>
      </c>
      <c r="H289" s="205" t="s">
        <v>77</v>
      </c>
      <c r="I289" s="217">
        <v>1</v>
      </c>
      <c r="J289" s="187" t="s">
        <v>940</v>
      </c>
      <c r="K289" s="218">
        <v>1500000</v>
      </c>
      <c r="L289" s="219">
        <v>0.19</v>
      </c>
      <c r="M289" s="218">
        <v>285000</v>
      </c>
      <c r="N289" s="218">
        <v>1785000</v>
      </c>
      <c r="O289" s="203" t="s">
        <v>791</v>
      </c>
      <c r="P289" s="203" t="s">
        <v>89</v>
      </c>
      <c r="Q289" s="220">
        <v>1785000</v>
      </c>
      <c r="R289" s="220">
        <v>0</v>
      </c>
      <c r="S289" s="220">
        <v>0</v>
      </c>
      <c r="T289" s="220">
        <v>0</v>
      </c>
      <c r="U289" s="203" t="s">
        <v>1605</v>
      </c>
      <c r="V289" s="204"/>
      <c r="W289" s="207"/>
      <c r="X289" s="225" t="s">
        <v>1228</v>
      </c>
      <c r="Y289" s="225" t="s">
        <v>1229</v>
      </c>
      <c r="Z289" s="225" t="s">
        <v>1230</v>
      </c>
    </row>
    <row r="290" spans="1:26" ht="43" customHeight="1" x14ac:dyDescent="0.35">
      <c r="A290" s="203" t="s">
        <v>1601</v>
      </c>
      <c r="B290" s="203" t="s">
        <v>1149</v>
      </c>
      <c r="C290" s="203" t="s">
        <v>1602</v>
      </c>
      <c r="D290" s="243">
        <v>80141902</v>
      </c>
      <c r="E290" s="216" t="s">
        <v>1603</v>
      </c>
      <c r="F290" s="228" t="s">
        <v>1607</v>
      </c>
      <c r="G290" s="188" t="s">
        <v>72</v>
      </c>
      <c r="H290" s="205" t="s">
        <v>73</v>
      </c>
      <c r="I290" s="217">
        <v>1</v>
      </c>
      <c r="J290" s="187" t="s">
        <v>940</v>
      </c>
      <c r="K290" s="218">
        <v>1500000</v>
      </c>
      <c r="L290" s="219">
        <v>0</v>
      </c>
      <c r="M290" s="218">
        <v>0</v>
      </c>
      <c r="N290" s="218">
        <v>1500000</v>
      </c>
      <c r="O290" s="203" t="s">
        <v>791</v>
      </c>
      <c r="P290" s="203" t="s">
        <v>89</v>
      </c>
      <c r="Q290" s="220">
        <v>1500000</v>
      </c>
      <c r="R290" s="220">
        <v>0</v>
      </c>
      <c r="S290" s="220">
        <v>0</v>
      </c>
      <c r="T290" s="220">
        <v>0</v>
      </c>
      <c r="U290" s="203" t="s">
        <v>1605</v>
      </c>
      <c r="V290" s="204"/>
      <c r="W290" s="207"/>
      <c r="X290" s="225" t="s">
        <v>1608</v>
      </c>
      <c r="Y290" s="225" t="s">
        <v>1609</v>
      </c>
      <c r="Z290" s="225"/>
    </row>
    <row r="291" spans="1:26" ht="43" customHeight="1" x14ac:dyDescent="0.35">
      <c r="A291" s="203" t="s">
        <v>1601</v>
      </c>
      <c r="B291" s="203" t="s">
        <v>1149</v>
      </c>
      <c r="C291" s="203" t="s">
        <v>1602</v>
      </c>
      <c r="D291" s="243">
        <v>80141902</v>
      </c>
      <c r="E291" s="216" t="s">
        <v>1603</v>
      </c>
      <c r="F291" s="228" t="s">
        <v>772</v>
      </c>
      <c r="G291" s="188" t="s">
        <v>78</v>
      </c>
      <c r="H291" s="205" t="s">
        <v>78</v>
      </c>
      <c r="I291" s="217">
        <v>1</v>
      </c>
      <c r="J291" s="187" t="s">
        <v>940</v>
      </c>
      <c r="K291" s="218">
        <v>1500000</v>
      </c>
      <c r="L291" s="219">
        <v>0</v>
      </c>
      <c r="M291" s="218">
        <v>0</v>
      </c>
      <c r="N291" s="218">
        <v>1500000</v>
      </c>
      <c r="O291" s="203" t="s">
        <v>791</v>
      </c>
      <c r="P291" s="203" t="s">
        <v>89</v>
      </c>
      <c r="Q291" s="220">
        <v>1500000</v>
      </c>
      <c r="R291" s="220">
        <v>0</v>
      </c>
      <c r="S291" s="220">
        <v>0</v>
      </c>
      <c r="T291" s="220">
        <v>0</v>
      </c>
      <c r="U291" s="203" t="s">
        <v>1605</v>
      </c>
      <c r="V291" s="204"/>
      <c r="W291" s="207"/>
      <c r="X291" s="225" t="s">
        <v>1608</v>
      </c>
      <c r="Y291" s="225" t="s">
        <v>1609</v>
      </c>
      <c r="Z291" s="225"/>
    </row>
    <row r="292" spans="1:26" ht="43" customHeight="1" x14ac:dyDescent="0.35">
      <c r="A292" s="203" t="s">
        <v>1601</v>
      </c>
      <c r="B292" s="203" t="s">
        <v>1149</v>
      </c>
      <c r="C292" s="203" t="s">
        <v>1602</v>
      </c>
      <c r="D292" s="243">
        <v>23181801</v>
      </c>
      <c r="E292" s="216" t="s">
        <v>1610</v>
      </c>
      <c r="F292" s="228" t="s">
        <v>1611</v>
      </c>
      <c r="G292" s="188" t="s">
        <v>68</v>
      </c>
      <c r="H292" s="205" t="s">
        <v>69</v>
      </c>
      <c r="I292" s="217">
        <v>1</v>
      </c>
      <c r="J292" s="187" t="s">
        <v>940</v>
      </c>
      <c r="K292" s="218">
        <v>1100000</v>
      </c>
      <c r="L292" s="219">
        <v>0</v>
      </c>
      <c r="M292" s="218">
        <v>0</v>
      </c>
      <c r="N292" s="218">
        <v>1100000</v>
      </c>
      <c r="O292" s="203" t="s">
        <v>791</v>
      </c>
      <c r="P292" s="203" t="s">
        <v>89</v>
      </c>
      <c r="Q292" s="220">
        <v>1100000</v>
      </c>
      <c r="R292" s="220">
        <v>0</v>
      </c>
      <c r="S292" s="220">
        <v>0</v>
      </c>
      <c r="T292" s="220">
        <v>0</v>
      </c>
      <c r="U292" s="203" t="s">
        <v>1605</v>
      </c>
      <c r="V292" s="204"/>
      <c r="W292" s="207"/>
      <c r="X292" s="225" t="s">
        <v>1070</v>
      </c>
      <c r="Y292" s="225" t="s">
        <v>1071</v>
      </c>
      <c r="Z292" s="225" t="s">
        <v>1612</v>
      </c>
    </row>
    <row r="293" spans="1:26" ht="43" customHeight="1" x14ac:dyDescent="0.35">
      <c r="A293" s="203" t="s">
        <v>1601</v>
      </c>
      <c r="B293" s="203" t="s">
        <v>1149</v>
      </c>
      <c r="C293" s="203" t="s">
        <v>1602</v>
      </c>
      <c r="D293" s="243">
        <v>73152108</v>
      </c>
      <c r="E293" s="216" t="s">
        <v>1613</v>
      </c>
      <c r="F293" s="228" t="s">
        <v>1614</v>
      </c>
      <c r="G293" s="188" t="s">
        <v>69</v>
      </c>
      <c r="H293" s="205" t="s">
        <v>70</v>
      </c>
      <c r="I293" s="217">
        <v>1</v>
      </c>
      <c r="J293" s="187" t="s">
        <v>940</v>
      </c>
      <c r="K293" s="218">
        <v>50420168</v>
      </c>
      <c r="L293" s="219">
        <v>0.19</v>
      </c>
      <c r="M293" s="218">
        <v>9579832</v>
      </c>
      <c r="N293" s="218">
        <v>60000000</v>
      </c>
      <c r="O293" s="203" t="s">
        <v>791</v>
      </c>
      <c r="P293" s="203" t="s">
        <v>89</v>
      </c>
      <c r="Q293" s="220">
        <v>60000000</v>
      </c>
      <c r="R293" s="220">
        <v>0</v>
      </c>
      <c r="S293" s="220">
        <v>0</v>
      </c>
      <c r="T293" s="220">
        <v>0</v>
      </c>
      <c r="U293" s="203" t="s">
        <v>1605</v>
      </c>
      <c r="V293" s="204"/>
      <c r="W293" s="207">
        <v>50420168</v>
      </c>
      <c r="X293" s="225" t="s">
        <v>1615</v>
      </c>
      <c r="Y293" s="225" t="s">
        <v>1071</v>
      </c>
      <c r="Z293" s="225" t="s">
        <v>1612</v>
      </c>
    </row>
    <row r="294" spans="1:26" ht="43" customHeight="1" x14ac:dyDescent="0.35">
      <c r="A294" s="203" t="s">
        <v>1601</v>
      </c>
      <c r="B294" s="203" t="s">
        <v>1149</v>
      </c>
      <c r="C294" s="203" t="s">
        <v>1602</v>
      </c>
      <c r="D294" s="243">
        <v>72101507</v>
      </c>
      <c r="E294" s="216" t="s">
        <v>1616</v>
      </c>
      <c r="F294" s="228" t="s">
        <v>1617</v>
      </c>
      <c r="G294" s="188" t="s">
        <v>71</v>
      </c>
      <c r="H294" s="205" t="s">
        <v>72</v>
      </c>
      <c r="I294" s="217">
        <v>1</v>
      </c>
      <c r="J294" s="187" t="s">
        <v>940</v>
      </c>
      <c r="K294" s="218">
        <v>21008403</v>
      </c>
      <c r="L294" s="219">
        <v>0.19</v>
      </c>
      <c r="M294" s="218">
        <v>3991597</v>
      </c>
      <c r="N294" s="218">
        <v>25000000</v>
      </c>
      <c r="O294" s="203" t="s">
        <v>791</v>
      </c>
      <c r="P294" s="203" t="s">
        <v>89</v>
      </c>
      <c r="Q294" s="220">
        <v>25000000</v>
      </c>
      <c r="R294" s="220">
        <v>0</v>
      </c>
      <c r="S294" s="220">
        <v>0</v>
      </c>
      <c r="T294" s="220">
        <v>0</v>
      </c>
      <c r="U294" s="203" t="s">
        <v>1605</v>
      </c>
      <c r="V294" s="204"/>
      <c r="W294" s="207">
        <v>21008403</v>
      </c>
      <c r="X294" s="225" t="s">
        <v>1618</v>
      </c>
      <c r="Y294" s="225" t="s">
        <v>1618</v>
      </c>
      <c r="Z294" s="225" t="s">
        <v>1619</v>
      </c>
    </row>
    <row r="295" spans="1:26" ht="43" customHeight="1" x14ac:dyDescent="0.35">
      <c r="A295" s="203" t="s">
        <v>1601</v>
      </c>
      <c r="B295" s="203" t="s">
        <v>1149</v>
      </c>
      <c r="C295" s="203" t="s">
        <v>1602</v>
      </c>
      <c r="D295" s="243">
        <v>72154028</v>
      </c>
      <c r="E295" s="216" t="s">
        <v>1012</v>
      </c>
      <c r="F295" s="228" t="s">
        <v>1620</v>
      </c>
      <c r="G295" s="188" t="s">
        <v>71</v>
      </c>
      <c r="H295" s="205" t="s">
        <v>72</v>
      </c>
      <c r="I295" s="217">
        <v>2</v>
      </c>
      <c r="J295" s="187" t="s">
        <v>940</v>
      </c>
      <c r="K295" s="218">
        <v>7000000</v>
      </c>
      <c r="L295" s="219">
        <v>0.19</v>
      </c>
      <c r="M295" s="218">
        <v>1330000</v>
      </c>
      <c r="N295" s="218">
        <v>8330000</v>
      </c>
      <c r="O295" s="203" t="s">
        <v>791</v>
      </c>
      <c r="P295" s="203" t="s">
        <v>89</v>
      </c>
      <c r="Q295" s="220">
        <v>8330000</v>
      </c>
      <c r="R295" s="220">
        <v>0</v>
      </c>
      <c r="S295" s="220">
        <v>0</v>
      </c>
      <c r="T295" s="220">
        <v>0</v>
      </c>
      <c r="U295" s="203" t="s">
        <v>1605</v>
      </c>
      <c r="V295" s="204"/>
      <c r="W295" s="207">
        <v>7000000</v>
      </c>
      <c r="X295" s="225" t="s">
        <v>1618</v>
      </c>
      <c r="Y295" s="225" t="s">
        <v>1618</v>
      </c>
      <c r="Z295" s="225" t="s">
        <v>1619</v>
      </c>
    </row>
    <row r="296" spans="1:26" ht="43" customHeight="1" x14ac:dyDescent="0.35">
      <c r="A296" s="203" t="s">
        <v>1601</v>
      </c>
      <c r="B296" s="203" t="s">
        <v>1149</v>
      </c>
      <c r="C296" s="203" t="s">
        <v>1621</v>
      </c>
      <c r="D296" s="243">
        <v>80141902</v>
      </c>
      <c r="E296" s="216" t="s">
        <v>1603</v>
      </c>
      <c r="F296" s="228" t="s">
        <v>1604</v>
      </c>
      <c r="G296" s="188" t="s">
        <v>69</v>
      </c>
      <c r="H296" s="205" t="s">
        <v>69</v>
      </c>
      <c r="I296" s="217">
        <v>1</v>
      </c>
      <c r="J296" s="187" t="s">
        <v>940</v>
      </c>
      <c r="K296" s="218">
        <v>3000000</v>
      </c>
      <c r="L296" s="219">
        <v>0.19</v>
      </c>
      <c r="M296" s="218">
        <v>570000</v>
      </c>
      <c r="N296" s="218">
        <v>3570000</v>
      </c>
      <c r="O296" s="203" t="s">
        <v>791</v>
      </c>
      <c r="P296" s="203" t="s">
        <v>89</v>
      </c>
      <c r="Q296" s="220">
        <v>3570000</v>
      </c>
      <c r="R296" s="220">
        <v>0</v>
      </c>
      <c r="S296" s="220">
        <v>0</v>
      </c>
      <c r="T296" s="220">
        <v>0</v>
      </c>
      <c r="U296" s="203" t="s">
        <v>1622</v>
      </c>
      <c r="V296" s="204"/>
      <c r="W296" s="207"/>
      <c r="X296" s="225" t="s">
        <v>1228</v>
      </c>
      <c r="Y296" s="225" t="s">
        <v>1234</v>
      </c>
      <c r="Z296" s="225" t="s">
        <v>1235</v>
      </c>
    </row>
    <row r="297" spans="1:26" ht="43" customHeight="1" x14ac:dyDescent="0.35">
      <c r="A297" s="203" t="s">
        <v>1601</v>
      </c>
      <c r="B297" s="203" t="s">
        <v>1149</v>
      </c>
      <c r="C297" s="203" t="s">
        <v>1621</v>
      </c>
      <c r="D297" s="243">
        <v>80141902</v>
      </c>
      <c r="E297" s="216" t="s">
        <v>1603</v>
      </c>
      <c r="F297" s="228" t="s">
        <v>1606</v>
      </c>
      <c r="G297" s="188" t="s">
        <v>77</v>
      </c>
      <c r="H297" s="205" t="s">
        <v>77</v>
      </c>
      <c r="I297" s="217">
        <v>1</v>
      </c>
      <c r="J297" s="187" t="s">
        <v>940</v>
      </c>
      <c r="K297" s="218">
        <v>3000000</v>
      </c>
      <c r="L297" s="219">
        <v>0.19</v>
      </c>
      <c r="M297" s="218">
        <v>570000</v>
      </c>
      <c r="N297" s="218">
        <v>3570000</v>
      </c>
      <c r="O297" s="203" t="s">
        <v>791</v>
      </c>
      <c r="P297" s="203" t="s">
        <v>89</v>
      </c>
      <c r="Q297" s="220">
        <v>3570000</v>
      </c>
      <c r="R297" s="220">
        <v>0</v>
      </c>
      <c r="S297" s="220">
        <v>0</v>
      </c>
      <c r="T297" s="220">
        <v>0</v>
      </c>
      <c r="U297" s="203" t="s">
        <v>1622</v>
      </c>
      <c r="V297" s="204"/>
      <c r="W297" s="207"/>
      <c r="X297" s="225" t="s">
        <v>1228</v>
      </c>
      <c r="Y297" s="225" t="s">
        <v>1229</v>
      </c>
      <c r="Z297" s="225" t="s">
        <v>1230</v>
      </c>
    </row>
    <row r="298" spans="1:26" ht="43" customHeight="1" x14ac:dyDescent="0.35">
      <c r="A298" s="203" t="s">
        <v>1601</v>
      </c>
      <c r="B298" s="203" t="s">
        <v>1149</v>
      </c>
      <c r="C298" s="203" t="s">
        <v>1621</v>
      </c>
      <c r="D298" s="243">
        <v>80141902</v>
      </c>
      <c r="E298" s="216" t="s">
        <v>1603</v>
      </c>
      <c r="F298" s="228" t="s">
        <v>772</v>
      </c>
      <c r="G298" s="188" t="s">
        <v>77</v>
      </c>
      <c r="H298" s="205" t="s">
        <v>78</v>
      </c>
      <c r="I298" s="217">
        <v>1</v>
      </c>
      <c r="J298" s="187" t="s">
        <v>1186</v>
      </c>
      <c r="K298" s="218">
        <v>3100000</v>
      </c>
      <c r="L298" s="219">
        <v>0.19</v>
      </c>
      <c r="M298" s="218">
        <v>589000</v>
      </c>
      <c r="N298" s="218">
        <v>3689000</v>
      </c>
      <c r="O298" s="203" t="s">
        <v>791</v>
      </c>
      <c r="P298" s="203" t="s">
        <v>89</v>
      </c>
      <c r="Q298" s="220">
        <v>3689000</v>
      </c>
      <c r="R298" s="220">
        <v>0</v>
      </c>
      <c r="S298" s="220">
        <v>0</v>
      </c>
      <c r="T298" s="220">
        <v>0</v>
      </c>
      <c r="U298" s="203" t="s">
        <v>1622</v>
      </c>
      <c r="V298" s="204"/>
      <c r="W298" s="207"/>
      <c r="X298" s="225" t="s">
        <v>1608</v>
      </c>
      <c r="Y298" s="225" t="s">
        <v>1609</v>
      </c>
      <c r="Z298" s="225"/>
    </row>
    <row r="299" spans="1:26" ht="43" customHeight="1" x14ac:dyDescent="0.35">
      <c r="A299" s="203" t="s">
        <v>1601</v>
      </c>
      <c r="B299" s="203" t="s">
        <v>1149</v>
      </c>
      <c r="C299" s="203" t="s">
        <v>1621</v>
      </c>
      <c r="D299" s="243">
        <v>80141902</v>
      </c>
      <c r="E299" s="216" t="s">
        <v>1603</v>
      </c>
      <c r="F299" s="228" t="s">
        <v>1607</v>
      </c>
      <c r="G299" s="188" t="s">
        <v>72</v>
      </c>
      <c r="H299" s="205" t="s">
        <v>73</v>
      </c>
      <c r="I299" s="217">
        <v>1</v>
      </c>
      <c r="J299" s="187" t="s">
        <v>1186</v>
      </c>
      <c r="K299" s="218">
        <v>3100000</v>
      </c>
      <c r="L299" s="219">
        <v>0.19</v>
      </c>
      <c r="M299" s="218">
        <v>589000</v>
      </c>
      <c r="N299" s="218">
        <v>3689000</v>
      </c>
      <c r="O299" s="203" t="s">
        <v>791</v>
      </c>
      <c r="P299" s="203" t="s">
        <v>89</v>
      </c>
      <c r="Q299" s="220">
        <v>3689000</v>
      </c>
      <c r="R299" s="220">
        <v>0</v>
      </c>
      <c r="S299" s="220">
        <v>0</v>
      </c>
      <c r="T299" s="220">
        <v>0</v>
      </c>
      <c r="U299" s="203" t="s">
        <v>1622</v>
      </c>
      <c r="V299" s="204"/>
      <c r="W299" s="207"/>
      <c r="X299" s="225" t="s">
        <v>1608</v>
      </c>
      <c r="Y299" s="225" t="s">
        <v>1609</v>
      </c>
      <c r="Z299" s="225"/>
    </row>
    <row r="300" spans="1:26" ht="43" customHeight="1" x14ac:dyDescent="0.35">
      <c r="A300" s="203" t="s">
        <v>1601</v>
      </c>
      <c r="B300" s="203" t="s">
        <v>1149</v>
      </c>
      <c r="C300" s="203" t="s">
        <v>1623</v>
      </c>
      <c r="D300" s="243">
        <v>70171701</v>
      </c>
      <c r="E300" s="216" t="s">
        <v>1624</v>
      </c>
      <c r="F300" s="228" t="s">
        <v>1625</v>
      </c>
      <c r="G300" s="188" t="s">
        <v>76</v>
      </c>
      <c r="H300" s="205" t="s">
        <v>75</v>
      </c>
      <c r="I300" s="217">
        <v>2</v>
      </c>
      <c r="J300" s="187" t="s">
        <v>940</v>
      </c>
      <c r="K300" s="218">
        <v>10560000</v>
      </c>
      <c r="L300" s="219"/>
      <c r="M300" s="218">
        <v>0</v>
      </c>
      <c r="N300" s="218">
        <v>10560000</v>
      </c>
      <c r="O300" s="203" t="s">
        <v>791</v>
      </c>
      <c r="P300" s="203" t="s">
        <v>89</v>
      </c>
      <c r="Q300" s="220">
        <v>10560000</v>
      </c>
      <c r="R300" s="220">
        <v>0</v>
      </c>
      <c r="S300" s="220">
        <v>0</v>
      </c>
      <c r="T300" s="220">
        <v>0</v>
      </c>
      <c r="U300" s="203" t="s">
        <v>1622</v>
      </c>
      <c r="V300" s="204"/>
      <c r="W300" s="207"/>
      <c r="X300" s="225" t="s">
        <v>1618</v>
      </c>
      <c r="Y300" s="225" t="s">
        <v>1618</v>
      </c>
      <c r="Z300" s="225" t="s">
        <v>1626</v>
      </c>
    </row>
    <row r="301" spans="1:26" ht="43" customHeight="1" x14ac:dyDescent="0.35">
      <c r="A301" s="203" t="s">
        <v>1601</v>
      </c>
      <c r="B301" s="203" t="s">
        <v>1149</v>
      </c>
      <c r="C301" s="203" t="s">
        <v>1627</v>
      </c>
      <c r="D301" s="243">
        <v>52161505</v>
      </c>
      <c r="E301" s="216" t="s">
        <v>1628</v>
      </c>
      <c r="F301" s="228" t="s">
        <v>1629</v>
      </c>
      <c r="G301" s="188" t="s">
        <v>69</v>
      </c>
      <c r="H301" s="205" t="s">
        <v>1630</v>
      </c>
      <c r="I301" s="217">
        <v>1</v>
      </c>
      <c r="J301" s="187" t="s">
        <v>940</v>
      </c>
      <c r="K301" s="218">
        <v>5950000</v>
      </c>
      <c r="L301" s="219">
        <v>0.19</v>
      </c>
      <c r="M301" s="218">
        <v>1130500</v>
      </c>
      <c r="N301" s="218">
        <v>7080500</v>
      </c>
      <c r="O301" s="203" t="s">
        <v>791</v>
      </c>
      <c r="P301" s="203" t="s">
        <v>89</v>
      </c>
      <c r="Q301" s="220">
        <v>7080500</v>
      </c>
      <c r="R301" s="220">
        <v>0</v>
      </c>
      <c r="S301" s="220">
        <v>0</v>
      </c>
      <c r="T301" s="220">
        <v>0</v>
      </c>
      <c r="U301" s="203" t="s">
        <v>1631</v>
      </c>
      <c r="V301" s="204"/>
      <c r="W301" s="207"/>
      <c r="X301" s="225" t="s">
        <v>1070</v>
      </c>
      <c r="Y301" s="225" t="s">
        <v>1071</v>
      </c>
      <c r="Z301" s="225"/>
    </row>
    <row r="302" spans="1:26" ht="43" customHeight="1" x14ac:dyDescent="0.35">
      <c r="A302" s="203" t="s">
        <v>1601</v>
      </c>
      <c r="B302" s="203" t="s">
        <v>1149</v>
      </c>
      <c r="C302" s="203" t="s">
        <v>1627</v>
      </c>
      <c r="D302" s="243">
        <v>72111000</v>
      </c>
      <c r="E302" s="216" t="s">
        <v>1632</v>
      </c>
      <c r="F302" s="228" t="s">
        <v>1633</v>
      </c>
      <c r="G302" s="188" t="s">
        <v>69</v>
      </c>
      <c r="H302" s="205" t="s">
        <v>1630</v>
      </c>
      <c r="I302" s="217">
        <v>1</v>
      </c>
      <c r="J302" s="187" t="s">
        <v>1186</v>
      </c>
      <c r="K302" s="218">
        <v>800000</v>
      </c>
      <c r="L302" s="219">
        <v>0.19</v>
      </c>
      <c r="M302" s="218">
        <v>152000</v>
      </c>
      <c r="N302" s="218">
        <v>952000</v>
      </c>
      <c r="O302" s="203" t="s">
        <v>791</v>
      </c>
      <c r="P302" s="203" t="s">
        <v>89</v>
      </c>
      <c r="Q302" s="220">
        <v>952000</v>
      </c>
      <c r="R302" s="220">
        <v>0</v>
      </c>
      <c r="S302" s="220">
        <v>0</v>
      </c>
      <c r="T302" s="220">
        <v>0</v>
      </c>
      <c r="U302" s="203" t="s">
        <v>1631</v>
      </c>
      <c r="V302" s="204"/>
      <c r="W302" s="207"/>
      <c r="X302" s="225" t="s">
        <v>1618</v>
      </c>
      <c r="Y302" s="225" t="s">
        <v>1618</v>
      </c>
      <c r="Z302" s="225"/>
    </row>
    <row r="303" spans="1:26" ht="43" customHeight="1" x14ac:dyDescent="0.35">
      <c r="A303" s="203" t="s">
        <v>1601</v>
      </c>
      <c r="B303" s="203" t="s">
        <v>1149</v>
      </c>
      <c r="C303" s="203" t="s">
        <v>1627</v>
      </c>
      <c r="D303" s="243">
        <v>72101511</v>
      </c>
      <c r="E303" s="216" t="s">
        <v>1007</v>
      </c>
      <c r="F303" s="228" t="s">
        <v>1634</v>
      </c>
      <c r="G303" s="188" t="s">
        <v>67</v>
      </c>
      <c r="H303" s="205" t="s">
        <v>68</v>
      </c>
      <c r="I303" s="217">
        <v>12</v>
      </c>
      <c r="J303" s="187" t="s">
        <v>940</v>
      </c>
      <c r="K303" s="218">
        <v>12179202</v>
      </c>
      <c r="L303" s="219">
        <v>0.19</v>
      </c>
      <c r="M303" s="218">
        <v>2314048.38</v>
      </c>
      <c r="N303" s="218">
        <v>14493250</v>
      </c>
      <c r="O303" s="203" t="s">
        <v>791</v>
      </c>
      <c r="P303" s="203" t="s">
        <v>89</v>
      </c>
      <c r="Q303" s="220">
        <v>14493250</v>
      </c>
      <c r="R303" s="220">
        <v>0</v>
      </c>
      <c r="S303" s="220">
        <v>0</v>
      </c>
      <c r="T303" s="220">
        <v>0</v>
      </c>
      <c r="U303" s="203" t="s">
        <v>1631</v>
      </c>
      <c r="V303" s="204"/>
      <c r="W303" s="207"/>
      <c r="X303" s="225" t="s">
        <v>1635</v>
      </c>
      <c r="Y303" s="225" t="s">
        <v>1636</v>
      </c>
      <c r="Z303" s="225"/>
    </row>
    <row r="304" spans="1:26" ht="43" customHeight="1" x14ac:dyDescent="0.35">
      <c r="A304" s="203" t="s">
        <v>1601</v>
      </c>
      <c r="B304" s="203" t="s">
        <v>1149</v>
      </c>
      <c r="C304" s="203" t="s">
        <v>1627</v>
      </c>
      <c r="D304" s="243">
        <v>70111703</v>
      </c>
      <c r="E304" s="216" t="s">
        <v>1637</v>
      </c>
      <c r="F304" s="228" t="s">
        <v>1638</v>
      </c>
      <c r="G304" s="188" t="s">
        <v>71</v>
      </c>
      <c r="H304" s="205" t="s">
        <v>1639</v>
      </c>
      <c r="I304" s="217">
        <v>1</v>
      </c>
      <c r="J304" s="187" t="s">
        <v>940</v>
      </c>
      <c r="K304" s="218">
        <v>3000000</v>
      </c>
      <c r="L304" s="219">
        <v>0.19</v>
      </c>
      <c r="M304" s="218">
        <v>570000</v>
      </c>
      <c r="N304" s="218">
        <v>3570000</v>
      </c>
      <c r="O304" s="203" t="s">
        <v>791</v>
      </c>
      <c r="P304" s="203" t="s">
        <v>89</v>
      </c>
      <c r="Q304" s="220">
        <v>3570000</v>
      </c>
      <c r="R304" s="220">
        <v>0</v>
      </c>
      <c r="S304" s="220">
        <v>0</v>
      </c>
      <c r="T304" s="220">
        <v>0</v>
      </c>
      <c r="U304" s="203" t="s">
        <v>1631</v>
      </c>
      <c r="V304" s="204"/>
      <c r="W304" s="207"/>
      <c r="X304" s="225" t="s">
        <v>1618</v>
      </c>
      <c r="Y304" s="225" t="s">
        <v>1618</v>
      </c>
      <c r="Z304" s="225"/>
    </row>
    <row r="305" spans="1:26" ht="43" customHeight="1" x14ac:dyDescent="0.35">
      <c r="A305" s="203" t="s">
        <v>1601</v>
      </c>
      <c r="B305" s="203" t="s">
        <v>1149</v>
      </c>
      <c r="C305" s="203" t="s">
        <v>1627</v>
      </c>
      <c r="D305" s="243">
        <v>72151302</v>
      </c>
      <c r="E305" s="216" t="s">
        <v>1640</v>
      </c>
      <c r="F305" s="228" t="s">
        <v>1641</v>
      </c>
      <c r="G305" s="188" t="s">
        <v>72</v>
      </c>
      <c r="H305" s="205" t="s">
        <v>73</v>
      </c>
      <c r="I305" s="217">
        <v>2</v>
      </c>
      <c r="J305" s="187" t="s">
        <v>940</v>
      </c>
      <c r="K305" s="218">
        <v>25000000</v>
      </c>
      <c r="L305" s="219">
        <v>0.19</v>
      </c>
      <c r="M305" s="218">
        <v>4750000</v>
      </c>
      <c r="N305" s="218">
        <v>29750000</v>
      </c>
      <c r="O305" s="203" t="s">
        <v>791</v>
      </c>
      <c r="P305" s="203" t="s">
        <v>89</v>
      </c>
      <c r="Q305" s="220">
        <v>29750000</v>
      </c>
      <c r="R305" s="220">
        <v>0</v>
      </c>
      <c r="S305" s="220">
        <v>0</v>
      </c>
      <c r="T305" s="220">
        <v>0</v>
      </c>
      <c r="U305" s="203" t="s">
        <v>1631</v>
      </c>
      <c r="V305" s="204"/>
      <c r="W305" s="207"/>
      <c r="X305" s="225" t="s">
        <v>1618</v>
      </c>
      <c r="Y305" s="225" t="s">
        <v>1618</v>
      </c>
      <c r="Z305" s="225"/>
    </row>
    <row r="306" spans="1:26" ht="43" customHeight="1" x14ac:dyDescent="0.35">
      <c r="A306" s="203" t="s">
        <v>1601</v>
      </c>
      <c r="B306" s="203" t="s">
        <v>1149</v>
      </c>
      <c r="C306" s="203" t="s">
        <v>1627</v>
      </c>
      <c r="D306" s="243">
        <v>72153605</v>
      </c>
      <c r="E306" s="216" t="s">
        <v>1642</v>
      </c>
      <c r="F306" s="228" t="s">
        <v>1643</v>
      </c>
      <c r="G306" s="188" t="s">
        <v>72</v>
      </c>
      <c r="H306" s="205" t="s">
        <v>1644</v>
      </c>
      <c r="I306" s="217">
        <v>1</v>
      </c>
      <c r="J306" s="187" t="s">
        <v>1186</v>
      </c>
      <c r="K306" s="218">
        <v>1500000</v>
      </c>
      <c r="L306" s="219">
        <v>0.19</v>
      </c>
      <c r="M306" s="218">
        <v>285000</v>
      </c>
      <c r="N306" s="218">
        <v>1785000</v>
      </c>
      <c r="O306" s="203" t="s">
        <v>791</v>
      </c>
      <c r="P306" s="203" t="s">
        <v>89</v>
      </c>
      <c r="Q306" s="220">
        <v>1785000</v>
      </c>
      <c r="R306" s="220">
        <v>0</v>
      </c>
      <c r="S306" s="220">
        <v>0</v>
      </c>
      <c r="T306" s="220">
        <v>0</v>
      </c>
      <c r="U306" s="203" t="s">
        <v>1631</v>
      </c>
      <c r="V306" s="204"/>
      <c r="W306" s="207"/>
      <c r="X306" s="225" t="s">
        <v>1618</v>
      </c>
      <c r="Y306" s="225" t="s">
        <v>1618</v>
      </c>
      <c r="Z306" s="225"/>
    </row>
    <row r="307" spans="1:26" ht="43" customHeight="1" x14ac:dyDescent="0.35">
      <c r="A307" s="203" t="s">
        <v>1601</v>
      </c>
      <c r="B307" s="203" t="s">
        <v>1149</v>
      </c>
      <c r="C307" s="203" t="s">
        <v>1627</v>
      </c>
      <c r="D307" s="243">
        <v>78181703</v>
      </c>
      <c r="E307" s="216" t="s">
        <v>1645</v>
      </c>
      <c r="F307" s="228" t="s">
        <v>1646</v>
      </c>
      <c r="G307" s="188" t="s">
        <v>67</v>
      </c>
      <c r="H307" s="205" t="s">
        <v>1647</v>
      </c>
      <c r="I307" s="217">
        <v>1</v>
      </c>
      <c r="J307" s="187" t="s">
        <v>940</v>
      </c>
      <c r="K307" s="218">
        <v>14875000</v>
      </c>
      <c r="L307" s="219">
        <v>0.19</v>
      </c>
      <c r="M307" s="218">
        <v>2826250</v>
      </c>
      <c r="N307" s="218">
        <v>17701250</v>
      </c>
      <c r="O307" s="203" t="s">
        <v>791</v>
      </c>
      <c r="P307" s="203" t="s">
        <v>89</v>
      </c>
      <c r="Q307" s="220">
        <v>17701250</v>
      </c>
      <c r="R307" s="220">
        <v>0</v>
      </c>
      <c r="S307" s="220">
        <v>0</v>
      </c>
      <c r="T307" s="220">
        <v>0</v>
      </c>
      <c r="U307" s="203" t="s">
        <v>1631</v>
      </c>
      <c r="V307" s="204"/>
      <c r="W307" s="207"/>
      <c r="X307" s="225" t="s">
        <v>935</v>
      </c>
      <c r="Y307" s="225" t="s">
        <v>1648</v>
      </c>
      <c r="Z307" s="225"/>
    </row>
    <row r="308" spans="1:26" ht="43" customHeight="1" x14ac:dyDescent="0.35">
      <c r="A308" s="203" t="s">
        <v>1601</v>
      </c>
      <c r="B308" s="203" t="s">
        <v>1149</v>
      </c>
      <c r="C308" s="203" t="s">
        <v>1627</v>
      </c>
      <c r="D308" s="243">
        <v>72121103</v>
      </c>
      <c r="E308" s="216" t="s">
        <v>1649</v>
      </c>
      <c r="F308" s="228" t="s">
        <v>1650</v>
      </c>
      <c r="G308" s="188" t="s">
        <v>72</v>
      </c>
      <c r="H308" s="205" t="s">
        <v>1644</v>
      </c>
      <c r="I308" s="217">
        <v>1</v>
      </c>
      <c r="J308" s="187" t="s">
        <v>940</v>
      </c>
      <c r="K308" s="218">
        <v>18500000</v>
      </c>
      <c r="L308" s="219">
        <v>0.19</v>
      </c>
      <c r="M308" s="218">
        <v>3515000</v>
      </c>
      <c r="N308" s="218">
        <v>22015000</v>
      </c>
      <c r="O308" s="203" t="s">
        <v>791</v>
      </c>
      <c r="P308" s="203" t="s">
        <v>89</v>
      </c>
      <c r="Q308" s="220">
        <v>22015000</v>
      </c>
      <c r="R308" s="220">
        <v>0</v>
      </c>
      <c r="S308" s="220">
        <v>0</v>
      </c>
      <c r="T308" s="220">
        <v>0</v>
      </c>
      <c r="U308" s="203" t="s">
        <v>1631</v>
      </c>
      <c r="V308" s="204"/>
      <c r="W308" s="207"/>
      <c r="X308" s="225" t="s">
        <v>1618</v>
      </c>
      <c r="Y308" s="225" t="s">
        <v>1618</v>
      </c>
      <c r="Z308" s="225"/>
    </row>
    <row r="309" spans="1:26" ht="43" customHeight="1" x14ac:dyDescent="0.35">
      <c r="A309" s="203" t="s">
        <v>1601</v>
      </c>
      <c r="B309" s="203" t="s">
        <v>1149</v>
      </c>
      <c r="C309" s="203" t="s">
        <v>1627</v>
      </c>
      <c r="D309" s="243">
        <v>72154028</v>
      </c>
      <c r="E309" s="216" t="s">
        <v>1651</v>
      </c>
      <c r="F309" s="228" t="s">
        <v>1652</v>
      </c>
      <c r="G309" s="188" t="s">
        <v>69</v>
      </c>
      <c r="H309" s="205" t="s">
        <v>1630</v>
      </c>
      <c r="I309" s="217">
        <v>1</v>
      </c>
      <c r="J309" s="187" t="s">
        <v>940</v>
      </c>
      <c r="K309" s="218">
        <v>15000000</v>
      </c>
      <c r="L309" s="219">
        <v>0.19</v>
      </c>
      <c r="M309" s="218">
        <v>2850000</v>
      </c>
      <c r="N309" s="218">
        <v>17850000</v>
      </c>
      <c r="O309" s="203" t="s">
        <v>791</v>
      </c>
      <c r="P309" s="203" t="s">
        <v>89</v>
      </c>
      <c r="Q309" s="220">
        <v>17850000</v>
      </c>
      <c r="R309" s="220">
        <v>0</v>
      </c>
      <c r="S309" s="220">
        <v>0</v>
      </c>
      <c r="T309" s="220">
        <v>0</v>
      </c>
      <c r="U309" s="203" t="s">
        <v>1631</v>
      </c>
      <c r="V309" s="204"/>
      <c r="W309" s="207"/>
      <c r="X309" s="225" t="s">
        <v>1618</v>
      </c>
      <c r="Y309" s="225" t="s">
        <v>1618</v>
      </c>
      <c r="Z309" s="225"/>
    </row>
    <row r="310" spans="1:26" ht="43" customHeight="1" x14ac:dyDescent="0.35">
      <c r="A310" s="203" t="s">
        <v>1601</v>
      </c>
      <c r="B310" s="203" t="s">
        <v>1149</v>
      </c>
      <c r="C310" s="203" t="s">
        <v>1627</v>
      </c>
      <c r="D310" s="243">
        <v>72102900</v>
      </c>
      <c r="E310" s="216" t="s">
        <v>1653</v>
      </c>
      <c r="F310" s="228" t="s">
        <v>1654</v>
      </c>
      <c r="G310" s="188" t="s">
        <v>72</v>
      </c>
      <c r="H310" s="205" t="s">
        <v>73</v>
      </c>
      <c r="I310" s="217">
        <v>1</v>
      </c>
      <c r="J310" s="187" t="s">
        <v>940</v>
      </c>
      <c r="K310" s="218">
        <v>5000000</v>
      </c>
      <c r="L310" s="219">
        <v>0.19</v>
      </c>
      <c r="M310" s="218">
        <v>950000</v>
      </c>
      <c r="N310" s="218">
        <v>5950000</v>
      </c>
      <c r="O310" s="203" t="s">
        <v>791</v>
      </c>
      <c r="P310" s="203" t="s">
        <v>89</v>
      </c>
      <c r="Q310" s="220">
        <v>5950000</v>
      </c>
      <c r="R310" s="220">
        <v>0</v>
      </c>
      <c r="S310" s="220">
        <v>0</v>
      </c>
      <c r="T310" s="220">
        <v>0</v>
      </c>
      <c r="U310" s="203" t="s">
        <v>1631</v>
      </c>
      <c r="V310" s="204"/>
      <c r="W310" s="207"/>
      <c r="X310" s="225" t="s">
        <v>1618</v>
      </c>
      <c r="Y310" s="225" t="s">
        <v>1618</v>
      </c>
      <c r="Z310" s="225"/>
    </row>
    <row r="311" spans="1:26" ht="43" customHeight="1" x14ac:dyDescent="0.35">
      <c r="A311" s="203" t="s">
        <v>1601</v>
      </c>
      <c r="B311" s="203" t="s">
        <v>1149</v>
      </c>
      <c r="C311" s="203" t="s">
        <v>1627</v>
      </c>
      <c r="D311" s="243">
        <v>72102900</v>
      </c>
      <c r="E311" s="216" t="s">
        <v>1655</v>
      </c>
      <c r="F311" s="228" t="s">
        <v>1656</v>
      </c>
      <c r="G311" s="188" t="s">
        <v>72</v>
      </c>
      <c r="H311" s="205" t="s">
        <v>73</v>
      </c>
      <c r="I311" s="217">
        <v>1</v>
      </c>
      <c r="J311" s="187" t="s">
        <v>940</v>
      </c>
      <c r="K311" s="218">
        <v>15000000</v>
      </c>
      <c r="L311" s="219">
        <v>0.19</v>
      </c>
      <c r="M311" s="218">
        <v>2850000</v>
      </c>
      <c r="N311" s="218">
        <v>17850000</v>
      </c>
      <c r="O311" s="203" t="s">
        <v>791</v>
      </c>
      <c r="P311" s="203" t="s">
        <v>89</v>
      </c>
      <c r="Q311" s="220">
        <v>17850000</v>
      </c>
      <c r="R311" s="220">
        <v>0</v>
      </c>
      <c r="S311" s="220">
        <v>0</v>
      </c>
      <c r="T311" s="220">
        <v>0</v>
      </c>
      <c r="U311" s="203" t="s">
        <v>1631</v>
      </c>
      <c r="V311" s="204"/>
      <c r="W311" s="207"/>
      <c r="X311" s="225" t="s">
        <v>1618</v>
      </c>
      <c r="Y311" s="225" t="s">
        <v>1618</v>
      </c>
      <c r="Z311" s="225"/>
    </row>
    <row r="312" spans="1:26" ht="43" customHeight="1" x14ac:dyDescent="0.35">
      <c r="A312" s="203" t="s">
        <v>1601</v>
      </c>
      <c r="B312" s="203" t="s">
        <v>1149</v>
      </c>
      <c r="C312" s="203" t="s">
        <v>1627</v>
      </c>
      <c r="D312" s="243">
        <v>52141501</v>
      </c>
      <c r="E312" s="216" t="s">
        <v>1657</v>
      </c>
      <c r="F312" s="228" t="s">
        <v>1658</v>
      </c>
      <c r="G312" s="188" t="s">
        <v>70</v>
      </c>
      <c r="H312" s="205" t="s">
        <v>71</v>
      </c>
      <c r="I312" s="217">
        <v>1</v>
      </c>
      <c r="J312" s="187" t="s">
        <v>940</v>
      </c>
      <c r="K312" s="218">
        <v>3750000</v>
      </c>
      <c r="L312" s="219">
        <v>0.19</v>
      </c>
      <c r="M312" s="218">
        <v>712500</v>
      </c>
      <c r="N312" s="218">
        <v>4462500</v>
      </c>
      <c r="O312" s="203" t="s">
        <v>791</v>
      </c>
      <c r="P312" s="203" t="s">
        <v>89</v>
      </c>
      <c r="Q312" s="220">
        <v>4462500</v>
      </c>
      <c r="R312" s="220">
        <v>0</v>
      </c>
      <c r="S312" s="220">
        <v>0</v>
      </c>
      <c r="T312" s="220">
        <v>0</v>
      </c>
      <c r="U312" s="203" t="s">
        <v>1631</v>
      </c>
      <c r="V312" s="204"/>
      <c r="W312" s="207"/>
      <c r="X312" s="225" t="s">
        <v>1070</v>
      </c>
      <c r="Y312" s="225" t="s">
        <v>1071</v>
      </c>
      <c r="Z312" s="225"/>
    </row>
    <row r="313" spans="1:26" ht="43" customHeight="1" x14ac:dyDescent="0.35">
      <c r="A313" s="203" t="s">
        <v>1601</v>
      </c>
      <c r="B313" s="203" t="s">
        <v>1149</v>
      </c>
      <c r="C313" s="203" t="s">
        <v>1627</v>
      </c>
      <c r="D313" s="243">
        <v>80141902</v>
      </c>
      <c r="E313" s="216" t="s">
        <v>1603</v>
      </c>
      <c r="F313" s="228" t="s">
        <v>1604</v>
      </c>
      <c r="G313" s="188" t="s">
        <v>69</v>
      </c>
      <c r="H313" s="205" t="s">
        <v>69</v>
      </c>
      <c r="I313" s="217">
        <v>1</v>
      </c>
      <c r="J313" s="187" t="s">
        <v>940</v>
      </c>
      <c r="K313" s="218">
        <v>9000000</v>
      </c>
      <c r="L313" s="219">
        <v>0.19</v>
      </c>
      <c r="M313" s="218">
        <v>1710000</v>
      </c>
      <c r="N313" s="218">
        <v>10710000</v>
      </c>
      <c r="O313" s="203" t="s">
        <v>791</v>
      </c>
      <c r="P313" s="203" t="s">
        <v>89</v>
      </c>
      <c r="Q313" s="220">
        <v>10710000</v>
      </c>
      <c r="R313" s="220">
        <v>0</v>
      </c>
      <c r="S313" s="220">
        <v>0</v>
      </c>
      <c r="T313" s="220">
        <v>0</v>
      </c>
      <c r="U313" s="203" t="s">
        <v>1631</v>
      </c>
      <c r="V313" s="204"/>
      <c r="W313" s="207"/>
      <c r="X313" s="225" t="s">
        <v>1228</v>
      </c>
      <c r="Y313" s="225" t="s">
        <v>1234</v>
      </c>
      <c r="Z313" s="225" t="s">
        <v>1235</v>
      </c>
    </row>
    <row r="314" spans="1:26" ht="43" customHeight="1" x14ac:dyDescent="0.35">
      <c r="A314" s="203" t="s">
        <v>1601</v>
      </c>
      <c r="B314" s="203" t="s">
        <v>1149</v>
      </c>
      <c r="C314" s="203" t="s">
        <v>1627</v>
      </c>
      <c r="D314" s="243">
        <v>80141902</v>
      </c>
      <c r="E314" s="216" t="s">
        <v>1603</v>
      </c>
      <c r="F314" s="228" t="s">
        <v>1606</v>
      </c>
      <c r="G314" s="188" t="s">
        <v>77</v>
      </c>
      <c r="H314" s="205" t="s">
        <v>77</v>
      </c>
      <c r="I314" s="217">
        <v>1</v>
      </c>
      <c r="J314" s="187" t="s">
        <v>940</v>
      </c>
      <c r="K314" s="218">
        <v>9000000</v>
      </c>
      <c r="L314" s="219">
        <v>0.19</v>
      </c>
      <c r="M314" s="218">
        <v>1710000</v>
      </c>
      <c r="N314" s="218">
        <v>10710000</v>
      </c>
      <c r="O314" s="203" t="s">
        <v>791</v>
      </c>
      <c r="P314" s="203" t="s">
        <v>89</v>
      </c>
      <c r="Q314" s="220">
        <v>10710000</v>
      </c>
      <c r="R314" s="220">
        <v>0</v>
      </c>
      <c r="S314" s="220">
        <v>0</v>
      </c>
      <c r="T314" s="220">
        <v>0</v>
      </c>
      <c r="U314" s="203" t="s">
        <v>1631</v>
      </c>
      <c r="V314" s="204"/>
      <c r="W314" s="207"/>
      <c r="X314" s="225" t="s">
        <v>1228</v>
      </c>
      <c r="Y314" s="225" t="s">
        <v>1229</v>
      </c>
      <c r="Z314" s="225" t="s">
        <v>1230</v>
      </c>
    </row>
    <row r="315" spans="1:26" ht="43" customHeight="1" x14ac:dyDescent="0.35">
      <c r="A315" s="203" t="s">
        <v>1601</v>
      </c>
      <c r="B315" s="203" t="s">
        <v>1149</v>
      </c>
      <c r="C315" s="203" t="s">
        <v>1627</v>
      </c>
      <c r="D315" s="243">
        <v>80141902</v>
      </c>
      <c r="E315" s="216" t="s">
        <v>1603</v>
      </c>
      <c r="F315" s="228" t="s">
        <v>772</v>
      </c>
      <c r="G315" s="188" t="s">
        <v>77</v>
      </c>
      <c r="H315" s="205" t="s">
        <v>78</v>
      </c>
      <c r="I315" s="217">
        <v>1</v>
      </c>
      <c r="J315" s="187" t="s">
        <v>1186</v>
      </c>
      <c r="K315" s="218">
        <v>3750000</v>
      </c>
      <c r="L315" s="219">
        <v>0.19</v>
      </c>
      <c r="M315" s="218">
        <v>712500</v>
      </c>
      <c r="N315" s="218">
        <v>4462500</v>
      </c>
      <c r="O315" s="203" t="s">
        <v>791</v>
      </c>
      <c r="P315" s="203" t="s">
        <v>89</v>
      </c>
      <c r="Q315" s="220">
        <v>4462500</v>
      </c>
      <c r="R315" s="220">
        <v>0</v>
      </c>
      <c r="S315" s="220">
        <v>0</v>
      </c>
      <c r="T315" s="220">
        <v>0</v>
      </c>
      <c r="U315" s="203" t="s">
        <v>1631</v>
      </c>
      <c r="V315" s="204"/>
      <c r="W315" s="207"/>
      <c r="X315" s="225" t="s">
        <v>1608</v>
      </c>
      <c r="Y315" s="225" t="s">
        <v>1609</v>
      </c>
      <c r="Z315" s="225"/>
    </row>
    <row r="316" spans="1:26" ht="43" customHeight="1" x14ac:dyDescent="0.35">
      <c r="A316" s="203" t="s">
        <v>1601</v>
      </c>
      <c r="B316" s="203" t="s">
        <v>1149</v>
      </c>
      <c r="C316" s="203" t="s">
        <v>1627</v>
      </c>
      <c r="D316" s="243">
        <v>80141902</v>
      </c>
      <c r="E316" s="216" t="s">
        <v>1603</v>
      </c>
      <c r="F316" s="228" t="s">
        <v>1607</v>
      </c>
      <c r="G316" s="188" t="s">
        <v>72</v>
      </c>
      <c r="H316" s="205" t="s">
        <v>73</v>
      </c>
      <c r="I316" s="217">
        <v>1</v>
      </c>
      <c r="J316" s="187" t="s">
        <v>1186</v>
      </c>
      <c r="K316" s="218">
        <v>3750000</v>
      </c>
      <c r="L316" s="219">
        <v>0.19</v>
      </c>
      <c r="M316" s="218">
        <v>712500</v>
      </c>
      <c r="N316" s="218">
        <v>4462500</v>
      </c>
      <c r="O316" s="203" t="s">
        <v>791</v>
      </c>
      <c r="P316" s="203" t="s">
        <v>89</v>
      </c>
      <c r="Q316" s="220">
        <v>4462500</v>
      </c>
      <c r="R316" s="220">
        <v>0</v>
      </c>
      <c r="S316" s="220">
        <v>0</v>
      </c>
      <c r="T316" s="220">
        <v>0</v>
      </c>
      <c r="U316" s="203" t="s">
        <v>1631</v>
      </c>
      <c r="V316" s="204"/>
      <c r="W316" s="207"/>
      <c r="X316" s="225" t="s">
        <v>1608</v>
      </c>
      <c r="Y316" s="225" t="s">
        <v>1609</v>
      </c>
      <c r="Z316" s="225"/>
    </row>
    <row r="317" spans="1:26" ht="43" customHeight="1" x14ac:dyDescent="0.35">
      <c r="A317" s="203" t="s">
        <v>1601</v>
      </c>
      <c r="B317" s="203" t="s">
        <v>1149</v>
      </c>
      <c r="C317" s="203" t="s">
        <v>1627</v>
      </c>
      <c r="D317" s="243">
        <v>52131604</v>
      </c>
      <c r="E317" s="216" t="s">
        <v>1659</v>
      </c>
      <c r="F317" s="228" t="s">
        <v>1660</v>
      </c>
      <c r="G317" s="188" t="s">
        <v>70</v>
      </c>
      <c r="H317" s="205" t="s">
        <v>71</v>
      </c>
      <c r="I317" s="217">
        <v>1</v>
      </c>
      <c r="J317" s="187" t="s">
        <v>940</v>
      </c>
      <c r="K317" s="218">
        <v>15000000</v>
      </c>
      <c r="L317" s="219">
        <v>0.19</v>
      </c>
      <c r="M317" s="218">
        <v>2850000</v>
      </c>
      <c r="N317" s="218">
        <v>17850000</v>
      </c>
      <c r="O317" s="203" t="s">
        <v>791</v>
      </c>
      <c r="P317" s="203" t="s">
        <v>89</v>
      </c>
      <c r="Q317" s="220">
        <v>17850000</v>
      </c>
      <c r="R317" s="220">
        <v>0</v>
      </c>
      <c r="S317" s="220">
        <v>0</v>
      </c>
      <c r="T317" s="220">
        <v>0</v>
      </c>
      <c r="U317" s="203" t="s">
        <v>1631</v>
      </c>
      <c r="V317" s="204"/>
      <c r="W317" s="207"/>
      <c r="X317" s="225" t="s">
        <v>1618</v>
      </c>
      <c r="Y317" s="225" t="s">
        <v>1618</v>
      </c>
      <c r="Z317" s="225"/>
    </row>
    <row r="318" spans="1:26" ht="43" customHeight="1" x14ac:dyDescent="0.35">
      <c r="A318" s="203" t="s">
        <v>1601</v>
      </c>
      <c r="B318" s="203" t="s">
        <v>1149</v>
      </c>
      <c r="C318" s="203" t="s">
        <v>1627</v>
      </c>
      <c r="D318" s="243">
        <v>72111000</v>
      </c>
      <c r="E318" s="216" t="s">
        <v>1661</v>
      </c>
      <c r="F318" s="228" t="s">
        <v>1660</v>
      </c>
      <c r="G318" s="188" t="s">
        <v>70</v>
      </c>
      <c r="H318" s="205" t="s">
        <v>71</v>
      </c>
      <c r="I318" s="217">
        <v>1</v>
      </c>
      <c r="J318" s="187" t="s">
        <v>940</v>
      </c>
      <c r="K318" s="218">
        <v>3000000</v>
      </c>
      <c r="L318" s="219">
        <v>0.19</v>
      </c>
      <c r="M318" s="218">
        <v>570000</v>
      </c>
      <c r="N318" s="218">
        <v>3570000</v>
      </c>
      <c r="O318" s="203" t="s">
        <v>791</v>
      </c>
      <c r="P318" s="203" t="s">
        <v>89</v>
      </c>
      <c r="Q318" s="220">
        <v>3570000</v>
      </c>
      <c r="R318" s="220">
        <v>0</v>
      </c>
      <c r="S318" s="220">
        <v>0</v>
      </c>
      <c r="T318" s="220">
        <v>0</v>
      </c>
      <c r="U318" s="203" t="s">
        <v>1631</v>
      </c>
      <c r="V318" s="204"/>
      <c r="W318" s="207"/>
      <c r="X318" s="225" t="s">
        <v>1618</v>
      </c>
      <c r="Y318" s="225" t="s">
        <v>1618</v>
      </c>
      <c r="Z318" s="225"/>
    </row>
    <row r="319" spans="1:26" ht="43" customHeight="1" x14ac:dyDescent="0.35">
      <c r="A319" s="203" t="s">
        <v>1601</v>
      </c>
      <c r="B319" s="203" t="s">
        <v>1149</v>
      </c>
      <c r="C319" s="203" t="s">
        <v>1627</v>
      </c>
      <c r="D319" s="243">
        <v>40101701</v>
      </c>
      <c r="E319" s="216" t="s">
        <v>1662</v>
      </c>
      <c r="F319" s="228" t="s">
        <v>1663</v>
      </c>
      <c r="G319" s="188" t="s">
        <v>70</v>
      </c>
      <c r="H319" s="205" t="s">
        <v>71</v>
      </c>
      <c r="I319" s="217">
        <v>3</v>
      </c>
      <c r="J319" s="187" t="s">
        <v>940</v>
      </c>
      <c r="K319" s="218">
        <v>26180000</v>
      </c>
      <c r="L319" s="219">
        <v>0.19</v>
      </c>
      <c r="M319" s="218">
        <v>4974200</v>
      </c>
      <c r="N319" s="218">
        <v>31154200</v>
      </c>
      <c r="O319" s="203" t="s">
        <v>791</v>
      </c>
      <c r="P319" s="203" t="s">
        <v>89</v>
      </c>
      <c r="Q319" s="220">
        <v>31154200</v>
      </c>
      <c r="R319" s="220">
        <v>0</v>
      </c>
      <c r="S319" s="220">
        <v>0</v>
      </c>
      <c r="T319" s="220">
        <v>0</v>
      </c>
      <c r="U319" s="203" t="s">
        <v>1631</v>
      </c>
      <c r="V319" s="204"/>
      <c r="W319" s="207"/>
      <c r="X319" s="225" t="s">
        <v>1070</v>
      </c>
      <c r="Y319" s="225" t="s">
        <v>1071</v>
      </c>
      <c r="Z319" s="225"/>
    </row>
    <row r="320" spans="1:26" ht="43" customHeight="1" x14ac:dyDescent="0.35">
      <c r="A320" s="203" t="s">
        <v>1601</v>
      </c>
      <c r="B320" s="203" t="s">
        <v>1149</v>
      </c>
      <c r="C320" s="203" t="s">
        <v>1627</v>
      </c>
      <c r="D320" s="243">
        <v>55121718</v>
      </c>
      <c r="E320" s="216" t="s">
        <v>1664</v>
      </c>
      <c r="F320" s="228" t="s">
        <v>1665</v>
      </c>
      <c r="G320" s="188" t="s">
        <v>69</v>
      </c>
      <c r="H320" s="205" t="s">
        <v>70</v>
      </c>
      <c r="I320" s="217">
        <v>1</v>
      </c>
      <c r="J320" s="187" t="s">
        <v>1186</v>
      </c>
      <c r="K320" s="218">
        <v>1500000</v>
      </c>
      <c r="L320" s="219">
        <v>0.19</v>
      </c>
      <c r="M320" s="218">
        <v>285000</v>
      </c>
      <c r="N320" s="218">
        <v>1785000</v>
      </c>
      <c r="O320" s="203" t="s">
        <v>791</v>
      </c>
      <c r="P320" s="203" t="s">
        <v>89</v>
      </c>
      <c r="Q320" s="220">
        <v>1785000</v>
      </c>
      <c r="R320" s="220">
        <v>0</v>
      </c>
      <c r="S320" s="220">
        <v>0</v>
      </c>
      <c r="T320" s="220">
        <v>0</v>
      </c>
      <c r="U320" s="203" t="s">
        <v>1631</v>
      </c>
      <c r="V320" s="204"/>
      <c r="W320" s="207"/>
      <c r="X320" s="225" t="s">
        <v>1041</v>
      </c>
      <c r="Y320" s="225" t="s">
        <v>1041</v>
      </c>
      <c r="Z320" s="225"/>
    </row>
    <row r="321" spans="1:26" ht="43" customHeight="1" x14ac:dyDescent="0.35">
      <c r="A321" s="203" t="s">
        <v>1601</v>
      </c>
      <c r="B321" s="203" t="s">
        <v>1149</v>
      </c>
      <c r="C321" s="203" t="s">
        <v>1627</v>
      </c>
      <c r="D321" s="243">
        <v>46191601</v>
      </c>
      <c r="E321" s="216" t="s">
        <v>1666</v>
      </c>
      <c r="F321" s="228" t="s">
        <v>1667</v>
      </c>
      <c r="G321" s="188" t="s">
        <v>71</v>
      </c>
      <c r="H321" s="205" t="s">
        <v>71</v>
      </c>
      <c r="I321" s="217">
        <v>1</v>
      </c>
      <c r="J321" s="187" t="s">
        <v>1186</v>
      </c>
      <c r="K321" s="218">
        <v>1800000</v>
      </c>
      <c r="L321" s="219">
        <v>0.19</v>
      </c>
      <c r="M321" s="218">
        <v>342000</v>
      </c>
      <c r="N321" s="218">
        <v>2142000</v>
      </c>
      <c r="O321" s="203" t="s">
        <v>791</v>
      </c>
      <c r="P321" s="203" t="s">
        <v>89</v>
      </c>
      <c r="Q321" s="220">
        <v>2142000</v>
      </c>
      <c r="R321" s="220">
        <v>0</v>
      </c>
      <c r="S321" s="220">
        <v>0</v>
      </c>
      <c r="T321" s="220">
        <v>0</v>
      </c>
      <c r="U321" s="203" t="s">
        <v>1631</v>
      </c>
      <c r="V321" s="204"/>
      <c r="W321" s="207"/>
      <c r="X321" s="225" t="s">
        <v>1041</v>
      </c>
      <c r="Y321" s="225" t="s">
        <v>1041</v>
      </c>
      <c r="Z321" s="225"/>
    </row>
    <row r="322" spans="1:26" ht="43" customHeight="1" x14ac:dyDescent="0.35">
      <c r="A322" s="203" t="s">
        <v>1601</v>
      </c>
      <c r="B322" s="203" t="s">
        <v>1149</v>
      </c>
      <c r="C322" s="203" t="s">
        <v>1627</v>
      </c>
      <c r="D322" s="243">
        <v>39112505</v>
      </c>
      <c r="E322" s="216" t="s">
        <v>1668</v>
      </c>
      <c r="F322" s="228" t="s">
        <v>1669</v>
      </c>
      <c r="G322" s="188" t="s">
        <v>68</v>
      </c>
      <c r="H322" s="205" t="s">
        <v>69</v>
      </c>
      <c r="I322" s="217">
        <v>1</v>
      </c>
      <c r="J322" s="187" t="s">
        <v>940</v>
      </c>
      <c r="K322" s="218">
        <v>1000000</v>
      </c>
      <c r="L322" s="219">
        <v>0.19</v>
      </c>
      <c r="M322" s="218">
        <v>190000</v>
      </c>
      <c r="N322" s="218">
        <v>1190000</v>
      </c>
      <c r="O322" s="203" t="s">
        <v>791</v>
      </c>
      <c r="P322" s="203" t="s">
        <v>89</v>
      </c>
      <c r="Q322" s="220">
        <v>1190000</v>
      </c>
      <c r="R322" s="220">
        <v>0</v>
      </c>
      <c r="S322" s="220">
        <v>0</v>
      </c>
      <c r="T322" s="220">
        <v>0</v>
      </c>
      <c r="U322" s="203" t="s">
        <v>1631</v>
      </c>
      <c r="V322" s="204"/>
      <c r="W322" s="207"/>
      <c r="X322" s="225" t="s">
        <v>1041</v>
      </c>
      <c r="Y322" s="225" t="s">
        <v>1041</v>
      </c>
      <c r="Z322" s="225"/>
    </row>
    <row r="323" spans="1:26" ht="43" customHeight="1" x14ac:dyDescent="0.35">
      <c r="A323" s="203" t="s">
        <v>1601</v>
      </c>
      <c r="B323" s="203" t="s">
        <v>1149</v>
      </c>
      <c r="C323" s="203" t="s">
        <v>1627</v>
      </c>
      <c r="D323" s="243">
        <v>72101516</v>
      </c>
      <c r="E323" s="216" t="s">
        <v>1670</v>
      </c>
      <c r="F323" s="228" t="s">
        <v>1671</v>
      </c>
      <c r="G323" s="188" t="s">
        <v>71</v>
      </c>
      <c r="H323" s="205" t="s">
        <v>71</v>
      </c>
      <c r="I323" s="217">
        <v>1</v>
      </c>
      <c r="J323" s="187" t="s">
        <v>1186</v>
      </c>
      <c r="K323" s="218">
        <v>849318</v>
      </c>
      <c r="L323" s="219">
        <v>0.19</v>
      </c>
      <c r="M323" s="218">
        <v>161370.42000000001</v>
      </c>
      <c r="N323" s="218">
        <v>1010688.42</v>
      </c>
      <c r="O323" s="203" t="s">
        <v>791</v>
      </c>
      <c r="P323" s="203" t="s">
        <v>89</v>
      </c>
      <c r="Q323" s="220">
        <v>1010688.42</v>
      </c>
      <c r="R323" s="220">
        <v>0</v>
      </c>
      <c r="S323" s="220">
        <v>0</v>
      </c>
      <c r="T323" s="220">
        <v>0</v>
      </c>
      <c r="U323" s="203" t="s">
        <v>1631</v>
      </c>
      <c r="V323" s="204"/>
      <c r="W323" s="207"/>
      <c r="X323" s="225" t="s">
        <v>1635</v>
      </c>
      <c r="Y323" s="225" t="s">
        <v>1636</v>
      </c>
      <c r="Z323" s="225"/>
    </row>
    <row r="324" spans="1:26" ht="43" customHeight="1" x14ac:dyDescent="0.35">
      <c r="A324" s="203" t="s">
        <v>1601</v>
      </c>
      <c r="B324" s="203" t="s">
        <v>1149</v>
      </c>
      <c r="C324" s="203" t="s">
        <v>1627</v>
      </c>
      <c r="D324" s="243">
        <v>80161801</v>
      </c>
      <c r="E324" s="216" t="s">
        <v>1672</v>
      </c>
      <c r="F324" s="228" t="s">
        <v>1673</v>
      </c>
      <c r="G324" s="188" t="s">
        <v>68</v>
      </c>
      <c r="H324" s="205" t="s">
        <v>68</v>
      </c>
      <c r="I324" s="217">
        <v>1</v>
      </c>
      <c r="J324" s="187" t="s">
        <v>940</v>
      </c>
      <c r="K324" s="218">
        <v>3800000</v>
      </c>
      <c r="L324" s="219">
        <v>0.19</v>
      </c>
      <c r="M324" s="218">
        <v>722000</v>
      </c>
      <c r="N324" s="218">
        <v>4522000</v>
      </c>
      <c r="O324" s="203" t="s">
        <v>791</v>
      </c>
      <c r="P324" s="203" t="s">
        <v>89</v>
      </c>
      <c r="Q324" s="220">
        <v>4522000</v>
      </c>
      <c r="R324" s="220">
        <v>0</v>
      </c>
      <c r="S324" s="220">
        <v>0</v>
      </c>
      <c r="T324" s="220">
        <v>0</v>
      </c>
      <c r="U324" s="203" t="s">
        <v>1631</v>
      </c>
      <c r="V324" s="204"/>
      <c r="W324" s="207"/>
      <c r="X324" s="225" t="s">
        <v>1674</v>
      </c>
      <c r="Y324" s="225" t="s">
        <v>1674</v>
      </c>
      <c r="Z324" s="225"/>
    </row>
    <row r="325" spans="1:26" ht="43" customHeight="1" x14ac:dyDescent="0.35">
      <c r="A325" s="203" t="s">
        <v>1601</v>
      </c>
      <c r="B325" s="203" t="s">
        <v>1149</v>
      </c>
      <c r="C325" s="203" t="s">
        <v>1675</v>
      </c>
      <c r="D325" s="243">
        <v>55121907</v>
      </c>
      <c r="E325" s="216" t="s">
        <v>1676</v>
      </c>
      <c r="F325" s="228" t="s">
        <v>1677</v>
      </c>
      <c r="G325" s="188" t="s">
        <v>71</v>
      </c>
      <c r="H325" s="205" t="s">
        <v>72</v>
      </c>
      <c r="I325" s="217">
        <v>1</v>
      </c>
      <c r="J325" s="187" t="s">
        <v>940</v>
      </c>
      <c r="K325" s="218">
        <v>7000000</v>
      </c>
      <c r="L325" s="219">
        <v>0.19</v>
      </c>
      <c r="M325" s="218">
        <v>1330000</v>
      </c>
      <c r="N325" s="218">
        <v>8330000</v>
      </c>
      <c r="O325" s="203" t="s">
        <v>791</v>
      </c>
      <c r="P325" s="203" t="s">
        <v>89</v>
      </c>
      <c r="Q325" s="220">
        <v>8330000</v>
      </c>
      <c r="R325" s="220">
        <v>0</v>
      </c>
      <c r="S325" s="220">
        <v>0</v>
      </c>
      <c r="T325" s="220">
        <v>0</v>
      </c>
      <c r="U325" s="203" t="s">
        <v>1678</v>
      </c>
      <c r="V325" s="204"/>
      <c r="W325" s="207"/>
      <c r="X325" s="225" t="s">
        <v>1618</v>
      </c>
      <c r="Y325" s="225" t="s">
        <v>1618</v>
      </c>
      <c r="Z325" s="225" t="s">
        <v>1619</v>
      </c>
    </row>
    <row r="326" spans="1:26" ht="43" customHeight="1" x14ac:dyDescent="0.35">
      <c r="A326" s="203" t="s">
        <v>1601</v>
      </c>
      <c r="B326" s="203" t="s">
        <v>1149</v>
      </c>
      <c r="C326" s="203" t="s">
        <v>1675</v>
      </c>
      <c r="D326" s="243">
        <v>80141902</v>
      </c>
      <c r="E326" s="216" t="s">
        <v>1603</v>
      </c>
      <c r="F326" s="228" t="s">
        <v>1604</v>
      </c>
      <c r="G326" s="188" t="s">
        <v>69</v>
      </c>
      <c r="H326" s="205" t="s">
        <v>69</v>
      </c>
      <c r="I326" s="217">
        <v>1</v>
      </c>
      <c r="J326" s="187" t="s">
        <v>940</v>
      </c>
      <c r="K326" s="218">
        <v>2000000</v>
      </c>
      <c r="L326" s="219">
        <v>0.19</v>
      </c>
      <c r="M326" s="218">
        <v>380000</v>
      </c>
      <c r="N326" s="218">
        <v>2380000</v>
      </c>
      <c r="O326" s="203" t="s">
        <v>791</v>
      </c>
      <c r="P326" s="203" t="s">
        <v>89</v>
      </c>
      <c r="Q326" s="220">
        <v>2380000</v>
      </c>
      <c r="R326" s="220">
        <v>0</v>
      </c>
      <c r="S326" s="220">
        <v>0</v>
      </c>
      <c r="T326" s="220">
        <v>0</v>
      </c>
      <c r="U326" s="203" t="s">
        <v>1678</v>
      </c>
      <c r="V326" s="204"/>
      <c r="W326" s="207"/>
      <c r="X326" s="225" t="s">
        <v>1228</v>
      </c>
      <c r="Y326" s="225" t="s">
        <v>1234</v>
      </c>
      <c r="Z326" s="225" t="s">
        <v>1235</v>
      </c>
    </row>
    <row r="327" spans="1:26" ht="43" customHeight="1" x14ac:dyDescent="0.35">
      <c r="A327" s="203" t="s">
        <v>1601</v>
      </c>
      <c r="B327" s="203" t="s">
        <v>1149</v>
      </c>
      <c r="C327" s="203" t="s">
        <v>1675</v>
      </c>
      <c r="D327" s="243">
        <v>80141902</v>
      </c>
      <c r="E327" s="216" t="s">
        <v>1603</v>
      </c>
      <c r="F327" s="228" t="s">
        <v>1606</v>
      </c>
      <c r="G327" s="188" t="s">
        <v>77</v>
      </c>
      <c r="H327" s="205" t="s">
        <v>77</v>
      </c>
      <c r="I327" s="217">
        <v>1</v>
      </c>
      <c r="J327" s="187" t="s">
        <v>940</v>
      </c>
      <c r="K327" s="218">
        <v>2000000</v>
      </c>
      <c r="L327" s="219">
        <v>0.19</v>
      </c>
      <c r="M327" s="218">
        <v>380000</v>
      </c>
      <c r="N327" s="218">
        <v>2380000</v>
      </c>
      <c r="O327" s="203" t="s">
        <v>791</v>
      </c>
      <c r="P327" s="203" t="s">
        <v>89</v>
      </c>
      <c r="Q327" s="220">
        <v>2380000</v>
      </c>
      <c r="R327" s="220">
        <v>0</v>
      </c>
      <c r="S327" s="220">
        <v>0</v>
      </c>
      <c r="T327" s="220">
        <v>0</v>
      </c>
      <c r="U327" s="203" t="s">
        <v>1678</v>
      </c>
      <c r="V327" s="204"/>
      <c r="W327" s="207"/>
      <c r="X327" s="225" t="s">
        <v>1228</v>
      </c>
      <c r="Y327" s="225" t="s">
        <v>1229</v>
      </c>
      <c r="Z327" s="225" t="s">
        <v>1230</v>
      </c>
    </row>
    <row r="328" spans="1:26" ht="43" customHeight="1" x14ac:dyDescent="0.35">
      <c r="A328" s="203" t="s">
        <v>1601</v>
      </c>
      <c r="B328" s="203" t="s">
        <v>1149</v>
      </c>
      <c r="C328" s="203" t="s">
        <v>1675</v>
      </c>
      <c r="D328" s="243">
        <v>82121507</v>
      </c>
      <c r="E328" s="216" t="s">
        <v>1679</v>
      </c>
      <c r="F328" s="228" t="s">
        <v>771</v>
      </c>
      <c r="G328" s="188" t="s">
        <v>68</v>
      </c>
      <c r="H328" s="205" t="s">
        <v>69</v>
      </c>
      <c r="I328" s="217">
        <v>12</v>
      </c>
      <c r="J328" s="187" t="s">
        <v>940</v>
      </c>
      <c r="K328" s="218">
        <v>15000000</v>
      </c>
      <c r="L328" s="219">
        <v>0</v>
      </c>
      <c r="M328" s="218">
        <v>0</v>
      </c>
      <c r="N328" s="218">
        <v>15000000</v>
      </c>
      <c r="O328" s="203" t="s">
        <v>791</v>
      </c>
      <c r="P328" s="203" t="s">
        <v>89</v>
      </c>
      <c r="Q328" s="220">
        <v>15000000</v>
      </c>
      <c r="R328" s="220">
        <v>0</v>
      </c>
      <c r="S328" s="220">
        <v>0</v>
      </c>
      <c r="T328" s="220">
        <v>0</v>
      </c>
      <c r="U328" s="203" t="s">
        <v>1678</v>
      </c>
      <c r="V328" s="204"/>
      <c r="W328" s="207">
        <v>15000000</v>
      </c>
      <c r="X328" s="225" t="s">
        <v>1252</v>
      </c>
      <c r="Y328" s="225" t="s">
        <v>1680</v>
      </c>
      <c r="Z328" s="225" t="s">
        <v>1252</v>
      </c>
    </row>
    <row r="329" spans="1:26" ht="43" customHeight="1" x14ac:dyDescent="0.35">
      <c r="A329" s="203" t="s">
        <v>1601</v>
      </c>
      <c r="B329" s="203" t="s">
        <v>1149</v>
      </c>
      <c r="C329" s="203" t="s">
        <v>1675</v>
      </c>
      <c r="D329" s="243">
        <v>72101511</v>
      </c>
      <c r="E329" s="216" t="s">
        <v>1681</v>
      </c>
      <c r="F329" s="228" t="s">
        <v>1681</v>
      </c>
      <c r="G329" s="188" t="s">
        <v>68</v>
      </c>
      <c r="H329" s="205" t="s">
        <v>69</v>
      </c>
      <c r="I329" s="217">
        <v>8</v>
      </c>
      <c r="J329" s="187" t="s">
        <v>940</v>
      </c>
      <c r="K329" s="218">
        <v>3141600</v>
      </c>
      <c r="L329" s="219">
        <v>0.19</v>
      </c>
      <c r="M329" s="218">
        <v>596904</v>
      </c>
      <c r="N329" s="218">
        <v>3738504</v>
      </c>
      <c r="O329" s="203" t="s">
        <v>791</v>
      </c>
      <c r="P329" s="203" t="s">
        <v>89</v>
      </c>
      <c r="Q329" s="220">
        <v>3738504</v>
      </c>
      <c r="R329" s="220">
        <v>0</v>
      </c>
      <c r="S329" s="220">
        <v>0</v>
      </c>
      <c r="T329" s="220">
        <v>0</v>
      </c>
      <c r="U329" s="203" t="s">
        <v>1678</v>
      </c>
      <c r="V329" s="204"/>
      <c r="W329" s="207">
        <v>3738504</v>
      </c>
      <c r="X329" s="225" t="s">
        <v>1635</v>
      </c>
      <c r="Y329" s="225" t="s">
        <v>1636</v>
      </c>
      <c r="Z329" s="225" t="s">
        <v>1682</v>
      </c>
    </row>
    <row r="330" spans="1:26" ht="43" customHeight="1" x14ac:dyDescent="0.35">
      <c r="A330" s="203" t="s">
        <v>1601</v>
      </c>
      <c r="B330" s="203" t="s">
        <v>1149</v>
      </c>
      <c r="C330" s="203" t="s">
        <v>1683</v>
      </c>
      <c r="D330" s="243">
        <v>80141902</v>
      </c>
      <c r="E330" s="216" t="s">
        <v>1603</v>
      </c>
      <c r="F330" s="228" t="s">
        <v>1604</v>
      </c>
      <c r="G330" s="188" t="s">
        <v>69</v>
      </c>
      <c r="H330" s="205" t="s">
        <v>69</v>
      </c>
      <c r="I330" s="217">
        <v>1</v>
      </c>
      <c r="J330" s="187" t="s">
        <v>940</v>
      </c>
      <c r="K330" s="218">
        <v>10800000</v>
      </c>
      <c r="L330" s="219">
        <v>0.19</v>
      </c>
      <c r="M330" s="218">
        <v>2052000</v>
      </c>
      <c r="N330" s="218">
        <v>12852000</v>
      </c>
      <c r="O330" s="203" t="s">
        <v>791</v>
      </c>
      <c r="P330" s="203" t="s">
        <v>89</v>
      </c>
      <c r="Q330" s="220">
        <v>12852000</v>
      </c>
      <c r="R330" s="220">
        <v>0</v>
      </c>
      <c r="S330" s="220">
        <v>0</v>
      </c>
      <c r="T330" s="220">
        <v>0</v>
      </c>
      <c r="U330" s="203" t="s">
        <v>802</v>
      </c>
      <c r="V330" s="204"/>
      <c r="W330" s="207"/>
      <c r="X330" s="225" t="s">
        <v>1228</v>
      </c>
      <c r="Y330" s="225" t="s">
        <v>1234</v>
      </c>
      <c r="Z330" s="225" t="s">
        <v>1235</v>
      </c>
    </row>
    <row r="331" spans="1:26" ht="43" customHeight="1" x14ac:dyDescent="0.35">
      <c r="A331" s="203" t="s">
        <v>1601</v>
      </c>
      <c r="B331" s="203" t="s">
        <v>1149</v>
      </c>
      <c r="C331" s="203" t="s">
        <v>1683</v>
      </c>
      <c r="D331" s="243">
        <v>80141902</v>
      </c>
      <c r="E331" s="216" t="s">
        <v>1603</v>
      </c>
      <c r="F331" s="228" t="s">
        <v>1606</v>
      </c>
      <c r="G331" s="188" t="s">
        <v>77</v>
      </c>
      <c r="H331" s="205" t="s">
        <v>77</v>
      </c>
      <c r="I331" s="217">
        <v>1</v>
      </c>
      <c r="J331" s="187" t="s">
        <v>940</v>
      </c>
      <c r="K331" s="218">
        <v>10800000</v>
      </c>
      <c r="L331" s="219">
        <v>0.19</v>
      </c>
      <c r="M331" s="218">
        <v>2052000</v>
      </c>
      <c r="N331" s="218">
        <v>12852000</v>
      </c>
      <c r="O331" s="203" t="s">
        <v>791</v>
      </c>
      <c r="P331" s="203" t="s">
        <v>89</v>
      </c>
      <c r="Q331" s="220">
        <v>12852000</v>
      </c>
      <c r="R331" s="220">
        <v>0</v>
      </c>
      <c r="S331" s="220">
        <v>0</v>
      </c>
      <c r="T331" s="220">
        <v>0</v>
      </c>
      <c r="U331" s="203" t="s">
        <v>802</v>
      </c>
      <c r="V331" s="204"/>
      <c r="W331" s="207"/>
      <c r="X331" s="225" t="s">
        <v>1228</v>
      </c>
      <c r="Y331" s="225" t="s">
        <v>1229</v>
      </c>
      <c r="Z331" s="225" t="s">
        <v>1230</v>
      </c>
    </row>
    <row r="332" spans="1:26" ht="43" customHeight="1" x14ac:dyDescent="0.35">
      <c r="A332" s="203" t="s">
        <v>1601</v>
      </c>
      <c r="B332" s="203" t="s">
        <v>1149</v>
      </c>
      <c r="C332" s="203" t="s">
        <v>1683</v>
      </c>
      <c r="D332" s="243">
        <v>80141902</v>
      </c>
      <c r="E332" s="216" t="s">
        <v>1603</v>
      </c>
      <c r="F332" s="228" t="s">
        <v>1607</v>
      </c>
      <c r="G332" s="188" t="s">
        <v>72</v>
      </c>
      <c r="H332" s="205" t="s">
        <v>73</v>
      </c>
      <c r="I332" s="217">
        <v>1</v>
      </c>
      <c r="J332" s="187" t="s">
        <v>940</v>
      </c>
      <c r="K332" s="218">
        <v>10680000</v>
      </c>
      <c r="L332" s="219">
        <v>0.19</v>
      </c>
      <c r="M332" s="218">
        <v>2029200</v>
      </c>
      <c r="N332" s="218">
        <v>12709200</v>
      </c>
      <c r="O332" s="203" t="s">
        <v>791</v>
      </c>
      <c r="P332" s="203" t="s">
        <v>89</v>
      </c>
      <c r="Q332" s="220">
        <v>12709200</v>
      </c>
      <c r="R332" s="220">
        <v>0</v>
      </c>
      <c r="S332" s="220">
        <v>0</v>
      </c>
      <c r="T332" s="220">
        <v>0</v>
      </c>
      <c r="U332" s="203" t="s">
        <v>802</v>
      </c>
      <c r="V332" s="204"/>
      <c r="W332" s="207">
        <v>10680000</v>
      </c>
      <c r="X332" s="225" t="s">
        <v>965</v>
      </c>
      <c r="Y332" s="225" t="s">
        <v>965</v>
      </c>
      <c r="Z332" s="225" t="s">
        <v>965</v>
      </c>
    </row>
    <row r="333" spans="1:26" ht="43" customHeight="1" x14ac:dyDescent="0.35">
      <c r="A333" s="203" t="s">
        <v>1601</v>
      </c>
      <c r="B333" s="203" t="s">
        <v>1149</v>
      </c>
      <c r="C333" s="203" t="s">
        <v>1683</v>
      </c>
      <c r="D333" s="243">
        <v>80141902</v>
      </c>
      <c r="E333" s="216" t="s">
        <v>1603</v>
      </c>
      <c r="F333" s="228" t="s">
        <v>772</v>
      </c>
      <c r="G333" s="188" t="s">
        <v>77</v>
      </c>
      <c r="H333" s="205" t="s">
        <v>78</v>
      </c>
      <c r="I333" s="217">
        <v>1</v>
      </c>
      <c r="J333" s="187" t="s">
        <v>940</v>
      </c>
      <c r="K333" s="218">
        <v>8544000</v>
      </c>
      <c r="L333" s="219">
        <v>0.19</v>
      </c>
      <c r="M333" s="218">
        <v>1623360</v>
      </c>
      <c r="N333" s="218">
        <v>10167360</v>
      </c>
      <c r="O333" s="203" t="s">
        <v>791</v>
      </c>
      <c r="P333" s="203" t="s">
        <v>89</v>
      </c>
      <c r="Q333" s="220">
        <v>10167360</v>
      </c>
      <c r="R333" s="220">
        <v>0</v>
      </c>
      <c r="S333" s="220">
        <v>0</v>
      </c>
      <c r="T333" s="220">
        <v>0</v>
      </c>
      <c r="U333" s="203" t="s">
        <v>802</v>
      </c>
      <c r="V333" s="204"/>
      <c r="W333" s="207">
        <v>8544000</v>
      </c>
      <c r="X333" s="225" t="s">
        <v>965</v>
      </c>
      <c r="Y333" s="225" t="s">
        <v>965</v>
      </c>
      <c r="Z333" s="225" t="s">
        <v>965</v>
      </c>
    </row>
    <row r="334" spans="1:26" ht="43" customHeight="1" x14ac:dyDescent="0.35">
      <c r="A334" s="203" t="s">
        <v>1601</v>
      </c>
      <c r="B334" s="203" t="s">
        <v>1149</v>
      </c>
      <c r="C334" s="203" t="s">
        <v>1683</v>
      </c>
      <c r="D334" s="243">
        <v>80131502</v>
      </c>
      <c r="E334" s="216" t="s">
        <v>1684</v>
      </c>
      <c r="F334" s="228" t="s">
        <v>1685</v>
      </c>
      <c r="G334" s="188" t="s">
        <v>73</v>
      </c>
      <c r="H334" s="205" t="s">
        <v>74</v>
      </c>
      <c r="I334" s="217">
        <v>12</v>
      </c>
      <c r="J334" s="187" t="s">
        <v>940</v>
      </c>
      <c r="K334" s="218">
        <v>27175059</v>
      </c>
      <c r="L334" s="219">
        <v>0.19</v>
      </c>
      <c r="M334" s="218">
        <v>5163261.21</v>
      </c>
      <c r="N334" s="218">
        <v>32338320.210000001</v>
      </c>
      <c r="O334" s="203" t="s">
        <v>794</v>
      </c>
      <c r="P334" s="203" t="s">
        <v>932</v>
      </c>
      <c r="Q334" s="220">
        <v>32338320</v>
      </c>
      <c r="R334" s="220">
        <v>36000000</v>
      </c>
      <c r="S334" s="220">
        <v>0</v>
      </c>
      <c r="T334" s="220">
        <v>0</v>
      </c>
      <c r="U334" s="203" t="s">
        <v>802</v>
      </c>
      <c r="V334" s="204" t="s">
        <v>1686</v>
      </c>
      <c r="W334" s="207">
        <v>27175059</v>
      </c>
      <c r="X334" s="225" t="s">
        <v>1687</v>
      </c>
      <c r="Y334" s="225" t="s">
        <v>1687</v>
      </c>
      <c r="Z334" s="225" t="s">
        <v>1687</v>
      </c>
    </row>
    <row r="335" spans="1:26" ht="43" customHeight="1" x14ac:dyDescent="0.35">
      <c r="A335" s="203" t="s">
        <v>1601</v>
      </c>
      <c r="B335" s="203" t="s">
        <v>1149</v>
      </c>
      <c r="C335" s="203" t="s">
        <v>1683</v>
      </c>
      <c r="D335" s="243">
        <v>80131502</v>
      </c>
      <c r="E335" s="216" t="s">
        <v>1684</v>
      </c>
      <c r="F335" s="228" t="s">
        <v>1688</v>
      </c>
      <c r="G335" s="188" t="s">
        <v>73</v>
      </c>
      <c r="H335" s="205" t="s">
        <v>74</v>
      </c>
      <c r="I335" s="217">
        <v>12</v>
      </c>
      <c r="J335" s="187" t="s">
        <v>940</v>
      </c>
      <c r="K335" s="218">
        <v>14629307</v>
      </c>
      <c r="L335" s="219"/>
      <c r="M335" s="218">
        <v>0</v>
      </c>
      <c r="N335" s="218">
        <v>14629307</v>
      </c>
      <c r="O335" s="203" t="s">
        <v>794</v>
      </c>
      <c r="P335" s="203" t="s">
        <v>932</v>
      </c>
      <c r="Q335" s="220">
        <v>14629307</v>
      </c>
      <c r="R335" s="220">
        <v>16050000</v>
      </c>
      <c r="S335" s="220">
        <v>0</v>
      </c>
      <c r="T335" s="220">
        <v>0</v>
      </c>
      <c r="U335" s="203" t="s">
        <v>802</v>
      </c>
      <c r="V335" s="204" t="s">
        <v>1689</v>
      </c>
      <c r="W335" s="207">
        <v>14629307</v>
      </c>
      <c r="X335" s="225" t="s">
        <v>1690</v>
      </c>
      <c r="Y335" s="225" t="s">
        <v>1690</v>
      </c>
      <c r="Z335" s="225" t="s">
        <v>1690</v>
      </c>
    </row>
    <row r="336" spans="1:26" ht="43" customHeight="1" x14ac:dyDescent="0.35">
      <c r="A336" s="203" t="s">
        <v>1601</v>
      </c>
      <c r="B336" s="203" t="s">
        <v>1149</v>
      </c>
      <c r="C336" s="203" t="s">
        <v>1683</v>
      </c>
      <c r="D336" s="243">
        <v>95121644</v>
      </c>
      <c r="E336" s="216" t="s">
        <v>1691</v>
      </c>
      <c r="F336" s="228" t="s">
        <v>1691</v>
      </c>
      <c r="G336" s="188" t="s">
        <v>67</v>
      </c>
      <c r="H336" s="205" t="s">
        <v>68</v>
      </c>
      <c r="I336" s="217">
        <v>12</v>
      </c>
      <c r="J336" s="187" t="s">
        <v>940</v>
      </c>
      <c r="K336" s="218">
        <v>85680000</v>
      </c>
      <c r="L336" s="219">
        <v>0.19</v>
      </c>
      <c r="M336" s="218">
        <v>16279200</v>
      </c>
      <c r="N336" s="218">
        <v>101959200</v>
      </c>
      <c r="O336" s="203" t="s">
        <v>791</v>
      </c>
      <c r="P336" s="203" t="s">
        <v>89</v>
      </c>
      <c r="Q336" s="220">
        <v>101959200</v>
      </c>
      <c r="R336" s="220">
        <v>0</v>
      </c>
      <c r="S336" s="220">
        <v>0</v>
      </c>
      <c r="T336" s="220">
        <v>0</v>
      </c>
      <c r="U336" s="203" t="s">
        <v>802</v>
      </c>
      <c r="V336" s="204"/>
      <c r="W336" s="207">
        <v>85680000</v>
      </c>
      <c r="X336" s="225" t="s">
        <v>935</v>
      </c>
      <c r="Y336" s="225" t="s">
        <v>1648</v>
      </c>
      <c r="Z336" s="225" t="s">
        <v>1648</v>
      </c>
    </row>
    <row r="337" spans="1:26" ht="43" customHeight="1" x14ac:dyDescent="0.35">
      <c r="A337" s="203" t="s">
        <v>1601</v>
      </c>
      <c r="B337" s="203" t="s">
        <v>1149</v>
      </c>
      <c r="C337" s="203" t="s">
        <v>1683</v>
      </c>
      <c r="D337" s="243">
        <v>52141510</v>
      </c>
      <c r="E337" s="216" t="s">
        <v>1692</v>
      </c>
      <c r="F337" s="228" t="s">
        <v>1693</v>
      </c>
      <c r="G337" s="188" t="s">
        <v>68</v>
      </c>
      <c r="H337" s="205" t="s">
        <v>69</v>
      </c>
      <c r="I337" s="217">
        <v>2</v>
      </c>
      <c r="J337" s="187" t="s">
        <v>940</v>
      </c>
      <c r="K337" s="218">
        <v>3689000</v>
      </c>
      <c r="L337" s="219"/>
      <c r="M337" s="218">
        <v>0</v>
      </c>
      <c r="N337" s="218">
        <v>3689000</v>
      </c>
      <c r="O337" s="203" t="s">
        <v>791</v>
      </c>
      <c r="P337" s="203" t="s">
        <v>89</v>
      </c>
      <c r="Q337" s="220">
        <v>3689000</v>
      </c>
      <c r="R337" s="220">
        <v>0</v>
      </c>
      <c r="S337" s="220">
        <v>0</v>
      </c>
      <c r="T337" s="220">
        <v>0</v>
      </c>
      <c r="U337" s="203" t="s">
        <v>802</v>
      </c>
      <c r="V337" s="204"/>
      <c r="W337" s="207">
        <v>3689000</v>
      </c>
      <c r="X337" s="225" t="s">
        <v>1070</v>
      </c>
      <c r="Y337" s="225" t="s">
        <v>1071</v>
      </c>
      <c r="Z337" s="225" t="s">
        <v>1612</v>
      </c>
    </row>
    <row r="338" spans="1:26" ht="43" customHeight="1" x14ac:dyDescent="0.35">
      <c r="A338" s="203" t="s">
        <v>1601</v>
      </c>
      <c r="B338" s="203" t="s">
        <v>1149</v>
      </c>
      <c r="C338" s="203" t="s">
        <v>1683</v>
      </c>
      <c r="D338" s="243">
        <v>73181104</v>
      </c>
      <c r="E338" s="216" t="s">
        <v>1694</v>
      </c>
      <c r="F338" s="228" t="s">
        <v>1695</v>
      </c>
      <c r="G338" s="188" t="s">
        <v>69</v>
      </c>
      <c r="H338" s="205" t="s">
        <v>70</v>
      </c>
      <c r="I338" s="217">
        <v>3</v>
      </c>
      <c r="J338" s="187" t="s">
        <v>940</v>
      </c>
      <c r="K338" s="218">
        <v>8000000</v>
      </c>
      <c r="L338" s="219">
        <v>0.19</v>
      </c>
      <c r="M338" s="218">
        <v>1520000</v>
      </c>
      <c r="N338" s="218">
        <v>9520000</v>
      </c>
      <c r="O338" s="203" t="s">
        <v>791</v>
      </c>
      <c r="P338" s="203" t="s">
        <v>89</v>
      </c>
      <c r="Q338" s="220">
        <v>9520000</v>
      </c>
      <c r="R338" s="220">
        <v>0</v>
      </c>
      <c r="S338" s="220">
        <v>0</v>
      </c>
      <c r="T338" s="220">
        <v>0</v>
      </c>
      <c r="U338" s="203" t="s">
        <v>802</v>
      </c>
      <c r="V338" s="204"/>
      <c r="W338" s="207">
        <v>8000000</v>
      </c>
      <c r="X338" s="225" t="s">
        <v>1618</v>
      </c>
      <c r="Y338" s="225" t="s">
        <v>1618</v>
      </c>
      <c r="Z338" s="225" t="s">
        <v>1619</v>
      </c>
    </row>
    <row r="339" spans="1:26" ht="43" customHeight="1" x14ac:dyDescent="0.35">
      <c r="A339" s="203" t="s">
        <v>1601</v>
      </c>
      <c r="B339" s="203" t="s">
        <v>1149</v>
      </c>
      <c r="C339" s="203" t="s">
        <v>1683</v>
      </c>
      <c r="D339" s="243">
        <v>72153613</v>
      </c>
      <c r="E339" s="216" t="s">
        <v>1696</v>
      </c>
      <c r="F339" s="228" t="s">
        <v>1697</v>
      </c>
      <c r="G339" s="188" t="s">
        <v>70</v>
      </c>
      <c r="H339" s="205" t="s">
        <v>71</v>
      </c>
      <c r="I339" s="217">
        <v>3</v>
      </c>
      <c r="J339" s="187" t="s">
        <v>940</v>
      </c>
      <c r="K339" s="218">
        <v>10000000</v>
      </c>
      <c r="L339" s="219">
        <v>0.19</v>
      </c>
      <c r="M339" s="218">
        <v>1900000</v>
      </c>
      <c r="N339" s="218">
        <v>11900000</v>
      </c>
      <c r="O339" s="203" t="s">
        <v>791</v>
      </c>
      <c r="P339" s="203" t="s">
        <v>89</v>
      </c>
      <c r="Q339" s="220">
        <v>11900000</v>
      </c>
      <c r="R339" s="220">
        <v>0</v>
      </c>
      <c r="S339" s="220">
        <v>0</v>
      </c>
      <c r="T339" s="220">
        <v>0</v>
      </c>
      <c r="U339" s="203" t="s">
        <v>802</v>
      </c>
      <c r="V339" s="204"/>
      <c r="W339" s="207">
        <v>10000000</v>
      </c>
      <c r="X339" s="225" t="s">
        <v>1618</v>
      </c>
      <c r="Y339" s="225" t="s">
        <v>1618</v>
      </c>
      <c r="Z339" s="225" t="s">
        <v>1619</v>
      </c>
    </row>
    <row r="340" spans="1:26" ht="43" customHeight="1" x14ac:dyDescent="0.35">
      <c r="A340" s="203" t="s">
        <v>1601</v>
      </c>
      <c r="B340" s="203" t="s">
        <v>1149</v>
      </c>
      <c r="C340" s="203" t="s">
        <v>1683</v>
      </c>
      <c r="D340" s="243">
        <v>52161505</v>
      </c>
      <c r="E340" s="216" t="s">
        <v>1698</v>
      </c>
      <c r="F340" s="228" t="s">
        <v>1699</v>
      </c>
      <c r="G340" s="188" t="s">
        <v>72</v>
      </c>
      <c r="H340" s="205" t="s">
        <v>73</v>
      </c>
      <c r="I340" s="217">
        <v>2</v>
      </c>
      <c r="J340" s="187" t="s">
        <v>940</v>
      </c>
      <c r="K340" s="218">
        <v>3808000</v>
      </c>
      <c r="L340" s="219"/>
      <c r="M340" s="218">
        <v>0</v>
      </c>
      <c r="N340" s="218">
        <v>3808000</v>
      </c>
      <c r="O340" s="203" t="s">
        <v>791</v>
      </c>
      <c r="P340" s="203" t="s">
        <v>89</v>
      </c>
      <c r="Q340" s="220">
        <v>3808000</v>
      </c>
      <c r="R340" s="220">
        <v>0</v>
      </c>
      <c r="S340" s="220">
        <v>0</v>
      </c>
      <c r="T340" s="220">
        <v>0</v>
      </c>
      <c r="U340" s="203" t="s">
        <v>802</v>
      </c>
      <c r="V340" s="204"/>
      <c r="W340" s="207">
        <v>3808000</v>
      </c>
      <c r="X340" s="225" t="s">
        <v>1070</v>
      </c>
      <c r="Y340" s="225" t="s">
        <v>1071</v>
      </c>
      <c r="Z340" s="225" t="s">
        <v>1612</v>
      </c>
    </row>
    <row r="341" spans="1:26" ht="43" customHeight="1" x14ac:dyDescent="0.35">
      <c r="A341" s="203" t="s">
        <v>1601</v>
      </c>
      <c r="B341" s="203" t="s">
        <v>1149</v>
      </c>
      <c r="C341" s="203" t="s">
        <v>1683</v>
      </c>
      <c r="D341" s="243">
        <v>76111503</v>
      </c>
      <c r="E341" s="216" t="s">
        <v>1700</v>
      </c>
      <c r="F341" s="228" t="s">
        <v>1700</v>
      </c>
      <c r="G341" s="188" t="s">
        <v>74</v>
      </c>
      <c r="H341" s="205" t="s">
        <v>75</v>
      </c>
      <c r="I341" s="217">
        <v>3</v>
      </c>
      <c r="J341" s="187" t="s">
        <v>940</v>
      </c>
      <c r="K341" s="218">
        <v>7140000</v>
      </c>
      <c r="L341" s="219">
        <v>0.19</v>
      </c>
      <c r="M341" s="218">
        <v>1356600</v>
      </c>
      <c r="N341" s="218">
        <v>8496600</v>
      </c>
      <c r="O341" s="203" t="s">
        <v>791</v>
      </c>
      <c r="P341" s="203" t="s">
        <v>89</v>
      </c>
      <c r="Q341" s="220">
        <v>8496600</v>
      </c>
      <c r="R341" s="220">
        <v>0</v>
      </c>
      <c r="S341" s="220">
        <v>0</v>
      </c>
      <c r="T341" s="220">
        <v>0</v>
      </c>
      <c r="U341" s="203" t="s">
        <v>802</v>
      </c>
      <c r="V341" s="204"/>
      <c r="W341" s="207">
        <v>7140000</v>
      </c>
      <c r="X341" s="225" t="s">
        <v>1618</v>
      </c>
      <c r="Y341" s="225" t="s">
        <v>1618</v>
      </c>
      <c r="Z341" s="225" t="s">
        <v>1701</v>
      </c>
    </row>
    <row r="342" spans="1:26" ht="43" customHeight="1" x14ac:dyDescent="0.35">
      <c r="A342" s="203" t="s">
        <v>1601</v>
      </c>
      <c r="B342" s="203" t="s">
        <v>1149</v>
      </c>
      <c r="C342" s="203" t="s">
        <v>1683</v>
      </c>
      <c r="D342" s="243">
        <v>72153605</v>
      </c>
      <c r="E342" s="216" t="s">
        <v>1702</v>
      </c>
      <c r="F342" s="228" t="s">
        <v>1703</v>
      </c>
      <c r="G342" s="188" t="s">
        <v>78</v>
      </c>
      <c r="H342" s="205" t="s">
        <v>77</v>
      </c>
      <c r="I342" s="217">
        <v>3</v>
      </c>
      <c r="J342" s="187" t="s">
        <v>940</v>
      </c>
      <c r="K342" s="218">
        <v>15000000</v>
      </c>
      <c r="L342" s="219">
        <v>0.19</v>
      </c>
      <c r="M342" s="218">
        <v>2850000</v>
      </c>
      <c r="N342" s="218">
        <v>17850000</v>
      </c>
      <c r="O342" s="203" t="s">
        <v>791</v>
      </c>
      <c r="P342" s="203" t="s">
        <v>89</v>
      </c>
      <c r="Q342" s="220">
        <v>17850000</v>
      </c>
      <c r="R342" s="220">
        <v>0</v>
      </c>
      <c r="S342" s="220">
        <v>0</v>
      </c>
      <c r="T342" s="220">
        <v>0</v>
      </c>
      <c r="U342" s="203" t="s">
        <v>802</v>
      </c>
      <c r="V342" s="204"/>
      <c r="W342" s="207">
        <v>15000000</v>
      </c>
      <c r="X342" s="225" t="s">
        <v>1618</v>
      </c>
      <c r="Y342" s="225" t="s">
        <v>1618</v>
      </c>
      <c r="Z342" s="225" t="s">
        <v>1701</v>
      </c>
    </row>
    <row r="343" spans="1:26" ht="43" customHeight="1" x14ac:dyDescent="0.35">
      <c r="A343" s="203" t="s">
        <v>1601</v>
      </c>
      <c r="B343" s="203" t="s">
        <v>1149</v>
      </c>
      <c r="C343" s="203" t="s">
        <v>1683</v>
      </c>
      <c r="D343" s="243">
        <v>72101511</v>
      </c>
      <c r="E343" s="216" t="s">
        <v>1007</v>
      </c>
      <c r="F343" s="228" t="s">
        <v>773</v>
      </c>
      <c r="G343" s="188" t="s">
        <v>68</v>
      </c>
      <c r="H343" s="205" t="s">
        <v>69</v>
      </c>
      <c r="I343" s="217">
        <v>11</v>
      </c>
      <c r="J343" s="187" t="s">
        <v>940</v>
      </c>
      <c r="K343" s="218">
        <v>6520000</v>
      </c>
      <c r="L343" s="219">
        <v>0.19</v>
      </c>
      <c r="M343" s="218">
        <v>1238800</v>
      </c>
      <c r="N343" s="218">
        <v>7758800</v>
      </c>
      <c r="O343" s="203" t="s">
        <v>791</v>
      </c>
      <c r="P343" s="203" t="s">
        <v>89</v>
      </c>
      <c r="Q343" s="220">
        <v>7758800</v>
      </c>
      <c r="R343" s="220">
        <v>0</v>
      </c>
      <c r="S343" s="220">
        <v>0</v>
      </c>
      <c r="T343" s="220">
        <v>0</v>
      </c>
      <c r="U343" s="203" t="s">
        <v>802</v>
      </c>
      <c r="V343" s="204"/>
      <c r="W343" s="207">
        <v>6520000</v>
      </c>
      <c r="X343" s="225" t="s">
        <v>1005</v>
      </c>
      <c r="Y343" s="225" t="s">
        <v>1009</v>
      </c>
      <c r="Z343" s="225" t="s">
        <v>1009</v>
      </c>
    </row>
    <row r="344" spans="1:26" ht="43" customHeight="1" x14ac:dyDescent="0.35">
      <c r="A344" s="203" t="s">
        <v>1601</v>
      </c>
      <c r="B344" s="203" t="s">
        <v>1149</v>
      </c>
      <c r="C344" s="203" t="s">
        <v>1704</v>
      </c>
      <c r="D344" s="243">
        <v>80141902</v>
      </c>
      <c r="E344" s="216" t="s">
        <v>1603</v>
      </c>
      <c r="F344" s="228" t="s">
        <v>1604</v>
      </c>
      <c r="G344" s="188" t="s">
        <v>69</v>
      </c>
      <c r="H344" s="205" t="s">
        <v>69</v>
      </c>
      <c r="I344" s="217">
        <v>1</v>
      </c>
      <c r="J344" s="187" t="s">
        <v>940</v>
      </c>
      <c r="K344" s="218">
        <v>17000000</v>
      </c>
      <c r="L344" s="219">
        <v>0.19</v>
      </c>
      <c r="M344" s="218">
        <v>3230000</v>
      </c>
      <c r="N344" s="218">
        <v>20230000</v>
      </c>
      <c r="O344" s="203" t="s">
        <v>791</v>
      </c>
      <c r="P344" s="203" t="s">
        <v>89</v>
      </c>
      <c r="Q344" s="220">
        <v>20230000</v>
      </c>
      <c r="R344" s="220">
        <v>0</v>
      </c>
      <c r="S344" s="220">
        <v>0</v>
      </c>
      <c r="T344" s="220">
        <v>0</v>
      </c>
      <c r="U344" s="203" t="s">
        <v>1705</v>
      </c>
      <c r="V344" s="204"/>
      <c r="W344" s="207"/>
      <c r="X344" s="225" t="s">
        <v>1228</v>
      </c>
      <c r="Y344" s="225" t="s">
        <v>1234</v>
      </c>
      <c r="Z344" s="225" t="s">
        <v>1235</v>
      </c>
    </row>
    <row r="345" spans="1:26" ht="43" customHeight="1" x14ac:dyDescent="0.35">
      <c r="A345" s="203" t="s">
        <v>1601</v>
      </c>
      <c r="B345" s="203" t="s">
        <v>1149</v>
      </c>
      <c r="C345" s="203" t="s">
        <v>1704</v>
      </c>
      <c r="D345" s="243">
        <v>80141902</v>
      </c>
      <c r="E345" s="216" t="s">
        <v>1603</v>
      </c>
      <c r="F345" s="228" t="s">
        <v>1606</v>
      </c>
      <c r="G345" s="188" t="s">
        <v>77</v>
      </c>
      <c r="H345" s="205" t="s">
        <v>77</v>
      </c>
      <c r="I345" s="217">
        <v>1</v>
      </c>
      <c r="J345" s="187" t="s">
        <v>940</v>
      </c>
      <c r="K345" s="218">
        <v>17000000</v>
      </c>
      <c r="L345" s="219">
        <v>0.19</v>
      </c>
      <c r="M345" s="218">
        <v>3230000</v>
      </c>
      <c r="N345" s="218">
        <v>20230000</v>
      </c>
      <c r="O345" s="203" t="s">
        <v>791</v>
      </c>
      <c r="P345" s="203" t="s">
        <v>89</v>
      </c>
      <c r="Q345" s="220">
        <v>20230000</v>
      </c>
      <c r="R345" s="220">
        <v>0</v>
      </c>
      <c r="S345" s="220">
        <v>0</v>
      </c>
      <c r="T345" s="220">
        <v>0</v>
      </c>
      <c r="U345" s="203" t="s">
        <v>1705</v>
      </c>
      <c r="V345" s="204"/>
      <c r="W345" s="207"/>
      <c r="X345" s="225" t="s">
        <v>1228</v>
      </c>
      <c r="Y345" s="225" t="s">
        <v>1229</v>
      </c>
      <c r="Z345" s="225" t="s">
        <v>1230</v>
      </c>
    </row>
    <row r="346" spans="1:26" ht="43" customHeight="1" x14ac:dyDescent="0.35">
      <c r="A346" s="203" t="s">
        <v>1601</v>
      </c>
      <c r="B346" s="203" t="s">
        <v>1149</v>
      </c>
      <c r="C346" s="203" t="s">
        <v>1704</v>
      </c>
      <c r="D346" s="243">
        <v>80141902</v>
      </c>
      <c r="E346" s="216" t="s">
        <v>1603</v>
      </c>
      <c r="F346" s="228" t="s">
        <v>772</v>
      </c>
      <c r="G346" s="188" t="s">
        <v>77</v>
      </c>
      <c r="H346" s="205" t="s">
        <v>78</v>
      </c>
      <c r="I346" s="217">
        <v>1</v>
      </c>
      <c r="J346" s="187" t="s">
        <v>1186</v>
      </c>
      <c r="K346" s="218">
        <v>3500000</v>
      </c>
      <c r="L346" s="219">
        <v>0</v>
      </c>
      <c r="M346" s="218">
        <v>0</v>
      </c>
      <c r="N346" s="218">
        <v>3500000</v>
      </c>
      <c r="O346" s="203" t="s">
        <v>791</v>
      </c>
      <c r="P346" s="203" t="s">
        <v>89</v>
      </c>
      <c r="Q346" s="220">
        <v>3500000</v>
      </c>
      <c r="R346" s="220">
        <v>0</v>
      </c>
      <c r="S346" s="220">
        <v>0</v>
      </c>
      <c r="T346" s="220">
        <v>0</v>
      </c>
      <c r="U346" s="203" t="s">
        <v>1705</v>
      </c>
      <c r="V346" s="204"/>
      <c r="W346" s="207"/>
      <c r="X346" s="225" t="s">
        <v>1706</v>
      </c>
      <c r="Y346" s="225" t="s">
        <v>1707</v>
      </c>
      <c r="Z346" s="225"/>
    </row>
    <row r="347" spans="1:26" ht="43" customHeight="1" x14ac:dyDescent="0.35">
      <c r="A347" s="203" t="s">
        <v>1601</v>
      </c>
      <c r="B347" s="203" t="s">
        <v>1149</v>
      </c>
      <c r="C347" s="203" t="s">
        <v>1704</v>
      </c>
      <c r="D347" s="243">
        <v>80141902</v>
      </c>
      <c r="E347" s="216" t="s">
        <v>1603</v>
      </c>
      <c r="F347" s="228" t="s">
        <v>1607</v>
      </c>
      <c r="G347" s="188" t="s">
        <v>72</v>
      </c>
      <c r="H347" s="205" t="s">
        <v>73</v>
      </c>
      <c r="I347" s="217">
        <v>1</v>
      </c>
      <c r="J347" s="187" t="s">
        <v>1186</v>
      </c>
      <c r="K347" s="218">
        <v>3500000</v>
      </c>
      <c r="L347" s="219">
        <v>0</v>
      </c>
      <c r="M347" s="218">
        <v>0</v>
      </c>
      <c r="N347" s="218">
        <v>3500000</v>
      </c>
      <c r="O347" s="203" t="s">
        <v>791</v>
      </c>
      <c r="P347" s="203" t="s">
        <v>89</v>
      </c>
      <c r="Q347" s="220">
        <v>3500000</v>
      </c>
      <c r="R347" s="220">
        <v>0</v>
      </c>
      <c r="S347" s="220">
        <v>0</v>
      </c>
      <c r="T347" s="220">
        <v>0</v>
      </c>
      <c r="U347" s="203" t="s">
        <v>1705</v>
      </c>
      <c r="V347" s="204"/>
      <c r="W347" s="207"/>
      <c r="X347" s="225" t="s">
        <v>1706</v>
      </c>
      <c r="Y347" s="225" t="s">
        <v>1707</v>
      </c>
      <c r="Z347" s="225"/>
    </row>
    <row r="348" spans="1:26" ht="43" customHeight="1" x14ac:dyDescent="0.35">
      <c r="A348" s="203" t="s">
        <v>1601</v>
      </c>
      <c r="B348" s="203" t="s">
        <v>1149</v>
      </c>
      <c r="C348" s="203" t="s">
        <v>1704</v>
      </c>
      <c r="D348" s="243">
        <v>40101701</v>
      </c>
      <c r="E348" s="216" t="s">
        <v>1708</v>
      </c>
      <c r="F348" s="228" t="s">
        <v>774</v>
      </c>
      <c r="G348" s="188" t="s">
        <v>69</v>
      </c>
      <c r="H348" s="205" t="s">
        <v>70</v>
      </c>
      <c r="I348" s="217">
        <v>8</v>
      </c>
      <c r="J348" s="187" t="s">
        <v>940</v>
      </c>
      <c r="K348" s="218">
        <v>4176996</v>
      </c>
      <c r="L348" s="219">
        <v>0.19</v>
      </c>
      <c r="M348" s="218">
        <v>793629.24</v>
      </c>
      <c r="N348" s="218">
        <v>4970625.24</v>
      </c>
      <c r="O348" s="203" t="s">
        <v>791</v>
      </c>
      <c r="P348" s="203" t="s">
        <v>89</v>
      </c>
      <c r="Q348" s="220">
        <v>4970625</v>
      </c>
      <c r="R348" s="220">
        <v>0</v>
      </c>
      <c r="S348" s="220">
        <v>0</v>
      </c>
      <c r="T348" s="220">
        <v>0</v>
      </c>
      <c r="U348" s="203" t="s">
        <v>1709</v>
      </c>
      <c r="V348" s="204"/>
      <c r="W348" s="207">
        <v>4176996</v>
      </c>
      <c r="X348" s="225" t="s">
        <v>1710</v>
      </c>
      <c r="Y348" s="225" t="s">
        <v>1636</v>
      </c>
      <c r="Z348" s="225" t="s">
        <v>1711</v>
      </c>
    </row>
    <row r="349" spans="1:26" ht="43" customHeight="1" x14ac:dyDescent="0.35">
      <c r="A349" s="203" t="s">
        <v>1601</v>
      </c>
      <c r="B349" s="203" t="s">
        <v>1149</v>
      </c>
      <c r="C349" s="203" t="s">
        <v>1704</v>
      </c>
      <c r="D349" s="243">
        <v>73152108</v>
      </c>
      <c r="E349" s="216" t="s">
        <v>1613</v>
      </c>
      <c r="F349" s="228" t="s">
        <v>775</v>
      </c>
      <c r="G349" s="188" t="s">
        <v>69</v>
      </c>
      <c r="H349" s="205" t="s">
        <v>70</v>
      </c>
      <c r="I349" s="217">
        <v>8</v>
      </c>
      <c r="J349" s="187" t="s">
        <v>940</v>
      </c>
      <c r="K349" s="218">
        <v>4568526</v>
      </c>
      <c r="L349" s="219">
        <v>0.19</v>
      </c>
      <c r="M349" s="218">
        <v>868019.94000000006</v>
      </c>
      <c r="N349" s="218">
        <v>5436545.9400000004</v>
      </c>
      <c r="O349" s="203" t="s">
        <v>791</v>
      </c>
      <c r="P349" s="203" t="s">
        <v>89</v>
      </c>
      <c r="Q349" s="220">
        <v>5436546</v>
      </c>
      <c r="R349" s="220">
        <v>0</v>
      </c>
      <c r="S349" s="220">
        <v>0</v>
      </c>
      <c r="T349" s="220">
        <v>0</v>
      </c>
      <c r="U349" s="203" t="s">
        <v>1709</v>
      </c>
      <c r="V349" s="204"/>
      <c r="W349" s="207">
        <v>4568526</v>
      </c>
      <c r="X349" s="225" t="s">
        <v>1710</v>
      </c>
      <c r="Y349" s="225" t="s">
        <v>1636</v>
      </c>
      <c r="Z349" s="225" t="s">
        <v>1712</v>
      </c>
    </row>
    <row r="350" spans="1:26" ht="43" customHeight="1" x14ac:dyDescent="0.35">
      <c r="A350" s="203" t="s">
        <v>1601</v>
      </c>
      <c r="B350" s="203" t="s">
        <v>1149</v>
      </c>
      <c r="C350" s="203" t="s">
        <v>1704</v>
      </c>
      <c r="D350" s="243">
        <v>40101701</v>
      </c>
      <c r="E350" s="216" t="s">
        <v>1708</v>
      </c>
      <c r="F350" s="228" t="s">
        <v>1713</v>
      </c>
      <c r="G350" s="188" t="s">
        <v>68</v>
      </c>
      <c r="H350" s="205" t="s">
        <v>69</v>
      </c>
      <c r="I350" s="217">
        <v>1</v>
      </c>
      <c r="J350" s="187" t="s">
        <v>940</v>
      </c>
      <c r="K350" s="218">
        <v>10085500</v>
      </c>
      <c r="L350" s="219">
        <v>0.19</v>
      </c>
      <c r="M350" s="218">
        <v>1916245</v>
      </c>
      <c r="N350" s="218">
        <v>12001745</v>
      </c>
      <c r="O350" s="203" t="s">
        <v>791</v>
      </c>
      <c r="P350" s="203" t="s">
        <v>89</v>
      </c>
      <c r="Q350" s="220">
        <v>12001745</v>
      </c>
      <c r="R350" s="220">
        <v>0</v>
      </c>
      <c r="S350" s="220">
        <v>0</v>
      </c>
      <c r="T350" s="220">
        <v>0</v>
      </c>
      <c r="U350" s="203" t="s">
        <v>1709</v>
      </c>
      <c r="V350" s="204"/>
      <c r="W350" s="207">
        <v>10085500</v>
      </c>
      <c r="X350" s="225" t="s">
        <v>1070</v>
      </c>
      <c r="Y350" s="225" t="s">
        <v>1071</v>
      </c>
      <c r="Z350" s="225" t="s">
        <v>1612</v>
      </c>
    </row>
    <row r="351" spans="1:26" ht="43" customHeight="1" x14ac:dyDescent="0.35">
      <c r="A351" s="203" t="s">
        <v>1601</v>
      </c>
      <c r="B351" s="203" t="s">
        <v>1149</v>
      </c>
      <c r="C351" s="203" t="s">
        <v>1704</v>
      </c>
      <c r="D351" s="243">
        <v>40101701</v>
      </c>
      <c r="E351" s="216" t="s">
        <v>1708</v>
      </c>
      <c r="F351" s="228" t="s">
        <v>1714</v>
      </c>
      <c r="G351" s="188" t="s">
        <v>68</v>
      </c>
      <c r="H351" s="205" t="s">
        <v>69</v>
      </c>
      <c r="I351" s="217">
        <v>1</v>
      </c>
      <c r="J351" s="187" t="s">
        <v>940</v>
      </c>
      <c r="K351" s="218">
        <v>1700000</v>
      </c>
      <c r="L351" s="219">
        <v>0.19</v>
      </c>
      <c r="M351" s="218">
        <v>323000</v>
      </c>
      <c r="N351" s="218">
        <v>2023000</v>
      </c>
      <c r="O351" s="203" t="s">
        <v>791</v>
      </c>
      <c r="P351" s="203" t="s">
        <v>89</v>
      </c>
      <c r="Q351" s="220">
        <v>2023000</v>
      </c>
      <c r="R351" s="220">
        <v>0</v>
      </c>
      <c r="S351" s="220">
        <v>0</v>
      </c>
      <c r="T351" s="220">
        <v>0</v>
      </c>
      <c r="U351" s="203" t="s">
        <v>1709</v>
      </c>
      <c r="V351" s="204"/>
      <c r="W351" s="207">
        <v>1700000</v>
      </c>
      <c r="X351" s="225" t="s">
        <v>1070</v>
      </c>
      <c r="Y351" s="225" t="s">
        <v>1071</v>
      </c>
      <c r="Z351" s="225" t="s">
        <v>1612</v>
      </c>
    </row>
    <row r="352" spans="1:26" ht="43" customHeight="1" x14ac:dyDescent="0.35">
      <c r="A352" s="203" t="s">
        <v>1601</v>
      </c>
      <c r="B352" s="203" t="s">
        <v>1149</v>
      </c>
      <c r="C352" s="203" t="s">
        <v>1704</v>
      </c>
      <c r="D352" s="243">
        <v>78181703</v>
      </c>
      <c r="E352" s="216" t="s">
        <v>1715</v>
      </c>
      <c r="F352" s="228" t="s">
        <v>1716</v>
      </c>
      <c r="G352" s="188" t="s">
        <v>68</v>
      </c>
      <c r="H352" s="205" t="s">
        <v>69</v>
      </c>
      <c r="I352" s="217">
        <v>10</v>
      </c>
      <c r="J352" s="187" t="s">
        <v>940</v>
      </c>
      <c r="K352" s="218">
        <v>18235294</v>
      </c>
      <c r="L352" s="219">
        <v>0.19</v>
      </c>
      <c r="M352" s="218">
        <v>3464705.86</v>
      </c>
      <c r="N352" s="218">
        <v>21699999.859999999</v>
      </c>
      <c r="O352" s="203" t="s">
        <v>791</v>
      </c>
      <c r="P352" s="203" t="s">
        <v>89</v>
      </c>
      <c r="Q352" s="220">
        <v>21700000</v>
      </c>
      <c r="R352" s="220">
        <v>0</v>
      </c>
      <c r="S352" s="220">
        <v>0</v>
      </c>
      <c r="T352" s="220">
        <v>0</v>
      </c>
      <c r="U352" s="203" t="s">
        <v>1709</v>
      </c>
      <c r="V352" s="204"/>
      <c r="W352" s="207">
        <v>18235294</v>
      </c>
      <c r="X352" s="225" t="s">
        <v>935</v>
      </c>
      <c r="Y352" s="225" t="s">
        <v>1648</v>
      </c>
      <c r="Z352" s="225" t="s">
        <v>1648</v>
      </c>
    </row>
    <row r="353" spans="1:26" ht="43" customHeight="1" x14ac:dyDescent="0.35">
      <c r="A353" s="203" t="s">
        <v>1601</v>
      </c>
      <c r="B353" s="203" t="s">
        <v>1149</v>
      </c>
      <c r="C353" s="203" t="s">
        <v>1704</v>
      </c>
      <c r="D353" s="243">
        <v>72102900</v>
      </c>
      <c r="E353" s="216" t="s">
        <v>1717</v>
      </c>
      <c r="F353" s="228" t="s">
        <v>1718</v>
      </c>
      <c r="G353" s="188" t="s">
        <v>73</v>
      </c>
      <c r="H353" s="205" t="s">
        <v>74</v>
      </c>
      <c r="I353" s="217">
        <v>2</v>
      </c>
      <c r="J353" s="187" t="s">
        <v>940</v>
      </c>
      <c r="K353" s="218">
        <v>2500000</v>
      </c>
      <c r="L353" s="219">
        <v>0.19</v>
      </c>
      <c r="M353" s="218">
        <v>475000</v>
      </c>
      <c r="N353" s="218">
        <v>2975000</v>
      </c>
      <c r="O353" s="203" t="s">
        <v>791</v>
      </c>
      <c r="P353" s="203" t="s">
        <v>89</v>
      </c>
      <c r="Q353" s="220">
        <v>2975000</v>
      </c>
      <c r="R353" s="220">
        <v>0</v>
      </c>
      <c r="S353" s="220">
        <v>0</v>
      </c>
      <c r="T353" s="220">
        <v>0</v>
      </c>
      <c r="U353" s="203" t="s">
        <v>1709</v>
      </c>
      <c r="V353" s="204"/>
      <c r="W353" s="207">
        <v>2500000</v>
      </c>
      <c r="X353" s="225" t="s">
        <v>1618</v>
      </c>
      <c r="Y353" s="225" t="s">
        <v>1618</v>
      </c>
      <c r="Z353" s="225" t="s">
        <v>1619</v>
      </c>
    </row>
    <row r="354" spans="1:26" ht="43" customHeight="1" x14ac:dyDescent="0.35">
      <c r="A354" s="203" t="s">
        <v>1601</v>
      </c>
      <c r="B354" s="203" t="s">
        <v>1149</v>
      </c>
      <c r="C354" s="203" t="s">
        <v>1719</v>
      </c>
      <c r="D354" s="243">
        <v>52141501</v>
      </c>
      <c r="E354" s="216" t="s">
        <v>1720</v>
      </c>
      <c r="F354" s="228" t="s">
        <v>1721</v>
      </c>
      <c r="G354" s="188" t="s">
        <v>68</v>
      </c>
      <c r="H354" s="205" t="s">
        <v>69</v>
      </c>
      <c r="I354" s="217">
        <v>2</v>
      </c>
      <c r="J354" s="187" t="s">
        <v>1186</v>
      </c>
      <c r="K354" s="218">
        <v>2500000</v>
      </c>
      <c r="L354" s="219">
        <v>0.19</v>
      </c>
      <c r="M354" s="218">
        <v>399160</v>
      </c>
      <c r="N354" s="218">
        <v>2500000</v>
      </c>
      <c r="O354" s="203" t="s">
        <v>791</v>
      </c>
      <c r="P354" s="203" t="s">
        <v>89</v>
      </c>
      <c r="Q354" s="220">
        <v>2500000</v>
      </c>
      <c r="R354" s="220">
        <v>0</v>
      </c>
      <c r="S354" s="220">
        <v>0</v>
      </c>
      <c r="T354" s="220">
        <v>0</v>
      </c>
      <c r="U354" s="203" t="s">
        <v>1722</v>
      </c>
      <c r="V354" s="204"/>
      <c r="W354" s="207">
        <v>2100840</v>
      </c>
      <c r="X354" s="225" t="s">
        <v>1070</v>
      </c>
      <c r="Y354" s="225" t="s">
        <v>1071</v>
      </c>
      <c r="Z354" s="225" t="s">
        <v>1612</v>
      </c>
    </row>
    <row r="355" spans="1:26" ht="43" customHeight="1" x14ac:dyDescent="0.35">
      <c r="A355" s="203" t="s">
        <v>1601</v>
      </c>
      <c r="B355" s="203" t="s">
        <v>1149</v>
      </c>
      <c r="C355" s="203" t="s">
        <v>1719</v>
      </c>
      <c r="D355" s="243">
        <v>52141502</v>
      </c>
      <c r="E355" s="216" t="s">
        <v>1723</v>
      </c>
      <c r="F355" s="228" t="s">
        <v>1724</v>
      </c>
      <c r="G355" s="188" t="s">
        <v>69</v>
      </c>
      <c r="H355" s="205" t="s">
        <v>70</v>
      </c>
      <c r="I355" s="217">
        <v>2</v>
      </c>
      <c r="J355" s="187" t="s">
        <v>1186</v>
      </c>
      <c r="K355" s="218">
        <v>2500000</v>
      </c>
      <c r="L355" s="219">
        <v>0.19</v>
      </c>
      <c r="M355" s="218">
        <v>399160</v>
      </c>
      <c r="N355" s="218">
        <v>2500000</v>
      </c>
      <c r="O355" s="203" t="s">
        <v>791</v>
      </c>
      <c r="P355" s="203" t="s">
        <v>89</v>
      </c>
      <c r="Q355" s="220">
        <v>2500000</v>
      </c>
      <c r="R355" s="220">
        <v>0</v>
      </c>
      <c r="S355" s="220">
        <v>0</v>
      </c>
      <c r="T355" s="220">
        <v>0</v>
      </c>
      <c r="U355" s="203" t="s">
        <v>1722</v>
      </c>
      <c r="V355" s="204"/>
      <c r="W355" s="207">
        <v>2100840</v>
      </c>
      <c r="X355" s="225" t="s">
        <v>1070</v>
      </c>
      <c r="Y355" s="225" t="s">
        <v>1071</v>
      </c>
      <c r="Z355" s="225" t="s">
        <v>1612</v>
      </c>
    </row>
    <row r="356" spans="1:26" ht="43" customHeight="1" x14ac:dyDescent="0.35">
      <c r="A356" s="203" t="s">
        <v>1601</v>
      </c>
      <c r="B356" s="203" t="s">
        <v>1149</v>
      </c>
      <c r="C356" s="203" t="s">
        <v>1719</v>
      </c>
      <c r="D356" s="243">
        <v>90111602</v>
      </c>
      <c r="E356" s="216" t="s">
        <v>1725</v>
      </c>
      <c r="F356" s="228" t="s">
        <v>1726</v>
      </c>
      <c r="G356" s="188" t="s">
        <v>68</v>
      </c>
      <c r="H356" s="205" t="s">
        <v>70</v>
      </c>
      <c r="I356" s="217">
        <v>4</v>
      </c>
      <c r="J356" s="187" t="s">
        <v>940</v>
      </c>
      <c r="K356" s="218">
        <v>12000000</v>
      </c>
      <c r="L356" s="219">
        <v>0.19</v>
      </c>
      <c r="M356" s="218">
        <v>1915966.3865546221</v>
      </c>
      <c r="N356" s="218">
        <v>12000000</v>
      </c>
      <c r="O356" s="203" t="s">
        <v>791</v>
      </c>
      <c r="P356" s="203" t="s">
        <v>89</v>
      </c>
      <c r="Q356" s="220">
        <v>12000000</v>
      </c>
      <c r="R356" s="220">
        <v>0</v>
      </c>
      <c r="S356" s="220">
        <v>0</v>
      </c>
      <c r="T356" s="220">
        <v>0</v>
      </c>
      <c r="U356" s="203" t="s">
        <v>1722</v>
      </c>
      <c r="V356" s="204"/>
      <c r="W356" s="207">
        <v>10084033.613445379</v>
      </c>
      <c r="X356" s="225" t="s">
        <v>1618</v>
      </c>
      <c r="Y356" s="225" t="s">
        <v>1618</v>
      </c>
      <c r="Z356" s="225" t="s">
        <v>1619</v>
      </c>
    </row>
    <row r="357" spans="1:26" ht="43" customHeight="1" x14ac:dyDescent="0.35">
      <c r="A357" s="203" t="s">
        <v>1601</v>
      </c>
      <c r="B357" s="203" t="s">
        <v>1149</v>
      </c>
      <c r="C357" s="203" t="s">
        <v>1727</v>
      </c>
      <c r="D357" s="243">
        <v>80141902</v>
      </c>
      <c r="E357" s="216" t="s">
        <v>1603</v>
      </c>
      <c r="F357" s="228" t="s">
        <v>1604</v>
      </c>
      <c r="G357" s="188" t="s">
        <v>69</v>
      </c>
      <c r="H357" s="205" t="s">
        <v>69</v>
      </c>
      <c r="I357" s="217">
        <v>1</v>
      </c>
      <c r="J357" s="187" t="s">
        <v>940</v>
      </c>
      <c r="K357" s="218">
        <v>4500000</v>
      </c>
      <c r="L357" s="219">
        <v>0.19</v>
      </c>
      <c r="M357" s="218">
        <v>855000</v>
      </c>
      <c r="N357" s="218">
        <v>5355000</v>
      </c>
      <c r="O357" s="203" t="s">
        <v>791</v>
      </c>
      <c r="P357" s="203" t="s">
        <v>89</v>
      </c>
      <c r="Q357" s="220">
        <v>5355000</v>
      </c>
      <c r="R357" s="220">
        <v>0</v>
      </c>
      <c r="S357" s="220">
        <v>0</v>
      </c>
      <c r="T357" s="220">
        <v>0</v>
      </c>
      <c r="U357" s="203" t="s">
        <v>1728</v>
      </c>
      <c r="V357" s="204"/>
      <c r="W357" s="207"/>
      <c r="X357" s="225" t="s">
        <v>1729</v>
      </c>
      <c r="Y357" s="225" t="s">
        <v>1234</v>
      </c>
      <c r="Z357" s="225" t="s">
        <v>1235</v>
      </c>
    </row>
    <row r="358" spans="1:26" ht="43" customHeight="1" x14ac:dyDescent="0.35">
      <c r="A358" s="203" t="s">
        <v>1601</v>
      </c>
      <c r="B358" s="203" t="s">
        <v>1149</v>
      </c>
      <c r="C358" s="203" t="s">
        <v>1727</v>
      </c>
      <c r="D358" s="243">
        <v>80141902</v>
      </c>
      <c r="E358" s="216" t="s">
        <v>1603</v>
      </c>
      <c r="F358" s="228" t="s">
        <v>1606</v>
      </c>
      <c r="G358" s="188" t="s">
        <v>77</v>
      </c>
      <c r="H358" s="205" t="s">
        <v>77</v>
      </c>
      <c r="I358" s="217">
        <v>1</v>
      </c>
      <c r="J358" s="187" t="s">
        <v>940</v>
      </c>
      <c r="K358" s="218">
        <v>4500000</v>
      </c>
      <c r="L358" s="219">
        <v>0.19</v>
      </c>
      <c r="M358" s="218">
        <v>855000</v>
      </c>
      <c r="N358" s="218">
        <v>5355000</v>
      </c>
      <c r="O358" s="203" t="s">
        <v>791</v>
      </c>
      <c r="P358" s="203" t="s">
        <v>89</v>
      </c>
      <c r="Q358" s="220">
        <v>5355000</v>
      </c>
      <c r="R358" s="220">
        <v>0</v>
      </c>
      <c r="S358" s="220">
        <v>0</v>
      </c>
      <c r="T358" s="220">
        <v>0</v>
      </c>
      <c r="U358" s="203" t="s">
        <v>1728</v>
      </c>
      <c r="V358" s="204"/>
      <c r="W358" s="207"/>
      <c r="X358" s="225" t="s">
        <v>1228</v>
      </c>
      <c r="Y358" s="225" t="s">
        <v>1229</v>
      </c>
      <c r="Z358" s="225" t="s">
        <v>1230</v>
      </c>
    </row>
    <row r="359" spans="1:26" ht="43" customHeight="1" x14ac:dyDescent="0.35">
      <c r="A359" s="203" t="s">
        <v>1601</v>
      </c>
      <c r="B359" s="203" t="s">
        <v>1149</v>
      </c>
      <c r="C359" s="203" t="s">
        <v>1727</v>
      </c>
      <c r="D359" s="243">
        <v>72103301</v>
      </c>
      <c r="E359" s="216" t="s">
        <v>1730</v>
      </c>
      <c r="F359" s="228" t="s">
        <v>1731</v>
      </c>
      <c r="G359" s="188" t="s">
        <v>68</v>
      </c>
      <c r="H359" s="205" t="s">
        <v>69</v>
      </c>
      <c r="I359" s="217">
        <v>2</v>
      </c>
      <c r="J359" s="187" t="s">
        <v>940</v>
      </c>
      <c r="K359" s="218">
        <v>14850000</v>
      </c>
      <c r="L359" s="219">
        <v>0.19</v>
      </c>
      <c r="M359" s="218">
        <v>2821500</v>
      </c>
      <c r="N359" s="218">
        <v>17671500</v>
      </c>
      <c r="O359" s="203" t="s">
        <v>791</v>
      </c>
      <c r="P359" s="203" t="s">
        <v>89</v>
      </c>
      <c r="Q359" s="220">
        <v>17671500</v>
      </c>
      <c r="R359" s="220">
        <v>0</v>
      </c>
      <c r="S359" s="220">
        <v>0</v>
      </c>
      <c r="T359" s="220">
        <v>0</v>
      </c>
      <c r="U359" s="203" t="s">
        <v>1728</v>
      </c>
      <c r="V359" s="204"/>
      <c r="W359" s="207">
        <v>0</v>
      </c>
      <c r="X359" s="225" t="s">
        <v>1732</v>
      </c>
      <c r="Y359" s="225" t="s">
        <v>1733</v>
      </c>
      <c r="Z359" s="225"/>
    </row>
    <row r="360" spans="1:26" ht="43" customHeight="1" x14ac:dyDescent="0.35">
      <c r="A360" s="203" t="s">
        <v>1601</v>
      </c>
      <c r="B360" s="203" t="s">
        <v>1149</v>
      </c>
      <c r="C360" s="203" t="s">
        <v>1727</v>
      </c>
      <c r="D360" s="243">
        <v>72151302</v>
      </c>
      <c r="E360" s="216" t="s">
        <v>1734</v>
      </c>
      <c r="F360" s="228" t="s">
        <v>1735</v>
      </c>
      <c r="G360" s="188" t="s">
        <v>69</v>
      </c>
      <c r="H360" s="205" t="s">
        <v>70</v>
      </c>
      <c r="I360" s="217">
        <v>1</v>
      </c>
      <c r="J360" s="187" t="s">
        <v>940</v>
      </c>
      <c r="K360" s="218">
        <v>20000000</v>
      </c>
      <c r="L360" s="219">
        <v>0.19</v>
      </c>
      <c r="M360" s="218">
        <v>3800000</v>
      </c>
      <c r="N360" s="218">
        <v>23800000</v>
      </c>
      <c r="O360" s="203" t="s">
        <v>791</v>
      </c>
      <c r="P360" s="203" t="s">
        <v>89</v>
      </c>
      <c r="Q360" s="220">
        <v>23800000</v>
      </c>
      <c r="R360" s="220">
        <v>0</v>
      </c>
      <c r="S360" s="220">
        <v>0</v>
      </c>
      <c r="T360" s="220">
        <v>0</v>
      </c>
      <c r="U360" s="203" t="s">
        <v>1728</v>
      </c>
      <c r="V360" s="204"/>
      <c r="W360" s="207">
        <v>0</v>
      </c>
      <c r="X360" s="225" t="s">
        <v>1736</v>
      </c>
      <c r="Y360" s="225" t="s">
        <v>1736</v>
      </c>
      <c r="Z360" s="225"/>
    </row>
    <row r="361" spans="1:26" ht="43" customHeight="1" x14ac:dyDescent="0.35">
      <c r="A361" s="203" t="s">
        <v>1601</v>
      </c>
      <c r="B361" s="203" t="s">
        <v>1149</v>
      </c>
      <c r="C361" s="203" t="s">
        <v>1727</v>
      </c>
      <c r="D361" s="243">
        <v>52161505</v>
      </c>
      <c r="E361" s="216" t="s">
        <v>1737</v>
      </c>
      <c r="F361" s="228" t="s">
        <v>1738</v>
      </c>
      <c r="G361" s="188" t="s">
        <v>69</v>
      </c>
      <c r="H361" s="205" t="s">
        <v>70</v>
      </c>
      <c r="I361" s="217">
        <v>1</v>
      </c>
      <c r="J361" s="187" t="s">
        <v>940</v>
      </c>
      <c r="K361" s="218">
        <v>6000000</v>
      </c>
      <c r="L361" s="219">
        <v>0.19</v>
      </c>
      <c r="M361" s="218">
        <v>1140000</v>
      </c>
      <c r="N361" s="218">
        <v>7140000</v>
      </c>
      <c r="O361" s="203" t="s">
        <v>791</v>
      </c>
      <c r="P361" s="203" t="s">
        <v>89</v>
      </c>
      <c r="Q361" s="220">
        <v>7140000</v>
      </c>
      <c r="R361" s="220">
        <v>0</v>
      </c>
      <c r="S361" s="220">
        <v>0</v>
      </c>
      <c r="T361" s="220">
        <v>0</v>
      </c>
      <c r="U361" s="203" t="s">
        <v>1728</v>
      </c>
      <c r="V361" s="204"/>
      <c r="W361" s="207">
        <v>0</v>
      </c>
      <c r="X361" s="225" t="s">
        <v>1739</v>
      </c>
      <c r="Y361" s="225" t="s">
        <v>1739</v>
      </c>
      <c r="Z361" s="225"/>
    </row>
    <row r="362" spans="1:26" ht="43" customHeight="1" x14ac:dyDescent="0.35">
      <c r="A362" s="203" t="s">
        <v>1601</v>
      </c>
      <c r="B362" s="203" t="s">
        <v>1149</v>
      </c>
      <c r="C362" s="203" t="s">
        <v>1727</v>
      </c>
      <c r="D362" s="243">
        <v>43221503</v>
      </c>
      <c r="E362" s="216" t="s">
        <v>1740</v>
      </c>
      <c r="F362" s="228" t="s">
        <v>1741</v>
      </c>
      <c r="G362" s="188" t="s">
        <v>69</v>
      </c>
      <c r="H362" s="205" t="s">
        <v>70</v>
      </c>
      <c r="I362" s="217">
        <v>1</v>
      </c>
      <c r="J362" s="187" t="s">
        <v>940</v>
      </c>
      <c r="K362" s="218">
        <v>4000000</v>
      </c>
      <c r="L362" s="219">
        <v>0.19</v>
      </c>
      <c r="M362" s="218">
        <v>760000</v>
      </c>
      <c r="N362" s="218">
        <v>4760000</v>
      </c>
      <c r="O362" s="203" t="s">
        <v>791</v>
      </c>
      <c r="P362" s="203" t="s">
        <v>89</v>
      </c>
      <c r="Q362" s="220">
        <v>4760000</v>
      </c>
      <c r="R362" s="220">
        <v>0</v>
      </c>
      <c r="S362" s="220">
        <v>0</v>
      </c>
      <c r="T362" s="220">
        <v>0</v>
      </c>
      <c r="U362" s="203" t="s">
        <v>1728</v>
      </c>
      <c r="V362" s="204"/>
      <c r="W362" s="207">
        <v>0</v>
      </c>
      <c r="X362" s="225" t="s">
        <v>1739</v>
      </c>
      <c r="Y362" s="225" t="s">
        <v>1739</v>
      </c>
      <c r="Z362" s="225"/>
    </row>
    <row r="363" spans="1:26" ht="43" customHeight="1" x14ac:dyDescent="0.35">
      <c r="A363" s="203" t="s">
        <v>1601</v>
      </c>
      <c r="B363" s="203" t="s">
        <v>1149</v>
      </c>
      <c r="C363" s="203" t="s">
        <v>1727</v>
      </c>
      <c r="D363" s="243">
        <v>72151605</v>
      </c>
      <c r="E363" s="216" t="s">
        <v>1742</v>
      </c>
      <c r="F363" s="228" t="s">
        <v>1743</v>
      </c>
      <c r="G363" s="188" t="s">
        <v>69</v>
      </c>
      <c r="H363" s="205" t="s">
        <v>70</v>
      </c>
      <c r="I363" s="217">
        <v>1</v>
      </c>
      <c r="J363" s="187" t="s">
        <v>940</v>
      </c>
      <c r="K363" s="218">
        <v>3500000</v>
      </c>
      <c r="L363" s="219">
        <v>0.19</v>
      </c>
      <c r="M363" s="218">
        <v>665000</v>
      </c>
      <c r="N363" s="218">
        <v>4165000</v>
      </c>
      <c r="O363" s="203" t="s">
        <v>791</v>
      </c>
      <c r="P363" s="203" t="s">
        <v>89</v>
      </c>
      <c r="Q363" s="220">
        <v>4165000</v>
      </c>
      <c r="R363" s="220">
        <v>0</v>
      </c>
      <c r="S363" s="220">
        <v>0</v>
      </c>
      <c r="T363" s="220">
        <v>0</v>
      </c>
      <c r="U363" s="203" t="s">
        <v>1728</v>
      </c>
      <c r="V363" s="204"/>
      <c r="W363" s="207">
        <v>0</v>
      </c>
      <c r="X363" s="225" t="s">
        <v>1739</v>
      </c>
      <c r="Y363" s="225" t="s">
        <v>1739</v>
      </c>
      <c r="Z363" s="225"/>
    </row>
    <row r="364" spans="1:26" ht="43" customHeight="1" x14ac:dyDescent="0.35">
      <c r="A364" s="203" t="s">
        <v>1601</v>
      </c>
      <c r="B364" s="203" t="s">
        <v>1149</v>
      </c>
      <c r="C364" s="203" t="s">
        <v>1727</v>
      </c>
      <c r="D364" s="243">
        <v>80141902</v>
      </c>
      <c r="E364" s="216" t="s">
        <v>1603</v>
      </c>
      <c r="F364" s="228" t="s">
        <v>772</v>
      </c>
      <c r="G364" s="188" t="s">
        <v>77</v>
      </c>
      <c r="H364" s="205" t="s">
        <v>78</v>
      </c>
      <c r="I364" s="217">
        <v>1</v>
      </c>
      <c r="J364" s="187" t="s">
        <v>1186</v>
      </c>
      <c r="K364" s="218">
        <v>3800000</v>
      </c>
      <c r="L364" s="219">
        <v>0.19</v>
      </c>
      <c r="M364" s="218">
        <v>722000</v>
      </c>
      <c r="N364" s="218">
        <v>4522000</v>
      </c>
      <c r="O364" s="203" t="s">
        <v>791</v>
      </c>
      <c r="P364" s="203" t="s">
        <v>89</v>
      </c>
      <c r="Q364" s="220">
        <v>4522000</v>
      </c>
      <c r="R364" s="220">
        <v>0</v>
      </c>
      <c r="S364" s="220">
        <v>0</v>
      </c>
      <c r="T364" s="220">
        <v>0</v>
      </c>
      <c r="U364" s="203" t="s">
        <v>1728</v>
      </c>
      <c r="V364" s="204"/>
      <c r="W364" s="207"/>
      <c r="X364" s="225" t="s">
        <v>1228</v>
      </c>
      <c r="Y364" s="225" t="s">
        <v>1228</v>
      </c>
      <c r="Z364" s="225"/>
    </row>
    <row r="365" spans="1:26" ht="43" customHeight="1" x14ac:dyDescent="0.35">
      <c r="A365" s="203" t="s">
        <v>1601</v>
      </c>
      <c r="B365" s="203" t="s">
        <v>1149</v>
      </c>
      <c r="C365" s="203" t="s">
        <v>1727</v>
      </c>
      <c r="D365" s="243">
        <v>80141902</v>
      </c>
      <c r="E365" s="216" t="s">
        <v>1603</v>
      </c>
      <c r="F365" s="228" t="s">
        <v>1607</v>
      </c>
      <c r="G365" s="188" t="s">
        <v>72</v>
      </c>
      <c r="H365" s="205" t="s">
        <v>73</v>
      </c>
      <c r="I365" s="217">
        <v>1</v>
      </c>
      <c r="J365" s="187" t="s">
        <v>1186</v>
      </c>
      <c r="K365" s="218">
        <v>2600000</v>
      </c>
      <c r="L365" s="219">
        <v>0.19</v>
      </c>
      <c r="M365" s="218">
        <v>494000</v>
      </c>
      <c r="N365" s="218">
        <v>3094000</v>
      </c>
      <c r="O365" s="203" t="s">
        <v>791</v>
      </c>
      <c r="P365" s="203" t="s">
        <v>89</v>
      </c>
      <c r="Q365" s="220">
        <v>3094000</v>
      </c>
      <c r="R365" s="220">
        <v>0</v>
      </c>
      <c r="S365" s="220">
        <v>0</v>
      </c>
      <c r="T365" s="220">
        <v>0</v>
      </c>
      <c r="U365" s="203" t="s">
        <v>1728</v>
      </c>
      <c r="V365" s="204"/>
      <c r="W365" s="207"/>
      <c r="X365" s="225" t="s">
        <v>1729</v>
      </c>
      <c r="Y365" s="225" t="s">
        <v>1729</v>
      </c>
      <c r="Z365" s="225"/>
    </row>
    <row r="366" spans="1:26" ht="43" customHeight="1" x14ac:dyDescent="0.35">
      <c r="A366" s="203" t="s">
        <v>1601</v>
      </c>
      <c r="B366" s="203" t="s">
        <v>1149</v>
      </c>
      <c r="C366" s="203" t="s">
        <v>1744</v>
      </c>
      <c r="D366" s="243">
        <v>52141501</v>
      </c>
      <c r="E366" s="216" t="s">
        <v>1720</v>
      </c>
      <c r="F366" s="228" t="s">
        <v>1745</v>
      </c>
      <c r="G366" s="188" t="s">
        <v>77</v>
      </c>
      <c r="H366" s="205" t="s">
        <v>77</v>
      </c>
      <c r="I366" s="217">
        <v>1</v>
      </c>
      <c r="J366" s="187" t="s">
        <v>1186</v>
      </c>
      <c r="K366" s="218">
        <v>3500000</v>
      </c>
      <c r="L366" s="219">
        <v>0.19</v>
      </c>
      <c r="M366" s="218">
        <v>665000</v>
      </c>
      <c r="N366" s="218">
        <v>4165000</v>
      </c>
      <c r="O366" s="203" t="s">
        <v>791</v>
      </c>
      <c r="P366" s="203" t="s">
        <v>89</v>
      </c>
      <c r="Q366" s="220">
        <v>3500000</v>
      </c>
      <c r="R366" s="220">
        <v>0</v>
      </c>
      <c r="S366" s="220">
        <v>0</v>
      </c>
      <c r="T366" s="220">
        <v>0</v>
      </c>
      <c r="U366" s="203" t="s">
        <v>1746</v>
      </c>
      <c r="V366" s="204" t="s">
        <v>1745</v>
      </c>
      <c r="W366" s="207">
        <v>3500000</v>
      </c>
      <c r="X366" s="225" t="s">
        <v>1070</v>
      </c>
      <c r="Y366" s="225" t="s">
        <v>1071</v>
      </c>
      <c r="Z366" s="225" t="s">
        <v>1071</v>
      </c>
    </row>
    <row r="367" spans="1:26" ht="43" customHeight="1" x14ac:dyDescent="0.35">
      <c r="A367" s="203" t="s">
        <v>1601</v>
      </c>
      <c r="B367" s="203" t="s">
        <v>1149</v>
      </c>
      <c r="C367" s="203" t="s">
        <v>1747</v>
      </c>
      <c r="D367" s="243">
        <v>80141902</v>
      </c>
      <c r="E367" s="216" t="s">
        <v>1603</v>
      </c>
      <c r="F367" s="228" t="s">
        <v>1604</v>
      </c>
      <c r="G367" s="188" t="s">
        <v>69</v>
      </c>
      <c r="H367" s="205" t="s">
        <v>69</v>
      </c>
      <c r="I367" s="217">
        <v>1</v>
      </c>
      <c r="J367" s="187" t="s">
        <v>940</v>
      </c>
      <c r="K367" s="218">
        <v>1800000</v>
      </c>
      <c r="L367" s="219">
        <v>0.19</v>
      </c>
      <c r="M367" s="218">
        <v>342000</v>
      </c>
      <c r="N367" s="218">
        <v>2142000</v>
      </c>
      <c r="O367" s="203" t="s">
        <v>791</v>
      </c>
      <c r="P367" s="203" t="s">
        <v>89</v>
      </c>
      <c r="Q367" s="220">
        <v>2142000</v>
      </c>
      <c r="R367" s="220">
        <v>0</v>
      </c>
      <c r="S367" s="220">
        <v>0</v>
      </c>
      <c r="T367" s="220">
        <v>0</v>
      </c>
      <c r="U367" s="203" t="s">
        <v>803</v>
      </c>
      <c r="V367" s="204"/>
      <c r="W367" s="207"/>
      <c r="X367" s="225" t="s">
        <v>1228</v>
      </c>
      <c r="Y367" s="225" t="s">
        <v>1234</v>
      </c>
      <c r="Z367" s="225" t="s">
        <v>1235</v>
      </c>
    </row>
    <row r="368" spans="1:26" ht="43" customHeight="1" x14ac:dyDescent="0.35">
      <c r="A368" s="203" t="s">
        <v>1601</v>
      </c>
      <c r="B368" s="203" t="s">
        <v>1149</v>
      </c>
      <c r="C368" s="203" t="s">
        <v>1747</v>
      </c>
      <c r="D368" s="243">
        <v>80141902</v>
      </c>
      <c r="E368" s="216" t="s">
        <v>1603</v>
      </c>
      <c r="F368" s="228" t="s">
        <v>1606</v>
      </c>
      <c r="G368" s="188" t="s">
        <v>77</v>
      </c>
      <c r="H368" s="205" t="s">
        <v>77</v>
      </c>
      <c r="I368" s="217">
        <v>1</v>
      </c>
      <c r="J368" s="187" t="s">
        <v>940</v>
      </c>
      <c r="K368" s="218">
        <v>1800000</v>
      </c>
      <c r="L368" s="219">
        <v>0.19</v>
      </c>
      <c r="M368" s="218">
        <v>342000</v>
      </c>
      <c r="N368" s="218">
        <v>2142000</v>
      </c>
      <c r="O368" s="203" t="s">
        <v>791</v>
      </c>
      <c r="P368" s="203" t="s">
        <v>89</v>
      </c>
      <c r="Q368" s="220">
        <v>2142000</v>
      </c>
      <c r="R368" s="220">
        <v>0</v>
      </c>
      <c r="S368" s="220">
        <v>0</v>
      </c>
      <c r="T368" s="220">
        <v>0</v>
      </c>
      <c r="U368" s="203" t="s">
        <v>803</v>
      </c>
      <c r="V368" s="204"/>
      <c r="W368" s="207"/>
      <c r="X368" s="225" t="s">
        <v>1228</v>
      </c>
      <c r="Y368" s="225" t="s">
        <v>1229</v>
      </c>
      <c r="Z368" s="225" t="s">
        <v>1230</v>
      </c>
    </row>
    <row r="369" spans="1:26" ht="43" customHeight="1" x14ac:dyDescent="0.35">
      <c r="A369" s="203" t="s">
        <v>1601</v>
      </c>
      <c r="B369" s="203" t="s">
        <v>1149</v>
      </c>
      <c r="C369" s="203" t="s">
        <v>1747</v>
      </c>
      <c r="D369" s="243">
        <v>80141902</v>
      </c>
      <c r="E369" s="216" t="s">
        <v>1603</v>
      </c>
      <c r="F369" s="228" t="s">
        <v>1607</v>
      </c>
      <c r="G369" s="188" t="s">
        <v>72</v>
      </c>
      <c r="H369" s="205" t="s">
        <v>73</v>
      </c>
      <c r="I369" s="217">
        <v>1</v>
      </c>
      <c r="J369" s="187" t="s">
        <v>1186</v>
      </c>
      <c r="K369" s="218">
        <v>1050420</v>
      </c>
      <c r="L369" s="219">
        <v>0.19</v>
      </c>
      <c r="M369" s="218">
        <v>199579.8</v>
      </c>
      <c r="N369" s="218">
        <v>1249999.8</v>
      </c>
      <c r="O369" s="203" t="s">
        <v>791</v>
      </c>
      <c r="P369" s="203" t="s">
        <v>89</v>
      </c>
      <c r="Q369" s="220">
        <v>1250000</v>
      </c>
      <c r="R369" s="220">
        <v>0</v>
      </c>
      <c r="S369" s="220">
        <v>0</v>
      </c>
      <c r="T369" s="220">
        <v>0</v>
      </c>
      <c r="U369" s="203" t="s">
        <v>803</v>
      </c>
      <c r="V369" s="204"/>
      <c r="W369" s="207">
        <v>1050420</v>
      </c>
      <c r="X369" s="225" t="s">
        <v>965</v>
      </c>
      <c r="Y369" s="225" t="s">
        <v>965</v>
      </c>
      <c r="Z369" s="225" t="s">
        <v>971</v>
      </c>
    </row>
    <row r="370" spans="1:26" ht="43" customHeight="1" x14ac:dyDescent="0.35">
      <c r="A370" s="203" t="s">
        <v>1601</v>
      </c>
      <c r="B370" s="203" t="s">
        <v>1149</v>
      </c>
      <c r="C370" s="203" t="s">
        <v>1747</v>
      </c>
      <c r="D370" s="243">
        <v>80141902</v>
      </c>
      <c r="E370" s="216" t="s">
        <v>1603</v>
      </c>
      <c r="F370" s="228" t="s">
        <v>772</v>
      </c>
      <c r="G370" s="188" t="s">
        <v>77</v>
      </c>
      <c r="H370" s="205" t="s">
        <v>78</v>
      </c>
      <c r="I370" s="217">
        <v>1</v>
      </c>
      <c r="J370" s="187" t="s">
        <v>1186</v>
      </c>
      <c r="K370" s="218">
        <v>1050420</v>
      </c>
      <c r="L370" s="219">
        <v>0.19</v>
      </c>
      <c r="M370" s="218">
        <v>199579.8</v>
      </c>
      <c r="N370" s="218">
        <v>1249999.8</v>
      </c>
      <c r="O370" s="203" t="s">
        <v>791</v>
      </c>
      <c r="P370" s="203" t="s">
        <v>89</v>
      </c>
      <c r="Q370" s="220">
        <v>1250000</v>
      </c>
      <c r="R370" s="220">
        <v>0</v>
      </c>
      <c r="S370" s="220">
        <v>0</v>
      </c>
      <c r="T370" s="220">
        <v>0</v>
      </c>
      <c r="U370" s="203" t="s">
        <v>803</v>
      </c>
      <c r="V370" s="204"/>
      <c r="W370" s="207">
        <v>1050420</v>
      </c>
      <c r="X370" s="225" t="s">
        <v>965</v>
      </c>
      <c r="Y370" s="225" t="s">
        <v>965</v>
      </c>
      <c r="Z370" s="225" t="s">
        <v>971</v>
      </c>
    </row>
    <row r="371" spans="1:26" ht="43" customHeight="1" x14ac:dyDescent="0.35">
      <c r="A371" s="203" t="s">
        <v>1601</v>
      </c>
      <c r="B371" s="203" t="s">
        <v>1149</v>
      </c>
      <c r="C371" s="203" t="s">
        <v>1747</v>
      </c>
      <c r="D371" s="243">
        <v>47121800</v>
      </c>
      <c r="E371" s="216" t="s">
        <v>1748</v>
      </c>
      <c r="F371" s="228" t="s">
        <v>1749</v>
      </c>
      <c r="G371" s="188" t="s">
        <v>68</v>
      </c>
      <c r="H371" s="205" t="s">
        <v>68</v>
      </c>
      <c r="I371" s="217">
        <v>15</v>
      </c>
      <c r="J371" s="187" t="s">
        <v>1186</v>
      </c>
      <c r="K371" s="218">
        <v>900000</v>
      </c>
      <c r="L371" s="219">
        <v>0.19</v>
      </c>
      <c r="M371" s="218">
        <v>171000</v>
      </c>
      <c r="N371" s="218">
        <v>1071000</v>
      </c>
      <c r="O371" s="203" t="s">
        <v>791</v>
      </c>
      <c r="P371" s="203" t="s">
        <v>89</v>
      </c>
      <c r="Q371" s="220">
        <v>1071000</v>
      </c>
      <c r="R371" s="220">
        <v>0</v>
      </c>
      <c r="S371" s="220">
        <v>0</v>
      </c>
      <c r="T371" s="220">
        <v>0</v>
      </c>
      <c r="U371" s="203" t="s">
        <v>803</v>
      </c>
      <c r="V371" s="204"/>
      <c r="W371" s="207">
        <v>900000</v>
      </c>
      <c r="X371" s="225" t="s">
        <v>1750</v>
      </c>
      <c r="Y371" s="225" t="s">
        <v>1751</v>
      </c>
      <c r="Z371" s="225" t="s">
        <v>1752</v>
      </c>
    </row>
    <row r="372" spans="1:26" ht="43" customHeight="1" x14ac:dyDescent="0.35">
      <c r="A372" s="203" t="s">
        <v>1601</v>
      </c>
      <c r="B372" s="203" t="s">
        <v>1149</v>
      </c>
      <c r="C372" s="203" t="s">
        <v>1747</v>
      </c>
      <c r="D372" s="243">
        <v>52141502</v>
      </c>
      <c r="E372" s="216" t="s">
        <v>1723</v>
      </c>
      <c r="F372" s="228" t="s">
        <v>1753</v>
      </c>
      <c r="G372" s="188" t="s">
        <v>68</v>
      </c>
      <c r="H372" s="205" t="s">
        <v>68</v>
      </c>
      <c r="I372" s="217">
        <v>15</v>
      </c>
      <c r="J372" s="187" t="s">
        <v>1186</v>
      </c>
      <c r="K372" s="218">
        <v>400000</v>
      </c>
      <c r="L372" s="219">
        <v>0.19</v>
      </c>
      <c r="M372" s="218">
        <v>76000</v>
      </c>
      <c r="N372" s="218">
        <v>476000</v>
      </c>
      <c r="O372" s="203" t="s">
        <v>791</v>
      </c>
      <c r="P372" s="203" t="s">
        <v>89</v>
      </c>
      <c r="Q372" s="220">
        <v>476000</v>
      </c>
      <c r="R372" s="220">
        <v>0</v>
      </c>
      <c r="S372" s="220">
        <v>0</v>
      </c>
      <c r="T372" s="220">
        <v>0</v>
      </c>
      <c r="U372" s="203" t="s">
        <v>803</v>
      </c>
      <c r="V372" s="204"/>
      <c r="W372" s="207">
        <v>400000</v>
      </c>
      <c r="X372" s="225" t="s">
        <v>1750</v>
      </c>
      <c r="Y372" s="225" t="s">
        <v>1751</v>
      </c>
      <c r="Z372" s="225" t="s">
        <v>1752</v>
      </c>
    </row>
    <row r="373" spans="1:26" ht="43" customHeight="1" x14ac:dyDescent="0.35">
      <c r="A373" s="203" t="s">
        <v>1601</v>
      </c>
      <c r="B373" s="203" t="s">
        <v>1149</v>
      </c>
      <c r="C373" s="203" t="s">
        <v>1747</v>
      </c>
      <c r="D373" s="243">
        <v>72101511</v>
      </c>
      <c r="E373" s="216" t="s">
        <v>1007</v>
      </c>
      <c r="F373" s="228" t="s">
        <v>1754</v>
      </c>
      <c r="G373" s="188" t="s">
        <v>67</v>
      </c>
      <c r="H373" s="205" t="s">
        <v>67</v>
      </c>
      <c r="I373" s="217">
        <v>12</v>
      </c>
      <c r="J373" s="187" t="s">
        <v>940</v>
      </c>
      <c r="K373" s="218">
        <v>2571428</v>
      </c>
      <c r="L373" s="219">
        <v>0.19</v>
      </c>
      <c r="M373" s="218">
        <v>488571.32</v>
      </c>
      <c r="N373" s="218">
        <v>3059999.32</v>
      </c>
      <c r="O373" s="203" t="s">
        <v>791</v>
      </c>
      <c r="P373" s="203" t="s">
        <v>89</v>
      </c>
      <c r="Q373" s="220">
        <v>3059999</v>
      </c>
      <c r="R373" s="220">
        <v>0</v>
      </c>
      <c r="S373" s="220">
        <v>0</v>
      </c>
      <c r="T373" s="220">
        <v>0</v>
      </c>
      <c r="U373" s="203" t="s">
        <v>803</v>
      </c>
      <c r="V373" s="204"/>
      <c r="W373" s="207">
        <v>2571428</v>
      </c>
      <c r="X373" s="225" t="s">
        <v>1005</v>
      </c>
      <c r="Y373" s="225" t="s">
        <v>1014</v>
      </c>
      <c r="Z373" s="225" t="s">
        <v>1009</v>
      </c>
    </row>
    <row r="374" spans="1:26" ht="43" customHeight="1" x14ac:dyDescent="0.35">
      <c r="A374" s="203" t="s">
        <v>1601</v>
      </c>
      <c r="B374" s="203" t="s">
        <v>1149</v>
      </c>
      <c r="C374" s="203" t="s">
        <v>1747</v>
      </c>
      <c r="D374" s="243">
        <v>80101510</v>
      </c>
      <c r="E374" s="216" t="s">
        <v>1255</v>
      </c>
      <c r="F374" s="228" t="s">
        <v>777</v>
      </c>
      <c r="G374" s="188" t="s">
        <v>67</v>
      </c>
      <c r="H374" s="205" t="s">
        <v>67</v>
      </c>
      <c r="I374" s="217">
        <v>12</v>
      </c>
      <c r="J374" s="187" t="s">
        <v>940</v>
      </c>
      <c r="K374" s="218">
        <v>26855155</v>
      </c>
      <c r="L374" s="219">
        <v>0</v>
      </c>
      <c r="M374" s="218">
        <v>0</v>
      </c>
      <c r="N374" s="218">
        <v>26855155</v>
      </c>
      <c r="O374" s="203" t="s">
        <v>791</v>
      </c>
      <c r="P374" s="203" t="s">
        <v>89</v>
      </c>
      <c r="Q374" s="220">
        <v>26855155</v>
      </c>
      <c r="R374" s="220">
        <v>0</v>
      </c>
      <c r="S374" s="220">
        <v>0</v>
      </c>
      <c r="T374" s="220">
        <v>0</v>
      </c>
      <c r="U374" s="203" t="s">
        <v>803</v>
      </c>
      <c r="V374" s="204"/>
      <c r="W374" s="207">
        <v>26855155</v>
      </c>
      <c r="X374" s="225" t="s">
        <v>1252</v>
      </c>
      <c r="Y374" s="225" t="s">
        <v>1252</v>
      </c>
      <c r="Z374" s="225" t="s">
        <v>1755</v>
      </c>
    </row>
    <row r="375" spans="1:26" ht="43" customHeight="1" x14ac:dyDescent="0.35">
      <c r="A375" s="203" t="s">
        <v>1601</v>
      </c>
      <c r="B375" s="203" t="s">
        <v>1149</v>
      </c>
      <c r="C375" s="203" t="s">
        <v>1756</v>
      </c>
      <c r="D375" s="243">
        <v>80141902</v>
      </c>
      <c r="E375" s="216" t="s">
        <v>1603</v>
      </c>
      <c r="F375" s="228" t="s">
        <v>1604</v>
      </c>
      <c r="G375" s="188" t="s">
        <v>69</v>
      </c>
      <c r="H375" s="205" t="s">
        <v>69</v>
      </c>
      <c r="I375" s="217">
        <v>1</v>
      </c>
      <c r="J375" s="187" t="s">
        <v>940</v>
      </c>
      <c r="K375" s="218">
        <v>4500000</v>
      </c>
      <c r="L375" s="219">
        <v>0.19</v>
      </c>
      <c r="M375" s="218">
        <v>855000</v>
      </c>
      <c r="N375" s="218">
        <v>5355000</v>
      </c>
      <c r="O375" s="203" t="s">
        <v>791</v>
      </c>
      <c r="P375" s="203" t="s">
        <v>89</v>
      </c>
      <c r="Q375" s="220">
        <v>5355000</v>
      </c>
      <c r="R375" s="220">
        <v>0</v>
      </c>
      <c r="S375" s="220">
        <v>0</v>
      </c>
      <c r="T375" s="220">
        <v>0</v>
      </c>
      <c r="U375" s="203" t="s">
        <v>1757</v>
      </c>
      <c r="V375" s="204"/>
      <c r="W375" s="207"/>
      <c r="X375" s="225" t="s">
        <v>1228</v>
      </c>
      <c r="Y375" s="225" t="s">
        <v>1234</v>
      </c>
      <c r="Z375" s="225" t="s">
        <v>1235</v>
      </c>
    </row>
    <row r="376" spans="1:26" ht="43" customHeight="1" x14ac:dyDescent="0.35">
      <c r="A376" s="203" t="s">
        <v>1601</v>
      </c>
      <c r="B376" s="203" t="s">
        <v>1149</v>
      </c>
      <c r="C376" s="203" t="s">
        <v>1756</v>
      </c>
      <c r="D376" s="243">
        <v>80141902</v>
      </c>
      <c r="E376" s="216" t="s">
        <v>1603</v>
      </c>
      <c r="F376" s="228" t="s">
        <v>1606</v>
      </c>
      <c r="G376" s="188" t="s">
        <v>77</v>
      </c>
      <c r="H376" s="205" t="s">
        <v>77</v>
      </c>
      <c r="I376" s="217">
        <v>1</v>
      </c>
      <c r="J376" s="187" t="s">
        <v>940</v>
      </c>
      <c r="K376" s="218">
        <v>4500000</v>
      </c>
      <c r="L376" s="219">
        <v>0.19</v>
      </c>
      <c r="M376" s="218">
        <v>855000</v>
      </c>
      <c r="N376" s="218">
        <v>5355000</v>
      </c>
      <c r="O376" s="203" t="s">
        <v>791</v>
      </c>
      <c r="P376" s="203" t="s">
        <v>89</v>
      </c>
      <c r="Q376" s="220">
        <v>5355000</v>
      </c>
      <c r="R376" s="220">
        <v>0</v>
      </c>
      <c r="S376" s="220">
        <v>0</v>
      </c>
      <c r="T376" s="220">
        <v>0</v>
      </c>
      <c r="U376" s="203" t="s">
        <v>1757</v>
      </c>
      <c r="V376" s="204"/>
      <c r="W376" s="207"/>
      <c r="X376" s="225" t="s">
        <v>1228</v>
      </c>
      <c r="Y376" s="225" t="s">
        <v>1229</v>
      </c>
      <c r="Z376" s="225" t="s">
        <v>1230</v>
      </c>
    </row>
    <row r="377" spans="1:26" ht="43" customHeight="1" x14ac:dyDescent="0.35">
      <c r="A377" s="203" t="s">
        <v>1601</v>
      </c>
      <c r="B377" s="203" t="s">
        <v>1149</v>
      </c>
      <c r="C377" s="203" t="s">
        <v>1756</v>
      </c>
      <c r="D377" s="243">
        <v>80141902</v>
      </c>
      <c r="E377" s="216" t="s">
        <v>1603</v>
      </c>
      <c r="F377" s="228" t="s">
        <v>1607</v>
      </c>
      <c r="G377" s="188" t="s">
        <v>72</v>
      </c>
      <c r="H377" s="205" t="s">
        <v>73</v>
      </c>
      <c r="I377" s="217">
        <v>1</v>
      </c>
      <c r="J377" s="187" t="s">
        <v>940</v>
      </c>
      <c r="K377" s="218">
        <v>2359000</v>
      </c>
      <c r="L377" s="219">
        <v>0.19</v>
      </c>
      <c r="M377" s="218">
        <v>448210</v>
      </c>
      <c r="N377" s="218">
        <v>2807210</v>
      </c>
      <c r="O377" s="203" t="s">
        <v>791</v>
      </c>
      <c r="P377" s="203" t="s">
        <v>89</v>
      </c>
      <c r="Q377" s="220">
        <v>2807210</v>
      </c>
      <c r="R377" s="220">
        <v>0</v>
      </c>
      <c r="S377" s="220">
        <v>0</v>
      </c>
      <c r="T377" s="220">
        <v>0</v>
      </c>
      <c r="U377" s="203" t="s">
        <v>1757</v>
      </c>
      <c r="V377" s="204"/>
      <c r="W377" s="207">
        <v>2359000</v>
      </c>
      <c r="X377" s="225" t="s">
        <v>965</v>
      </c>
      <c r="Y377" s="225" t="s">
        <v>965</v>
      </c>
      <c r="Z377" s="225" t="s">
        <v>971</v>
      </c>
    </row>
    <row r="378" spans="1:26" ht="43" customHeight="1" x14ac:dyDescent="0.35">
      <c r="A378" s="203" t="s">
        <v>1601</v>
      </c>
      <c r="B378" s="203" t="s">
        <v>1149</v>
      </c>
      <c r="C378" s="203" t="s">
        <v>1756</v>
      </c>
      <c r="D378" s="243">
        <v>80141902</v>
      </c>
      <c r="E378" s="216" t="s">
        <v>1603</v>
      </c>
      <c r="F378" s="228" t="s">
        <v>772</v>
      </c>
      <c r="G378" s="188" t="s">
        <v>77</v>
      </c>
      <c r="H378" s="205" t="s">
        <v>78</v>
      </c>
      <c r="I378" s="217">
        <v>1</v>
      </c>
      <c r="J378" s="187" t="s">
        <v>940</v>
      </c>
      <c r="K378" s="218">
        <v>2320000</v>
      </c>
      <c r="L378" s="219">
        <v>0.19</v>
      </c>
      <c r="M378" s="218">
        <v>440800</v>
      </c>
      <c r="N378" s="218">
        <v>2760800</v>
      </c>
      <c r="O378" s="203" t="s">
        <v>791</v>
      </c>
      <c r="P378" s="203" t="s">
        <v>89</v>
      </c>
      <c r="Q378" s="220">
        <v>2760800</v>
      </c>
      <c r="R378" s="220">
        <v>0</v>
      </c>
      <c r="S378" s="220">
        <v>0</v>
      </c>
      <c r="T378" s="220">
        <v>0</v>
      </c>
      <c r="U378" s="203" t="s">
        <v>1757</v>
      </c>
      <c r="V378" s="204"/>
      <c r="W378" s="207">
        <v>2320000</v>
      </c>
      <c r="X378" s="225" t="s">
        <v>965</v>
      </c>
      <c r="Y378" s="225" t="s">
        <v>965</v>
      </c>
      <c r="Z378" s="225" t="s">
        <v>971</v>
      </c>
    </row>
    <row r="379" spans="1:26" ht="43" customHeight="1" x14ac:dyDescent="0.35">
      <c r="A379" s="203" t="s">
        <v>1601</v>
      </c>
      <c r="B379" s="203" t="s">
        <v>1149</v>
      </c>
      <c r="C379" s="203" t="s">
        <v>1756</v>
      </c>
      <c r="D379" s="243">
        <v>72101516</v>
      </c>
      <c r="E379" s="216" t="s">
        <v>1670</v>
      </c>
      <c r="F379" s="228" t="s">
        <v>1758</v>
      </c>
      <c r="G379" s="188" t="s">
        <v>72</v>
      </c>
      <c r="H379" s="205" t="s">
        <v>71</v>
      </c>
      <c r="I379" s="217">
        <v>1</v>
      </c>
      <c r="J379" s="187" t="s">
        <v>1186</v>
      </c>
      <c r="K379" s="218">
        <v>120000</v>
      </c>
      <c r="L379" s="219">
        <v>0.19</v>
      </c>
      <c r="M379" s="218">
        <v>22800</v>
      </c>
      <c r="N379" s="218">
        <v>142800</v>
      </c>
      <c r="O379" s="203" t="s">
        <v>791</v>
      </c>
      <c r="P379" s="203" t="s">
        <v>89</v>
      </c>
      <c r="Q379" s="220">
        <v>142800</v>
      </c>
      <c r="R379" s="220">
        <v>0</v>
      </c>
      <c r="S379" s="220">
        <v>0</v>
      </c>
      <c r="T379" s="220">
        <v>0</v>
      </c>
      <c r="U379" s="203" t="s">
        <v>1757</v>
      </c>
      <c r="V379" s="204"/>
      <c r="W379" s="207">
        <v>120000</v>
      </c>
      <c r="X379" s="225" t="s">
        <v>1005</v>
      </c>
      <c r="Y379" s="225" t="s">
        <v>1014</v>
      </c>
      <c r="Z379" s="225" t="s">
        <v>1018</v>
      </c>
    </row>
    <row r="380" spans="1:26" ht="43" customHeight="1" x14ac:dyDescent="0.35">
      <c r="A380" s="203" t="s">
        <v>1601</v>
      </c>
      <c r="B380" s="203" t="s">
        <v>1149</v>
      </c>
      <c r="C380" s="203" t="s">
        <v>1756</v>
      </c>
      <c r="D380" s="243">
        <v>40101701</v>
      </c>
      <c r="E380" s="216" t="s">
        <v>1007</v>
      </c>
      <c r="F380" s="228" t="s">
        <v>1759</v>
      </c>
      <c r="G380" s="188" t="s">
        <v>72</v>
      </c>
      <c r="H380" s="205" t="s">
        <v>72</v>
      </c>
      <c r="I380" s="217">
        <v>5</v>
      </c>
      <c r="J380" s="187" t="s">
        <v>940</v>
      </c>
      <c r="K380" s="218">
        <v>1200000</v>
      </c>
      <c r="L380" s="219">
        <v>0.19</v>
      </c>
      <c r="M380" s="218">
        <v>228000</v>
      </c>
      <c r="N380" s="218">
        <v>1428000</v>
      </c>
      <c r="O380" s="203" t="s">
        <v>791</v>
      </c>
      <c r="P380" s="203" t="s">
        <v>89</v>
      </c>
      <c r="Q380" s="220">
        <v>1428000</v>
      </c>
      <c r="R380" s="220">
        <v>0</v>
      </c>
      <c r="S380" s="220">
        <v>0</v>
      </c>
      <c r="T380" s="220">
        <v>0</v>
      </c>
      <c r="U380" s="203" t="s">
        <v>1757</v>
      </c>
      <c r="V380" s="204"/>
      <c r="W380" s="207">
        <v>1200000</v>
      </c>
      <c r="X380" s="225" t="s">
        <v>1005</v>
      </c>
      <c r="Y380" s="225" t="s">
        <v>1014</v>
      </c>
      <c r="Z380" s="225" t="s">
        <v>1009</v>
      </c>
    </row>
    <row r="381" spans="1:26" ht="43" customHeight="1" x14ac:dyDescent="0.35">
      <c r="A381" s="203" t="s">
        <v>1601</v>
      </c>
      <c r="B381" s="203" t="s">
        <v>1149</v>
      </c>
      <c r="C381" s="203" t="s">
        <v>1756</v>
      </c>
      <c r="D381" s="243">
        <v>46191601</v>
      </c>
      <c r="E381" s="216" t="s">
        <v>1017</v>
      </c>
      <c r="F381" s="228" t="s">
        <v>1760</v>
      </c>
      <c r="G381" s="188" t="s">
        <v>72</v>
      </c>
      <c r="H381" s="205" t="s">
        <v>71</v>
      </c>
      <c r="I381" s="217">
        <v>1</v>
      </c>
      <c r="J381" s="187" t="s">
        <v>1186</v>
      </c>
      <c r="K381" s="218">
        <v>250000</v>
      </c>
      <c r="L381" s="219">
        <v>0.19</v>
      </c>
      <c r="M381" s="218">
        <v>47500</v>
      </c>
      <c r="N381" s="218">
        <v>297500</v>
      </c>
      <c r="O381" s="203" t="s">
        <v>791</v>
      </c>
      <c r="P381" s="203" t="s">
        <v>89</v>
      </c>
      <c r="Q381" s="220">
        <v>297500</v>
      </c>
      <c r="R381" s="220">
        <v>0</v>
      </c>
      <c r="S381" s="220">
        <v>0</v>
      </c>
      <c r="T381" s="220">
        <v>0</v>
      </c>
      <c r="U381" s="203" t="s">
        <v>1757</v>
      </c>
      <c r="V381" s="204"/>
      <c r="W381" s="207">
        <v>250000</v>
      </c>
      <c r="X381" s="225" t="s">
        <v>1041</v>
      </c>
      <c r="Y381" s="225" t="s">
        <v>1041</v>
      </c>
      <c r="Z381" s="225" t="s">
        <v>1761</v>
      </c>
    </row>
    <row r="382" spans="1:26" ht="43" customHeight="1" x14ac:dyDescent="0.35">
      <c r="A382" s="203" t="s">
        <v>1601</v>
      </c>
      <c r="B382" s="203" t="s">
        <v>1149</v>
      </c>
      <c r="C382" s="203" t="s">
        <v>1756</v>
      </c>
      <c r="D382" s="243">
        <v>48101901</v>
      </c>
      <c r="E382" s="216" t="s">
        <v>1762</v>
      </c>
      <c r="F382" s="228" t="s">
        <v>1763</v>
      </c>
      <c r="G382" s="188" t="s">
        <v>71</v>
      </c>
      <c r="H382" s="205" t="s">
        <v>70</v>
      </c>
      <c r="I382" s="217">
        <v>1</v>
      </c>
      <c r="J382" s="187" t="s">
        <v>940</v>
      </c>
      <c r="K382" s="218">
        <v>300000</v>
      </c>
      <c r="L382" s="219">
        <v>0.19</v>
      </c>
      <c r="M382" s="218">
        <v>57000</v>
      </c>
      <c r="N382" s="218">
        <v>357000</v>
      </c>
      <c r="O382" s="203" t="s">
        <v>791</v>
      </c>
      <c r="P382" s="203" t="s">
        <v>89</v>
      </c>
      <c r="Q382" s="220">
        <v>357000</v>
      </c>
      <c r="R382" s="220">
        <v>0</v>
      </c>
      <c r="S382" s="220">
        <v>0</v>
      </c>
      <c r="T382" s="220">
        <v>0</v>
      </c>
      <c r="U382" s="203" t="s">
        <v>1757</v>
      </c>
      <c r="V382" s="204"/>
      <c r="W382" s="207">
        <v>300000</v>
      </c>
      <c r="X382" s="225" t="s">
        <v>998</v>
      </c>
      <c r="Y382" s="225" t="s">
        <v>999</v>
      </c>
      <c r="Z382" s="225" t="s">
        <v>1764</v>
      </c>
    </row>
    <row r="383" spans="1:26" ht="43" customHeight="1" x14ac:dyDescent="0.35">
      <c r="A383" s="203" t="s">
        <v>1601</v>
      </c>
      <c r="B383" s="203" t="s">
        <v>1149</v>
      </c>
      <c r="C383" s="203" t="s">
        <v>1756</v>
      </c>
      <c r="D383" s="243">
        <v>48101705</v>
      </c>
      <c r="E383" s="216" t="s">
        <v>1003</v>
      </c>
      <c r="F383" s="228" t="s">
        <v>1765</v>
      </c>
      <c r="G383" s="188" t="s">
        <v>71</v>
      </c>
      <c r="H383" s="205" t="s">
        <v>70</v>
      </c>
      <c r="I383" s="217">
        <v>1</v>
      </c>
      <c r="J383" s="187" t="s">
        <v>940</v>
      </c>
      <c r="K383" s="218">
        <v>900000</v>
      </c>
      <c r="L383" s="219">
        <v>0.19</v>
      </c>
      <c r="M383" s="218">
        <v>171000</v>
      </c>
      <c r="N383" s="218">
        <v>1071000</v>
      </c>
      <c r="O383" s="203" t="s">
        <v>791</v>
      </c>
      <c r="P383" s="203" t="s">
        <v>89</v>
      </c>
      <c r="Q383" s="220">
        <v>1071000</v>
      </c>
      <c r="R383" s="220">
        <v>0</v>
      </c>
      <c r="S383" s="220">
        <v>0</v>
      </c>
      <c r="T383" s="220">
        <v>0</v>
      </c>
      <c r="U383" s="203" t="s">
        <v>1757</v>
      </c>
      <c r="V383" s="204"/>
      <c r="W383" s="207">
        <v>900000</v>
      </c>
      <c r="X383" s="225" t="s">
        <v>998</v>
      </c>
      <c r="Y383" s="225" t="s">
        <v>999</v>
      </c>
      <c r="Z383" s="225" t="s">
        <v>1764</v>
      </c>
    </row>
    <row r="384" spans="1:26" ht="43" customHeight="1" x14ac:dyDescent="0.35">
      <c r="A384" s="203" t="s">
        <v>1601</v>
      </c>
      <c r="B384" s="203" t="s">
        <v>1149</v>
      </c>
      <c r="C384" s="203" t="s">
        <v>1756</v>
      </c>
      <c r="D384" s="243">
        <v>78181703</v>
      </c>
      <c r="E384" s="216" t="s">
        <v>1766</v>
      </c>
      <c r="F384" s="228" t="s">
        <v>1767</v>
      </c>
      <c r="G384" s="188" t="s">
        <v>67</v>
      </c>
      <c r="H384" s="205" t="s">
        <v>68</v>
      </c>
      <c r="I384" s="217">
        <v>12</v>
      </c>
      <c r="J384" s="187" t="s">
        <v>940</v>
      </c>
      <c r="K384" s="218">
        <v>2490000</v>
      </c>
      <c r="L384" s="219">
        <v>0.19</v>
      </c>
      <c r="M384" s="218">
        <v>473100</v>
      </c>
      <c r="N384" s="218">
        <v>2963100</v>
      </c>
      <c r="O384" s="203" t="s">
        <v>791</v>
      </c>
      <c r="P384" s="203" t="s">
        <v>89</v>
      </c>
      <c r="Q384" s="220">
        <v>2963100</v>
      </c>
      <c r="R384" s="220">
        <v>0</v>
      </c>
      <c r="S384" s="220">
        <v>0</v>
      </c>
      <c r="T384" s="220">
        <v>0</v>
      </c>
      <c r="U384" s="203" t="s">
        <v>1757</v>
      </c>
      <c r="V384" s="204"/>
      <c r="W384" s="207">
        <v>2490000</v>
      </c>
      <c r="X384" s="225" t="s">
        <v>935</v>
      </c>
      <c r="Y384" s="225" t="s">
        <v>1648</v>
      </c>
      <c r="Z384" s="225" t="s">
        <v>1648</v>
      </c>
    </row>
    <row r="385" spans="1:26" ht="43" customHeight="1" x14ac:dyDescent="0.35">
      <c r="A385" s="203" t="s">
        <v>1601</v>
      </c>
      <c r="B385" s="203" t="s">
        <v>1149</v>
      </c>
      <c r="C385" s="203" t="s">
        <v>1756</v>
      </c>
      <c r="D385" s="243">
        <v>72121103</v>
      </c>
      <c r="E385" s="216" t="s">
        <v>1768</v>
      </c>
      <c r="F385" s="228" t="s">
        <v>1769</v>
      </c>
      <c r="G385" s="188" t="s">
        <v>71</v>
      </c>
      <c r="H385" s="205" t="s">
        <v>72</v>
      </c>
      <c r="I385" s="217">
        <v>1</v>
      </c>
      <c r="J385" s="187" t="s">
        <v>940</v>
      </c>
      <c r="K385" s="218">
        <v>200000000</v>
      </c>
      <c r="L385" s="219">
        <v>0.19</v>
      </c>
      <c r="M385" s="218">
        <v>38000000</v>
      </c>
      <c r="N385" s="218">
        <v>238000000</v>
      </c>
      <c r="O385" s="203" t="s">
        <v>791</v>
      </c>
      <c r="P385" s="203" t="s">
        <v>89</v>
      </c>
      <c r="Q385" s="220">
        <v>238000000</v>
      </c>
      <c r="R385" s="220">
        <v>0</v>
      </c>
      <c r="S385" s="220">
        <v>0</v>
      </c>
      <c r="T385" s="220">
        <v>0</v>
      </c>
      <c r="U385" s="203" t="s">
        <v>1757</v>
      </c>
      <c r="V385" s="204"/>
      <c r="W385" s="207">
        <v>238000000</v>
      </c>
      <c r="X385" s="225" t="s">
        <v>1618</v>
      </c>
      <c r="Y385" s="225" t="s">
        <v>1618</v>
      </c>
      <c r="Z385" s="225" t="s">
        <v>1770</v>
      </c>
    </row>
    <row r="386" spans="1:26" ht="43" customHeight="1" x14ac:dyDescent="0.35">
      <c r="A386" s="203" t="s">
        <v>1601</v>
      </c>
      <c r="B386" s="203" t="s">
        <v>1149</v>
      </c>
      <c r="C386" s="203" t="s">
        <v>1756</v>
      </c>
      <c r="D386" s="243">
        <v>45111609</v>
      </c>
      <c r="E386" s="216" t="s">
        <v>1771</v>
      </c>
      <c r="F386" s="228" t="s">
        <v>1772</v>
      </c>
      <c r="G386" s="188" t="s">
        <v>70</v>
      </c>
      <c r="H386" s="205" t="s">
        <v>71</v>
      </c>
      <c r="I386" s="217">
        <v>1</v>
      </c>
      <c r="J386" s="187" t="s">
        <v>940</v>
      </c>
      <c r="K386" s="218">
        <v>2000000</v>
      </c>
      <c r="L386" s="219">
        <v>0.19</v>
      </c>
      <c r="M386" s="218">
        <v>380000</v>
      </c>
      <c r="N386" s="218">
        <v>2380000</v>
      </c>
      <c r="O386" s="203" t="s">
        <v>791</v>
      </c>
      <c r="P386" s="203" t="s">
        <v>89</v>
      </c>
      <c r="Q386" s="220">
        <v>2380000</v>
      </c>
      <c r="R386" s="220">
        <v>0</v>
      </c>
      <c r="S386" s="220">
        <v>0</v>
      </c>
      <c r="T386" s="220">
        <v>0</v>
      </c>
      <c r="U386" s="203" t="s">
        <v>1757</v>
      </c>
      <c r="V386" s="204"/>
      <c r="W386" s="207">
        <v>2000000</v>
      </c>
      <c r="X386" s="225" t="s">
        <v>1773</v>
      </c>
      <c r="Y386" s="225" t="s">
        <v>1774</v>
      </c>
      <c r="Z386" s="225" t="s">
        <v>1612</v>
      </c>
    </row>
    <row r="387" spans="1:26" ht="43" customHeight="1" x14ac:dyDescent="0.35">
      <c r="A387" s="203" t="s">
        <v>1601</v>
      </c>
      <c r="B387" s="203" t="s">
        <v>1149</v>
      </c>
      <c r="C387" s="203" t="s">
        <v>1756</v>
      </c>
      <c r="D387" s="243">
        <v>56111503</v>
      </c>
      <c r="E387" s="216" t="s">
        <v>1775</v>
      </c>
      <c r="F387" s="228" t="s">
        <v>1776</v>
      </c>
      <c r="G387" s="188" t="s">
        <v>1777</v>
      </c>
      <c r="H387" s="205" t="s">
        <v>72</v>
      </c>
      <c r="I387" s="217">
        <v>1</v>
      </c>
      <c r="J387" s="187" t="s">
        <v>940</v>
      </c>
      <c r="K387" s="218">
        <v>25000000</v>
      </c>
      <c r="L387" s="219">
        <v>0.19</v>
      </c>
      <c r="M387" s="218">
        <v>4750000</v>
      </c>
      <c r="N387" s="218">
        <v>29750000</v>
      </c>
      <c r="O387" s="203" t="s">
        <v>791</v>
      </c>
      <c r="P387" s="203" t="s">
        <v>89</v>
      </c>
      <c r="Q387" s="220">
        <v>29750000</v>
      </c>
      <c r="R387" s="220">
        <v>0</v>
      </c>
      <c r="S387" s="220">
        <v>0</v>
      </c>
      <c r="T387" s="220">
        <v>0</v>
      </c>
      <c r="U387" s="203" t="s">
        <v>1757</v>
      </c>
      <c r="V387" s="204"/>
      <c r="W387" s="207">
        <v>73000000</v>
      </c>
      <c r="X387" s="225" t="s">
        <v>1773</v>
      </c>
      <c r="Y387" s="225" t="s">
        <v>1774</v>
      </c>
      <c r="Z387" s="225" t="s">
        <v>1612</v>
      </c>
    </row>
    <row r="388" spans="1:26" ht="43" customHeight="1" x14ac:dyDescent="0.35">
      <c r="A388" s="203" t="s">
        <v>1601</v>
      </c>
      <c r="B388" s="203" t="s">
        <v>1149</v>
      </c>
      <c r="C388" s="203" t="s">
        <v>1756</v>
      </c>
      <c r="D388" s="243">
        <v>56101700</v>
      </c>
      <c r="E388" s="216" t="s">
        <v>1778</v>
      </c>
      <c r="F388" s="228" t="s">
        <v>1779</v>
      </c>
      <c r="G388" s="188" t="s">
        <v>78</v>
      </c>
      <c r="H388" s="205" t="s">
        <v>78</v>
      </c>
      <c r="I388" s="217">
        <v>1</v>
      </c>
      <c r="J388" s="187" t="s">
        <v>940</v>
      </c>
      <c r="K388" s="218">
        <v>10000000</v>
      </c>
      <c r="L388" s="219">
        <v>0.19</v>
      </c>
      <c r="M388" s="218">
        <v>1900000</v>
      </c>
      <c r="N388" s="218">
        <v>11900000</v>
      </c>
      <c r="O388" s="203" t="s">
        <v>791</v>
      </c>
      <c r="P388" s="203" t="s">
        <v>89</v>
      </c>
      <c r="Q388" s="220">
        <v>11900000</v>
      </c>
      <c r="R388" s="220">
        <v>0</v>
      </c>
      <c r="S388" s="220">
        <v>0</v>
      </c>
      <c r="T388" s="220">
        <v>0</v>
      </c>
      <c r="U388" s="203" t="s">
        <v>1757</v>
      </c>
      <c r="V388" s="204"/>
      <c r="W388" s="207">
        <v>9996000</v>
      </c>
      <c r="X388" s="225" t="s">
        <v>1618</v>
      </c>
      <c r="Y388" s="225" t="s">
        <v>1618</v>
      </c>
      <c r="Z388" s="225" t="s">
        <v>1770</v>
      </c>
    </row>
    <row r="389" spans="1:26" ht="43" customHeight="1" x14ac:dyDescent="0.35">
      <c r="A389" s="203" t="s">
        <v>1601</v>
      </c>
      <c r="B389" s="203" t="s">
        <v>1149</v>
      </c>
      <c r="C389" s="203" t="s">
        <v>1780</v>
      </c>
      <c r="D389" s="243">
        <v>80141902</v>
      </c>
      <c r="E389" s="216" t="s">
        <v>1603</v>
      </c>
      <c r="F389" s="228" t="s">
        <v>1604</v>
      </c>
      <c r="G389" s="188" t="s">
        <v>69</v>
      </c>
      <c r="H389" s="205" t="s">
        <v>69</v>
      </c>
      <c r="I389" s="217">
        <v>1</v>
      </c>
      <c r="J389" s="187" t="s">
        <v>940</v>
      </c>
      <c r="K389" s="218">
        <v>4500000</v>
      </c>
      <c r="L389" s="219">
        <v>0.19</v>
      </c>
      <c r="M389" s="218">
        <v>855000</v>
      </c>
      <c r="N389" s="218">
        <v>5355000</v>
      </c>
      <c r="O389" s="203" t="s">
        <v>791</v>
      </c>
      <c r="P389" s="203" t="s">
        <v>89</v>
      </c>
      <c r="Q389" s="220">
        <v>5355000</v>
      </c>
      <c r="R389" s="220">
        <v>0</v>
      </c>
      <c r="S389" s="220">
        <v>0</v>
      </c>
      <c r="T389" s="220">
        <v>0</v>
      </c>
      <c r="U389" s="203" t="s">
        <v>1781</v>
      </c>
      <c r="V389" s="204"/>
      <c r="W389" s="207">
        <v>4500000</v>
      </c>
      <c r="X389" s="225" t="s">
        <v>1228</v>
      </c>
      <c r="Y389" s="225" t="s">
        <v>1234</v>
      </c>
      <c r="Z389" s="225" t="s">
        <v>1235</v>
      </c>
    </row>
    <row r="390" spans="1:26" ht="43" customHeight="1" x14ac:dyDescent="0.35">
      <c r="A390" s="203" t="s">
        <v>1601</v>
      </c>
      <c r="B390" s="203" t="s">
        <v>1149</v>
      </c>
      <c r="C390" s="203" t="s">
        <v>1780</v>
      </c>
      <c r="D390" s="243">
        <v>80141902</v>
      </c>
      <c r="E390" s="216" t="s">
        <v>1603</v>
      </c>
      <c r="F390" s="228" t="s">
        <v>1606</v>
      </c>
      <c r="G390" s="188" t="s">
        <v>77</v>
      </c>
      <c r="H390" s="205" t="s">
        <v>77</v>
      </c>
      <c r="I390" s="217">
        <v>1</v>
      </c>
      <c r="J390" s="187" t="s">
        <v>940</v>
      </c>
      <c r="K390" s="218">
        <v>4500000</v>
      </c>
      <c r="L390" s="219">
        <v>0.19</v>
      </c>
      <c r="M390" s="218">
        <v>855000</v>
      </c>
      <c r="N390" s="218">
        <v>5355000</v>
      </c>
      <c r="O390" s="203" t="s">
        <v>791</v>
      </c>
      <c r="P390" s="203" t="s">
        <v>89</v>
      </c>
      <c r="Q390" s="220">
        <v>5355000</v>
      </c>
      <c r="R390" s="220">
        <v>0</v>
      </c>
      <c r="S390" s="220">
        <v>0</v>
      </c>
      <c r="T390" s="220">
        <v>0</v>
      </c>
      <c r="U390" s="203" t="s">
        <v>1781</v>
      </c>
      <c r="V390" s="204"/>
      <c r="W390" s="207">
        <v>4500000</v>
      </c>
      <c r="X390" s="225" t="s">
        <v>1228</v>
      </c>
      <c r="Y390" s="225" t="s">
        <v>1229</v>
      </c>
      <c r="Z390" s="225" t="s">
        <v>1230</v>
      </c>
    </row>
    <row r="391" spans="1:26" ht="43" customHeight="1" x14ac:dyDescent="0.35">
      <c r="A391" s="203" t="s">
        <v>1601</v>
      </c>
      <c r="B391" s="203" t="s">
        <v>1149</v>
      </c>
      <c r="C391" s="203" t="s">
        <v>1780</v>
      </c>
      <c r="D391" s="243">
        <v>80141902</v>
      </c>
      <c r="E391" s="216" t="s">
        <v>1603</v>
      </c>
      <c r="F391" s="228" t="s">
        <v>772</v>
      </c>
      <c r="G391" s="188" t="s">
        <v>77</v>
      </c>
      <c r="H391" s="205" t="s">
        <v>78</v>
      </c>
      <c r="I391" s="217">
        <v>1</v>
      </c>
      <c r="J391" s="187" t="s">
        <v>1186</v>
      </c>
      <c r="K391" s="218">
        <v>3900000</v>
      </c>
      <c r="L391" s="219">
        <v>0.19</v>
      </c>
      <c r="M391" s="218">
        <v>741000</v>
      </c>
      <c r="N391" s="218">
        <v>4641000</v>
      </c>
      <c r="O391" s="203" t="s">
        <v>791</v>
      </c>
      <c r="P391" s="203" t="s">
        <v>89</v>
      </c>
      <c r="Q391" s="220">
        <v>3900000</v>
      </c>
      <c r="R391" s="220">
        <v>0</v>
      </c>
      <c r="S391" s="220">
        <v>0</v>
      </c>
      <c r="T391" s="220">
        <v>0</v>
      </c>
      <c r="U391" s="203" t="s">
        <v>1781</v>
      </c>
      <c r="V391" s="204"/>
      <c r="W391" s="207">
        <v>3900000</v>
      </c>
      <c r="X391" s="225" t="s">
        <v>965</v>
      </c>
      <c r="Y391" s="225" t="s">
        <v>965</v>
      </c>
      <c r="Z391" s="225" t="s">
        <v>971</v>
      </c>
    </row>
    <row r="392" spans="1:26" ht="43" customHeight="1" x14ac:dyDescent="0.35">
      <c r="A392" s="203" t="s">
        <v>1601</v>
      </c>
      <c r="B392" s="203" t="s">
        <v>1149</v>
      </c>
      <c r="C392" s="203" t="s">
        <v>1780</v>
      </c>
      <c r="D392" s="243">
        <v>80141902</v>
      </c>
      <c r="E392" s="216" t="s">
        <v>1603</v>
      </c>
      <c r="F392" s="228" t="s">
        <v>1607</v>
      </c>
      <c r="G392" s="188" t="s">
        <v>72</v>
      </c>
      <c r="H392" s="205" t="s">
        <v>73</v>
      </c>
      <c r="I392" s="217">
        <v>1</v>
      </c>
      <c r="J392" s="187" t="s">
        <v>1186</v>
      </c>
      <c r="K392" s="218">
        <v>3500000</v>
      </c>
      <c r="L392" s="219">
        <v>0.19</v>
      </c>
      <c r="M392" s="218">
        <v>665000</v>
      </c>
      <c r="N392" s="218">
        <v>4165000</v>
      </c>
      <c r="O392" s="203" t="s">
        <v>791</v>
      </c>
      <c r="P392" s="203" t="s">
        <v>89</v>
      </c>
      <c r="Q392" s="220">
        <v>3500000</v>
      </c>
      <c r="R392" s="220">
        <v>0</v>
      </c>
      <c r="S392" s="220">
        <v>0</v>
      </c>
      <c r="T392" s="220">
        <v>0</v>
      </c>
      <c r="U392" s="203" t="s">
        <v>1781</v>
      </c>
      <c r="V392" s="204"/>
      <c r="W392" s="207">
        <v>3500000</v>
      </c>
      <c r="X392" s="225" t="s">
        <v>965</v>
      </c>
      <c r="Y392" s="225" t="s">
        <v>965</v>
      </c>
      <c r="Z392" s="225" t="s">
        <v>971</v>
      </c>
    </row>
    <row r="393" spans="1:26" ht="43" customHeight="1" x14ac:dyDescent="0.35">
      <c r="A393" s="203" t="s">
        <v>1601</v>
      </c>
      <c r="B393" s="203" t="s">
        <v>1149</v>
      </c>
      <c r="C393" s="203" t="s">
        <v>1780</v>
      </c>
      <c r="D393" s="243">
        <v>52161505</v>
      </c>
      <c r="E393" s="216" t="s">
        <v>1698</v>
      </c>
      <c r="F393" s="228" t="s">
        <v>1782</v>
      </c>
      <c r="G393" s="188" t="s">
        <v>72</v>
      </c>
      <c r="H393" s="205" t="s">
        <v>72</v>
      </c>
      <c r="I393" s="217">
        <v>1</v>
      </c>
      <c r="J393" s="187" t="s">
        <v>1186</v>
      </c>
      <c r="K393" s="218">
        <v>3000000</v>
      </c>
      <c r="L393" s="219">
        <v>0.19</v>
      </c>
      <c r="M393" s="218">
        <v>570000</v>
      </c>
      <c r="N393" s="218">
        <v>3570000</v>
      </c>
      <c r="O393" s="203" t="s">
        <v>791</v>
      </c>
      <c r="P393" s="203" t="s">
        <v>89</v>
      </c>
      <c r="Q393" s="220">
        <v>3570000</v>
      </c>
      <c r="R393" s="220">
        <v>0</v>
      </c>
      <c r="S393" s="220">
        <v>0</v>
      </c>
      <c r="T393" s="220">
        <v>0</v>
      </c>
      <c r="U393" s="203" t="s">
        <v>1781</v>
      </c>
      <c r="V393" s="204"/>
      <c r="W393" s="207">
        <v>3000000</v>
      </c>
      <c r="X393" s="225" t="s">
        <v>1783</v>
      </c>
      <c r="Y393" s="225" t="s">
        <v>1071</v>
      </c>
      <c r="Z393" s="225" t="s">
        <v>1612</v>
      </c>
    </row>
    <row r="394" spans="1:26" ht="43" customHeight="1" x14ac:dyDescent="0.35">
      <c r="A394" s="203" t="s">
        <v>1601</v>
      </c>
      <c r="B394" s="203" t="s">
        <v>1149</v>
      </c>
      <c r="C394" s="203" t="s">
        <v>1780</v>
      </c>
      <c r="D394" s="243">
        <v>39112505</v>
      </c>
      <c r="E394" s="216" t="s">
        <v>1784</v>
      </c>
      <c r="F394" s="228" t="s">
        <v>1785</v>
      </c>
      <c r="G394" s="188" t="s">
        <v>73</v>
      </c>
      <c r="H394" s="205" t="s">
        <v>73</v>
      </c>
      <c r="I394" s="217">
        <v>2</v>
      </c>
      <c r="J394" s="187" t="s">
        <v>1186</v>
      </c>
      <c r="K394" s="218">
        <v>1500000</v>
      </c>
      <c r="L394" s="219">
        <v>0.19</v>
      </c>
      <c r="M394" s="218">
        <v>285000</v>
      </c>
      <c r="N394" s="218">
        <v>1785000</v>
      </c>
      <c r="O394" s="203" t="s">
        <v>791</v>
      </c>
      <c r="P394" s="203" t="s">
        <v>89</v>
      </c>
      <c r="Q394" s="220">
        <v>1785000</v>
      </c>
      <c r="R394" s="220">
        <v>0</v>
      </c>
      <c r="S394" s="220">
        <v>0</v>
      </c>
      <c r="T394" s="220">
        <v>0</v>
      </c>
      <c r="U394" s="203" t="s">
        <v>1781</v>
      </c>
      <c r="V394" s="204"/>
      <c r="W394" s="207">
        <v>1500000</v>
      </c>
      <c r="X394" s="225" t="s">
        <v>1041</v>
      </c>
      <c r="Y394" s="225" t="s">
        <v>1041</v>
      </c>
      <c r="Z394" s="225" t="s">
        <v>1041</v>
      </c>
    </row>
    <row r="395" spans="1:26" ht="43" customHeight="1" x14ac:dyDescent="0.35">
      <c r="A395" s="203" t="s">
        <v>1601</v>
      </c>
      <c r="B395" s="203" t="s">
        <v>1149</v>
      </c>
      <c r="C395" s="203" t="s">
        <v>1780</v>
      </c>
      <c r="D395" s="243">
        <v>45111609</v>
      </c>
      <c r="E395" s="216" t="s">
        <v>1771</v>
      </c>
      <c r="F395" s="228" t="s">
        <v>1786</v>
      </c>
      <c r="G395" s="188" t="s">
        <v>72</v>
      </c>
      <c r="H395" s="205" t="s">
        <v>72</v>
      </c>
      <c r="I395" s="217">
        <v>1</v>
      </c>
      <c r="J395" s="187" t="s">
        <v>1186</v>
      </c>
      <c r="K395" s="218">
        <v>2000000</v>
      </c>
      <c r="L395" s="219">
        <v>0.19</v>
      </c>
      <c r="M395" s="218">
        <v>380000</v>
      </c>
      <c r="N395" s="218">
        <v>2380000</v>
      </c>
      <c r="O395" s="203" t="s">
        <v>791</v>
      </c>
      <c r="P395" s="203" t="s">
        <v>89</v>
      </c>
      <c r="Q395" s="220">
        <v>2380000</v>
      </c>
      <c r="R395" s="220">
        <v>0</v>
      </c>
      <c r="S395" s="220">
        <v>0</v>
      </c>
      <c r="T395" s="220">
        <v>0</v>
      </c>
      <c r="U395" s="203" t="s">
        <v>1781</v>
      </c>
      <c r="V395" s="204"/>
      <c r="W395" s="207">
        <v>2000000</v>
      </c>
      <c r="X395" s="225" t="s">
        <v>1783</v>
      </c>
      <c r="Y395" s="225" t="s">
        <v>1071</v>
      </c>
      <c r="Z395" s="225" t="s">
        <v>1612</v>
      </c>
    </row>
    <row r="396" spans="1:26" ht="43" customHeight="1" x14ac:dyDescent="0.35">
      <c r="A396" s="203" t="s">
        <v>1601</v>
      </c>
      <c r="B396" s="203" t="s">
        <v>1149</v>
      </c>
      <c r="C396" s="203" t="s">
        <v>1780</v>
      </c>
      <c r="D396" s="243">
        <v>80131502</v>
      </c>
      <c r="E396" s="216" t="s">
        <v>1684</v>
      </c>
      <c r="F396" s="228" t="s">
        <v>778</v>
      </c>
      <c r="G396" s="188" t="s">
        <v>68</v>
      </c>
      <c r="H396" s="205" t="s">
        <v>68</v>
      </c>
      <c r="I396" s="217">
        <v>11</v>
      </c>
      <c r="J396" s="187" t="s">
        <v>940</v>
      </c>
      <c r="K396" s="218">
        <v>8500000</v>
      </c>
      <c r="L396" s="219">
        <v>0.19</v>
      </c>
      <c r="M396" s="218">
        <v>1615000</v>
      </c>
      <c r="N396" s="218">
        <v>10115000</v>
      </c>
      <c r="O396" s="203" t="s">
        <v>791</v>
      </c>
      <c r="P396" s="203" t="s">
        <v>89</v>
      </c>
      <c r="Q396" s="220">
        <v>10115000</v>
      </c>
      <c r="R396" s="220">
        <v>0</v>
      </c>
      <c r="S396" s="220">
        <v>0</v>
      </c>
      <c r="T396" s="220">
        <v>0</v>
      </c>
      <c r="U396" s="203" t="s">
        <v>1781</v>
      </c>
      <c r="V396" s="204" t="s">
        <v>1787</v>
      </c>
      <c r="W396" s="207">
        <v>8500000</v>
      </c>
      <c r="X396" s="225" t="s">
        <v>935</v>
      </c>
      <c r="Y396" s="225" t="s">
        <v>1648</v>
      </c>
      <c r="Z396" s="225" t="s">
        <v>1648</v>
      </c>
    </row>
    <row r="397" spans="1:26" ht="43" customHeight="1" x14ac:dyDescent="0.35">
      <c r="A397" s="203" t="s">
        <v>1601</v>
      </c>
      <c r="B397" s="203" t="s">
        <v>1149</v>
      </c>
      <c r="C397" s="203" t="s">
        <v>1780</v>
      </c>
      <c r="D397" s="243">
        <v>72101511</v>
      </c>
      <c r="E397" s="216" t="s">
        <v>1007</v>
      </c>
      <c r="F397" s="216" t="s">
        <v>1007</v>
      </c>
      <c r="G397" s="188" t="s">
        <v>69</v>
      </c>
      <c r="H397" s="205" t="s">
        <v>70</v>
      </c>
      <c r="I397" s="217">
        <v>10</v>
      </c>
      <c r="J397" s="187" t="s">
        <v>1186</v>
      </c>
      <c r="K397" s="218">
        <v>1423092</v>
      </c>
      <c r="L397" s="219">
        <v>0.19</v>
      </c>
      <c r="M397" s="218">
        <v>270387.48</v>
      </c>
      <c r="N397" s="218">
        <v>1693479.48</v>
      </c>
      <c r="O397" s="203" t="s">
        <v>791</v>
      </c>
      <c r="P397" s="203" t="s">
        <v>89</v>
      </c>
      <c r="Q397" s="220">
        <v>1423092</v>
      </c>
      <c r="R397" s="220">
        <v>0</v>
      </c>
      <c r="S397" s="220">
        <v>0</v>
      </c>
      <c r="T397" s="220">
        <v>0</v>
      </c>
      <c r="U397" s="203" t="s">
        <v>1781</v>
      </c>
      <c r="V397" s="204" t="s">
        <v>1788</v>
      </c>
      <c r="W397" s="207">
        <v>1423092</v>
      </c>
      <c r="X397" s="225" t="s">
        <v>1005</v>
      </c>
      <c r="Y397" s="225" t="s">
        <v>1014</v>
      </c>
      <c r="Z397" s="225" t="s">
        <v>1009</v>
      </c>
    </row>
    <row r="398" spans="1:26" ht="43" customHeight="1" x14ac:dyDescent="0.35">
      <c r="A398" s="203" t="s">
        <v>1601</v>
      </c>
      <c r="B398" s="203" t="s">
        <v>1149</v>
      </c>
      <c r="C398" s="203" t="s">
        <v>1780</v>
      </c>
      <c r="D398" s="243">
        <v>72154028</v>
      </c>
      <c r="E398" s="216" t="s">
        <v>1012</v>
      </c>
      <c r="F398" s="216" t="s">
        <v>1620</v>
      </c>
      <c r="G398" s="188" t="s">
        <v>1777</v>
      </c>
      <c r="H398" s="205" t="s">
        <v>72</v>
      </c>
      <c r="I398" s="217">
        <v>2</v>
      </c>
      <c r="J398" s="187" t="s">
        <v>940</v>
      </c>
      <c r="K398" s="218">
        <v>7000000</v>
      </c>
      <c r="L398" s="219">
        <v>0.19</v>
      </c>
      <c r="M398" s="218">
        <v>1330000</v>
      </c>
      <c r="N398" s="218">
        <v>8330000</v>
      </c>
      <c r="O398" s="203" t="s">
        <v>791</v>
      </c>
      <c r="P398" s="203" t="s">
        <v>89</v>
      </c>
      <c r="Q398" s="220">
        <v>8330000</v>
      </c>
      <c r="R398" s="220">
        <v>0</v>
      </c>
      <c r="S398" s="220">
        <v>0</v>
      </c>
      <c r="T398" s="220">
        <v>0</v>
      </c>
      <c r="U398" s="203" t="s">
        <v>1781</v>
      </c>
      <c r="V398" s="204"/>
      <c r="W398" s="207">
        <v>7000000</v>
      </c>
      <c r="X398" s="225" t="s">
        <v>1618</v>
      </c>
      <c r="Y398" s="225" t="s">
        <v>1618</v>
      </c>
      <c r="Z398" s="225" t="s">
        <v>1619</v>
      </c>
    </row>
    <row r="399" spans="1:26" ht="43" customHeight="1" x14ac:dyDescent="0.35">
      <c r="A399" s="203" t="s">
        <v>1601</v>
      </c>
      <c r="B399" s="203" t="s">
        <v>1149</v>
      </c>
      <c r="C399" s="203" t="s">
        <v>1789</v>
      </c>
      <c r="D399" s="243">
        <v>80141902</v>
      </c>
      <c r="E399" s="216" t="s">
        <v>1603</v>
      </c>
      <c r="F399" s="228" t="s">
        <v>1604</v>
      </c>
      <c r="G399" s="188" t="s">
        <v>69</v>
      </c>
      <c r="H399" s="205" t="s">
        <v>69</v>
      </c>
      <c r="I399" s="217">
        <v>1</v>
      </c>
      <c r="J399" s="187" t="s">
        <v>940</v>
      </c>
      <c r="K399" s="218">
        <v>9800000</v>
      </c>
      <c r="L399" s="219">
        <v>0.19</v>
      </c>
      <c r="M399" s="218">
        <v>1862000</v>
      </c>
      <c r="N399" s="218">
        <v>11662000</v>
      </c>
      <c r="O399" s="203" t="s">
        <v>791</v>
      </c>
      <c r="P399" s="203" t="s">
        <v>89</v>
      </c>
      <c r="Q399" s="220">
        <v>11662000</v>
      </c>
      <c r="R399" s="220">
        <v>0</v>
      </c>
      <c r="S399" s="220">
        <v>0</v>
      </c>
      <c r="T399" s="220">
        <v>0</v>
      </c>
      <c r="U399" s="203" t="s">
        <v>1790</v>
      </c>
      <c r="V399" s="204"/>
      <c r="W399" s="207"/>
      <c r="X399" s="225" t="s">
        <v>1228</v>
      </c>
      <c r="Y399" s="225" t="s">
        <v>1234</v>
      </c>
      <c r="Z399" s="225" t="s">
        <v>1235</v>
      </c>
    </row>
    <row r="400" spans="1:26" ht="43" customHeight="1" x14ac:dyDescent="0.35">
      <c r="A400" s="203" t="s">
        <v>1601</v>
      </c>
      <c r="B400" s="203" t="s">
        <v>1149</v>
      </c>
      <c r="C400" s="203" t="s">
        <v>1789</v>
      </c>
      <c r="D400" s="243">
        <v>80141902</v>
      </c>
      <c r="E400" s="216" t="s">
        <v>1603</v>
      </c>
      <c r="F400" s="228" t="s">
        <v>1606</v>
      </c>
      <c r="G400" s="188" t="s">
        <v>77</v>
      </c>
      <c r="H400" s="205" t="s">
        <v>77</v>
      </c>
      <c r="I400" s="217">
        <v>1</v>
      </c>
      <c r="J400" s="187" t="s">
        <v>940</v>
      </c>
      <c r="K400" s="218">
        <v>9800000</v>
      </c>
      <c r="L400" s="219">
        <v>0.19</v>
      </c>
      <c r="M400" s="218">
        <v>1862000</v>
      </c>
      <c r="N400" s="218">
        <v>11662000</v>
      </c>
      <c r="O400" s="203" t="s">
        <v>791</v>
      </c>
      <c r="P400" s="203" t="s">
        <v>89</v>
      </c>
      <c r="Q400" s="220">
        <v>11662000</v>
      </c>
      <c r="R400" s="220">
        <v>0</v>
      </c>
      <c r="S400" s="220">
        <v>0</v>
      </c>
      <c r="T400" s="220">
        <v>0</v>
      </c>
      <c r="U400" s="203" t="s">
        <v>1790</v>
      </c>
      <c r="V400" s="204"/>
      <c r="W400" s="207"/>
      <c r="X400" s="225" t="s">
        <v>1228</v>
      </c>
      <c r="Y400" s="225" t="s">
        <v>1229</v>
      </c>
      <c r="Z400" s="225" t="s">
        <v>1230</v>
      </c>
    </row>
    <row r="401" spans="1:26" ht="43" customHeight="1" x14ac:dyDescent="0.35">
      <c r="A401" s="203" t="s">
        <v>1601</v>
      </c>
      <c r="B401" s="203" t="s">
        <v>1149</v>
      </c>
      <c r="C401" s="203" t="s">
        <v>1789</v>
      </c>
      <c r="D401" s="243">
        <v>80141902</v>
      </c>
      <c r="E401" s="216" t="s">
        <v>1603</v>
      </c>
      <c r="F401" s="228" t="s">
        <v>772</v>
      </c>
      <c r="G401" s="188" t="s">
        <v>77</v>
      </c>
      <c r="H401" s="205" t="s">
        <v>78</v>
      </c>
      <c r="I401" s="217">
        <v>1</v>
      </c>
      <c r="J401" s="187" t="s">
        <v>940</v>
      </c>
      <c r="K401" s="218">
        <v>11000000</v>
      </c>
      <c r="L401" s="219">
        <v>0.19</v>
      </c>
      <c r="M401" s="218">
        <v>2090000</v>
      </c>
      <c r="N401" s="218">
        <v>13090000</v>
      </c>
      <c r="O401" s="203" t="s">
        <v>791</v>
      </c>
      <c r="P401" s="203" t="s">
        <v>89</v>
      </c>
      <c r="Q401" s="220">
        <v>13090000</v>
      </c>
      <c r="R401" s="220">
        <v>0</v>
      </c>
      <c r="S401" s="220">
        <v>0</v>
      </c>
      <c r="T401" s="220">
        <v>0</v>
      </c>
      <c r="U401" s="203" t="s">
        <v>1790</v>
      </c>
      <c r="V401" s="204"/>
      <c r="W401" s="207"/>
      <c r="X401" s="225" t="s">
        <v>965</v>
      </c>
      <c r="Y401" s="225" t="s">
        <v>965</v>
      </c>
      <c r="Z401" s="225" t="s">
        <v>971</v>
      </c>
    </row>
    <row r="402" spans="1:26" ht="43" customHeight="1" x14ac:dyDescent="0.35">
      <c r="A402" s="203" t="s">
        <v>1601</v>
      </c>
      <c r="B402" s="203" t="s">
        <v>1149</v>
      </c>
      <c r="C402" s="203" t="s">
        <v>1789</v>
      </c>
      <c r="D402" s="243">
        <v>80141902</v>
      </c>
      <c r="E402" s="216" t="s">
        <v>1603</v>
      </c>
      <c r="F402" s="228" t="s">
        <v>1607</v>
      </c>
      <c r="G402" s="188" t="s">
        <v>72</v>
      </c>
      <c r="H402" s="205" t="s">
        <v>73</v>
      </c>
      <c r="I402" s="217">
        <v>1</v>
      </c>
      <c r="J402" s="187" t="s">
        <v>940</v>
      </c>
      <c r="K402" s="218">
        <v>10000000</v>
      </c>
      <c r="L402" s="219">
        <v>0.19</v>
      </c>
      <c r="M402" s="218">
        <v>1900000</v>
      </c>
      <c r="N402" s="218">
        <v>11900000</v>
      </c>
      <c r="O402" s="203" t="s">
        <v>791</v>
      </c>
      <c r="P402" s="203" t="s">
        <v>89</v>
      </c>
      <c r="Q402" s="220">
        <v>11900000</v>
      </c>
      <c r="R402" s="220">
        <v>0</v>
      </c>
      <c r="S402" s="220">
        <v>0</v>
      </c>
      <c r="T402" s="220">
        <v>0</v>
      </c>
      <c r="U402" s="203" t="s">
        <v>1790</v>
      </c>
      <c r="V402" s="204"/>
      <c r="W402" s="207"/>
      <c r="X402" s="225" t="s">
        <v>965</v>
      </c>
      <c r="Y402" s="225" t="s">
        <v>965</v>
      </c>
      <c r="Z402" s="225" t="s">
        <v>971</v>
      </c>
    </row>
    <row r="403" spans="1:26" ht="43" customHeight="1" x14ac:dyDescent="0.35">
      <c r="A403" s="203" t="s">
        <v>1601</v>
      </c>
      <c r="B403" s="203" t="s">
        <v>1149</v>
      </c>
      <c r="C403" s="203" t="s">
        <v>1789</v>
      </c>
      <c r="D403" s="243">
        <v>72151200</v>
      </c>
      <c r="E403" s="216" t="s">
        <v>1007</v>
      </c>
      <c r="F403" s="228" t="s">
        <v>779</v>
      </c>
      <c r="G403" s="188" t="s">
        <v>67</v>
      </c>
      <c r="H403" s="205" t="s">
        <v>68</v>
      </c>
      <c r="I403" s="217">
        <v>12</v>
      </c>
      <c r="J403" s="187" t="s">
        <v>940</v>
      </c>
      <c r="K403" s="218">
        <v>6700000</v>
      </c>
      <c r="L403" s="219">
        <v>0.19</v>
      </c>
      <c r="M403" s="218">
        <v>1273000</v>
      </c>
      <c r="N403" s="218">
        <v>7973000</v>
      </c>
      <c r="O403" s="203" t="s">
        <v>791</v>
      </c>
      <c r="P403" s="203" t="s">
        <v>89</v>
      </c>
      <c r="Q403" s="220">
        <v>7973000</v>
      </c>
      <c r="R403" s="220">
        <v>0</v>
      </c>
      <c r="S403" s="220">
        <v>0</v>
      </c>
      <c r="T403" s="220">
        <v>0</v>
      </c>
      <c r="U403" s="203" t="s">
        <v>1790</v>
      </c>
      <c r="V403" s="204"/>
      <c r="W403" s="207"/>
      <c r="X403" s="225" t="s">
        <v>1005</v>
      </c>
      <c r="Y403" s="225" t="s">
        <v>1014</v>
      </c>
      <c r="Z403" s="225" t="s">
        <v>1009</v>
      </c>
    </row>
    <row r="404" spans="1:26" ht="43" customHeight="1" x14ac:dyDescent="0.35">
      <c r="A404" s="203" t="s">
        <v>1601</v>
      </c>
      <c r="B404" s="203" t="s">
        <v>1149</v>
      </c>
      <c r="C404" s="203" t="s">
        <v>1789</v>
      </c>
      <c r="D404" s="243">
        <v>72154066</v>
      </c>
      <c r="E404" s="216" t="s">
        <v>1791</v>
      </c>
      <c r="F404" s="228" t="s">
        <v>781</v>
      </c>
      <c r="G404" s="188" t="s">
        <v>69</v>
      </c>
      <c r="H404" s="205" t="s">
        <v>69</v>
      </c>
      <c r="I404" s="217">
        <v>10</v>
      </c>
      <c r="J404" s="187" t="s">
        <v>940</v>
      </c>
      <c r="K404" s="218">
        <v>5500000</v>
      </c>
      <c r="L404" s="219">
        <v>0.19</v>
      </c>
      <c r="M404" s="218">
        <v>1045000</v>
      </c>
      <c r="N404" s="218">
        <v>6545000</v>
      </c>
      <c r="O404" s="203" t="s">
        <v>791</v>
      </c>
      <c r="P404" s="203" t="s">
        <v>89</v>
      </c>
      <c r="Q404" s="220">
        <v>6545000</v>
      </c>
      <c r="R404" s="220">
        <v>0</v>
      </c>
      <c r="S404" s="220">
        <v>0</v>
      </c>
      <c r="T404" s="220">
        <v>0</v>
      </c>
      <c r="U404" s="203" t="s">
        <v>1790</v>
      </c>
      <c r="V404" s="204"/>
      <c r="W404" s="207"/>
      <c r="X404" s="225" t="s">
        <v>1005</v>
      </c>
      <c r="Y404" s="225" t="s">
        <v>1014</v>
      </c>
      <c r="Z404" s="225" t="s">
        <v>1014</v>
      </c>
    </row>
    <row r="405" spans="1:26" ht="43" customHeight="1" x14ac:dyDescent="0.35">
      <c r="A405" s="203" t="s">
        <v>1601</v>
      </c>
      <c r="B405" s="203" t="s">
        <v>1149</v>
      </c>
      <c r="C405" s="203" t="s">
        <v>1789</v>
      </c>
      <c r="D405" s="243">
        <v>78181703</v>
      </c>
      <c r="E405" s="216" t="s">
        <v>1766</v>
      </c>
      <c r="F405" s="228" t="s">
        <v>782</v>
      </c>
      <c r="G405" s="188" t="s">
        <v>67</v>
      </c>
      <c r="H405" s="205" t="s">
        <v>68</v>
      </c>
      <c r="I405" s="217">
        <v>12</v>
      </c>
      <c r="J405" s="187" t="s">
        <v>940</v>
      </c>
      <c r="K405" s="218">
        <v>20622644</v>
      </c>
      <c r="L405" s="219">
        <v>0.19</v>
      </c>
      <c r="M405" s="218">
        <v>3918302.36</v>
      </c>
      <c r="N405" s="218">
        <v>24540946.359999999</v>
      </c>
      <c r="O405" s="203" t="s">
        <v>791</v>
      </c>
      <c r="P405" s="203" t="s">
        <v>89</v>
      </c>
      <c r="Q405" s="220">
        <v>24540946.359999999</v>
      </c>
      <c r="R405" s="220">
        <v>0</v>
      </c>
      <c r="S405" s="220">
        <v>0</v>
      </c>
      <c r="T405" s="220">
        <v>0</v>
      </c>
      <c r="U405" s="203" t="s">
        <v>1790</v>
      </c>
      <c r="V405" s="204"/>
      <c r="W405" s="207"/>
      <c r="X405" s="225" t="s">
        <v>935</v>
      </c>
      <c r="Y405" s="225" t="s">
        <v>1648</v>
      </c>
      <c r="Z405" s="225" t="s">
        <v>1648</v>
      </c>
    </row>
    <row r="406" spans="1:26" ht="43" customHeight="1" x14ac:dyDescent="0.35">
      <c r="A406" s="203" t="s">
        <v>1601</v>
      </c>
      <c r="B406" s="203" t="s">
        <v>1149</v>
      </c>
      <c r="C406" s="203" t="s">
        <v>1789</v>
      </c>
      <c r="D406" s="243">
        <v>72101509</v>
      </c>
      <c r="E406" s="216" t="s">
        <v>1792</v>
      </c>
      <c r="F406" s="228" t="s">
        <v>780</v>
      </c>
      <c r="G406" s="188" t="s">
        <v>77</v>
      </c>
      <c r="H406" s="205" t="s">
        <v>77</v>
      </c>
      <c r="I406" s="217">
        <v>1</v>
      </c>
      <c r="J406" s="187" t="s">
        <v>940</v>
      </c>
      <c r="K406" s="218">
        <v>2700000</v>
      </c>
      <c r="L406" s="219">
        <v>0.19</v>
      </c>
      <c r="M406" s="218">
        <v>513000</v>
      </c>
      <c r="N406" s="218">
        <v>3213000</v>
      </c>
      <c r="O406" s="203" t="s">
        <v>791</v>
      </c>
      <c r="P406" s="203" t="s">
        <v>89</v>
      </c>
      <c r="Q406" s="220">
        <v>3213000</v>
      </c>
      <c r="R406" s="220">
        <v>0</v>
      </c>
      <c r="S406" s="220">
        <v>0</v>
      </c>
      <c r="T406" s="220">
        <v>0</v>
      </c>
      <c r="U406" s="203" t="s">
        <v>1790</v>
      </c>
      <c r="V406" s="204"/>
      <c r="W406" s="207"/>
      <c r="X406" s="225" t="s">
        <v>1005</v>
      </c>
      <c r="Y406" s="225" t="s">
        <v>1014</v>
      </c>
      <c r="Z406" s="225" t="s">
        <v>1014</v>
      </c>
    </row>
    <row r="407" spans="1:26" ht="43" customHeight="1" x14ac:dyDescent="0.35">
      <c r="A407" s="203" t="s">
        <v>1601</v>
      </c>
      <c r="B407" s="203" t="s">
        <v>1149</v>
      </c>
      <c r="C407" s="203" t="s">
        <v>1789</v>
      </c>
      <c r="D407" s="243">
        <v>72153000</v>
      </c>
      <c r="E407" s="216" t="s">
        <v>1793</v>
      </c>
      <c r="F407" s="228" t="s">
        <v>1794</v>
      </c>
      <c r="G407" s="188" t="s">
        <v>68</v>
      </c>
      <c r="H407" s="205" t="s">
        <v>68</v>
      </c>
      <c r="I407" s="217">
        <v>1</v>
      </c>
      <c r="J407" s="187" t="s">
        <v>940</v>
      </c>
      <c r="K407" s="218">
        <v>3000000</v>
      </c>
      <c r="L407" s="219">
        <v>0.19</v>
      </c>
      <c r="M407" s="218">
        <v>570000</v>
      </c>
      <c r="N407" s="218">
        <v>3570000</v>
      </c>
      <c r="O407" s="203" t="s">
        <v>791</v>
      </c>
      <c r="P407" s="203" t="s">
        <v>89</v>
      </c>
      <c r="Q407" s="220">
        <v>3570000</v>
      </c>
      <c r="R407" s="220">
        <v>0</v>
      </c>
      <c r="S407" s="220">
        <v>0</v>
      </c>
      <c r="T407" s="220">
        <v>0</v>
      </c>
      <c r="U407" s="203" t="s">
        <v>1790</v>
      </c>
      <c r="V407" s="204"/>
      <c r="W407" s="207"/>
      <c r="X407" s="225" t="s">
        <v>1618</v>
      </c>
      <c r="Y407" s="225" t="s">
        <v>1618</v>
      </c>
      <c r="Z407" s="225" t="s">
        <v>1770</v>
      </c>
    </row>
    <row r="408" spans="1:26" ht="43" customHeight="1" x14ac:dyDescent="0.35">
      <c r="A408" s="203" t="s">
        <v>1601</v>
      </c>
      <c r="B408" s="203" t="s">
        <v>1149</v>
      </c>
      <c r="C408" s="203" t="s">
        <v>1789</v>
      </c>
      <c r="D408" s="243">
        <v>52141509</v>
      </c>
      <c r="E408" s="216" t="s">
        <v>1795</v>
      </c>
      <c r="F408" s="228" t="s">
        <v>1796</v>
      </c>
      <c r="G408" s="188" t="s">
        <v>72</v>
      </c>
      <c r="H408" s="205" t="s">
        <v>72</v>
      </c>
      <c r="I408" s="217">
        <v>1</v>
      </c>
      <c r="J408" s="187" t="s">
        <v>940</v>
      </c>
      <c r="K408" s="218">
        <v>2521008</v>
      </c>
      <c r="L408" s="219">
        <v>0.19</v>
      </c>
      <c r="M408" s="218">
        <v>478991.52</v>
      </c>
      <c r="N408" s="218">
        <v>2999999.52</v>
      </c>
      <c r="O408" s="203" t="s">
        <v>791</v>
      </c>
      <c r="P408" s="203" t="s">
        <v>89</v>
      </c>
      <c r="Q408" s="220">
        <v>2999999.52</v>
      </c>
      <c r="R408" s="220">
        <v>0</v>
      </c>
      <c r="S408" s="220">
        <v>0</v>
      </c>
      <c r="T408" s="220">
        <v>0</v>
      </c>
      <c r="U408" s="203" t="s">
        <v>1790</v>
      </c>
      <c r="V408" s="204"/>
      <c r="W408" s="207"/>
      <c r="X408" s="225" t="s">
        <v>1070</v>
      </c>
      <c r="Y408" s="225" t="s">
        <v>1071</v>
      </c>
      <c r="Z408" s="225" t="s">
        <v>1612</v>
      </c>
    </row>
    <row r="409" spans="1:26" ht="43" customHeight="1" x14ac:dyDescent="0.35">
      <c r="A409" s="203" t="s">
        <v>1601</v>
      </c>
      <c r="B409" s="203" t="s">
        <v>1149</v>
      </c>
      <c r="C409" s="203" t="s">
        <v>1789</v>
      </c>
      <c r="D409" s="243">
        <v>52141502</v>
      </c>
      <c r="E409" s="216" t="s">
        <v>1723</v>
      </c>
      <c r="F409" s="228" t="s">
        <v>1797</v>
      </c>
      <c r="G409" s="188" t="s">
        <v>71</v>
      </c>
      <c r="H409" s="205" t="s">
        <v>71</v>
      </c>
      <c r="I409" s="217">
        <v>1</v>
      </c>
      <c r="J409" s="187" t="s">
        <v>940</v>
      </c>
      <c r="K409" s="218">
        <v>2941176.5</v>
      </c>
      <c r="L409" s="219">
        <v>0.19</v>
      </c>
      <c r="M409" s="218">
        <v>558823.53500000003</v>
      </c>
      <c r="N409" s="218">
        <v>3500000.0350000001</v>
      </c>
      <c r="O409" s="203" t="s">
        <v>791</v>
      </c>
      <c r="P409" s="203" t="s">
        <v>89</v>
      </c>
      <c r="Q409" s="220">
        <v>3500000.0350000001</v>
      </c>
      <c r="R409" s="220">
        <v>0</v>
      </c>
      <c r="S409" s="220">
        <v>0</v>
      </c>
      <c r="T409" s="220">
        <v>0</v>
      </c>
      <c r="U409" s="203" t="s">
        <v>1790</v>
      </c>
      <c r="V409" s="204"/>
      <c r="W409" s="207"/>
      <c r="X409" s="225" t="s">
        <v>1070</v>
      </c>
      <c r="Y409" s="225" t="s">
        <v>1071</v>
      </c>
      <c r="Z409" s="225" t="s">
        <v>1612</v>
      </c>
    </row>
    <row r="410" spans="1:26" ht="43" customHeight="1" x14ac:dyDescent="0.35">
      <c r="A410" s="203" t="s">
        <v>1601</v>
      </c>
      <c r="B410" s="203" t="s">
        <v>1149</v>
      </c>
      <c r="C410" s="203" t="s">
        <v>1789</v>
      </c>
      <c r="D410" s="243">
        <v>56101700</v>
      </c>
      <c r="E410" s="216" t="s">
        <v>1778</v>
      </c>
      <c r="F410" s="228" t="s">
        <v>1798</v>
      </c>
      <c r="G410" s="188" t="s">
        <v>70</v>
      </c>
      <c r="H410" s="205" t="s">
        <v>70</v>
      </c>
      <c r="I410" s="217">
        <v>1</v>
      </c>
      <c r="J410" s="187" t="s">
        <v>940</v>
      </c>
      <c r="K410" s="218">
        <v>1500000</v>
      </c>
      <c r="L410" s="219">
        <v>0.19</v>
      </c>
      <c r="M410" s="218">
        <v>285000</v>
      </c>
      <c r="N410" s="218">
        <v>1785000</v>
      </c>
      <c r="O410" s="203" t="s">
        <v>791</v>
      </c>
      <c r="P410" s="203" t="s">
        <v>89</v>
      </c>
      <c r="Q410" s="220">
        <v>1785000</v>
      </c>
      <c r="R410" s="220">
        <v>0</v>
      </c>
      <c r="S410" s="220">
        <v>0</v>
      </c>
      <c r="T410" s="220">
        <v>0</v>
      </c>
      <c r="U410" s="203" t="s">
        <v>1790</v>
      </c>
      <c r="V410" s="204"/>
      <c r="W410" s="207"/>
      <c r="X410" s="225" t="s">
        <v>1070</v>
      </c>
      <c r="Y410" s="225" t="s">
        <v>1071</v>
      </c>
      <c r="Z410" s="225" t="s">
        <v>1612</v>
      </c>
    </row>
    <row r="411" spans="1:26" ht="43" customHeight="1" x14ac:dyDescent="0.35">
      <c r="A411" s="203" t="s">
        <v>1601</v>
      </c>
      <c r="B411" s="203" t="s">
        <v>1149</v>
      </c>
      <c r="C411" s="203" t="s">
        <v>1789</v>
      </c>
      <c r="D411" s="243">
        <v>72153611</v>
      </c>
      <c r="E411" s="216" t="s">
        <v>1799</v>
      </c>
      <c r="F411" s="228" t="s">
        <v>1800</v>
      </c>
      <c r="G411" s="188" t="s">
        <v>73</v>
      </c>
      <c r="H411" s="205" t="s">
        <v>73</v>
      </c>
      <c r="I411" s="217">
        <v>1</v>
      </c>
      <c r="J411" s="187" t="s">
        <v>940</v>
      </c>
      <c r="K411" s="218">
        <v>2500000</v>
      </c>
      <c r="L411" s="219">
        <v>0.19</v>
      </c>
      <c r="M411" s="218">
        <v>475000</v>
      </c>
      <c r="N411" s="218">
        <v>2975000</v>
      </c>
      <c r="O411" s="203" t="s">
        <v>791</v>
      </c>
      <c r="P411" s="203" t="s">
        <v>89</v>
      </c>
      <c r="Q411" s="220">
        <v>2975000</v>
      </c>
      <c r="R411" s="220">
        <v>0</v>
      </c>
      <c r="S411" s="220">
        <v>0</v>
      </c>
      <c r="T411" s="220">
        <v>0</v>
      </c>
      <c r="U411" s="203" t="s">
        <v>1790</v>
      </c>
      <c r="V411" s="204"/>
      <c r="W411" s="207"/>
      <c r="X411" s="225" t="s">
        <v>1618</v>
      </c>
      <c r="Y411" s="225" t="s">
        <v>1618</v>
      </c>
      <c r="Z411" s="225" t="s">
        <v>1770</v>
      </c>
    </row>
    <row r="412" spans="1:26" ht="43" customHeight="1" x14ac:dyDescent="0.35">
      <c r="A412" s="203" t="s">
        <v>1601</v>
      </c>
      <c r="B412" s="203" t="s">
        <v>1149</v>
      </c>
      <c r="C412" s="203" t="s">
        <v>1789</v>
      </c>
      <c r="D412" s="243">
        <v>42281514</v>
      </c>
      <c r="E412" s="216" t="s">
        <v>1801</v>
      </c>
      <c r="F412" s="228" t="s">
        <v>1802</v>
      </c>
      <c r="G412" s="188" t="s">
        <v>74</v>
      </c>
      <c r="H412" s="205" t="s">
        <v>74</v>
      </c>
      <c r="I412" s="217">
        <v>1</v>
      </c>
      <c r="J412" s="187" t="s">
        <v>940</v>
      </c>
      <c r="K412" s="218">
        <v>2700000</v>
      </c>
      <c r="L412" s="219">
        <v>0.19</v>
      </c>
      <c r="M412" s="218">
        <v>513000</v>
      </c>
      <c r="N412" s="218">
        <v>3213000</v>
      </c>
      <c r="O412" s="203" t="s">
        <v>791</v>
      </c>
      <c r="P412" s="203" t="s">
        <v>89</v>
      </c>
      <c r="Q412" s="220">
        <v>3213000</v>
      </c>
      <c r="R412" s="220">
        <v>0</v>
      </c>
      <c r="S412" s="220">
        <v>0</v>
      </c>
      <c r="T412" s="220">
        <v>0</v>
      </c>
      <c r="U412" s="203" t="s">
        <v>1790</v>
      </c>
      <c r="V412" s="204"/>
      <c r="W412" s="207"/>
      <c r="X412" s="225" t="s">
        <v>1618</v>
      </c>
      <c r="Y412" s="225" t="s">
        <v>1618</v>
      </c>
      <c r="Z412" s="225" t="s">
        <v>1619</v>
      </c>
    </row>
    <row r="413" spans="1:26" ht="43" customHeight="1" x14ac:dyDescent="0.35">
      <c r="A413" s="203" t="s">
        <v>1601</v>
      </c>
      <c r="B413" s="203" t="s">
        <v>1149</v>
      </c>
      <c r="C413" s="203" t="s">
        <v>1803</v>
      </c>
      <c r="D413" s="243">
        <v>80141902</v>
      </c>
      <c r="E413" s="216" t="s">
        <v>1603</v>
      </c>
      <c r="F413" s="228" t="s">
        <v>1604</v>
      </c>
      <c r="G413" s="188" t="s">
        <v>69</v>
      </c>
      <c r="H413" s="205" t="s">
        <v>69</v>
      </c>
      <c r="I413" s="217">
        <v>1</v>
      </c>
      <c r="J413" s="187" t="s">
        <v>940</v>
      </c>
      <c r="K413" s="218">
        <v>1500000</v>
      </c>
      <c r="L413" s="219">
        <v>0.19</v>
      </c>
      <c r="M413" s="218">
        <v>285000</v>
      </c>
      <c r="N413" s="218">
        <v>1785000</v>
      </c>
      <c r="O413" s="203" t="s">
        <v>791</v>
      </c>
      <c r="P413" s="203" t="s">
        <v>89</v>
      </c>
      <c r="Q413" s="220">
        <v>1785000</v>
      </c>
      <c r="R413" s="220">
        <v>0</v>
      </c>
      <c r="S413" s="220">
        <v>0</v>
      </c>
      <c r="T413" s="220">
        <v>0</v>
      </c>
      <c r="U413" s="203" t="s">
        <v>1804</v>
      </c>
      <c r="V413" s="204"/>
      <c r="W413" s="207"/>
      <c r="X413" s="225" t="s">
        <v>1228</v>
      </c>
      <c r="Y413" s="225" t="s">
        <v>1234</v>
      </c>
      <c r="Z413" s="225" t="s">
        <v>1235</v>
      </c>
    </row>
    <row r="414" spans="1:26" ht="43" customHeight="1" x14ac:dyDescent="0.35">
      <c r="A414" s="203" t="s">
        <v>1601</v>
      </c>
      <c r="B414" s="203" t="s">
        <v>1149</v>
      </c>
      <c r="C414" s="203" t="s">
        <v>1803</v>
      </c>
      <c r="D414" s="243">
        <v>80141902</v>
      </c>
      <c r="E414" s="216" t="s">
        <v>1603</v>
      </c>
      <c r="F414" s="228" t="s">
        <v>1606</v>
      </c>
      <c r="G414" s="188" t="s">
        <v>77</v>
      </c>
      <c r="H414" s="205" t="s">
        <v>77</v>
      </c>
      <c r="I414" s="217">
        <v>1</v>
      </c>
      <c r="J414" s="187" t="s">
        <v>940</v>
      </c>
      <c r="K414" s="218">
        <v>1500000</v>
      </c>
      <c r="L414" s="219">
        <v>0.19</v>
      </c>
      <c r="M414" s="218">
        <v>285000</v>
      </c>
      <c r="N414" s="218">
        <v>1785000</v>
      </c>
      <c r="O414" s="203" t="s">
        <v>791</v>
      </c>
      <c r="P414" s="203" t="s">
        <v>89</v>
      </c>
      <c r="Q414" s="220">
        <v>1785000</v>
      </c>
      <c r="R414" s="220">
        <v>0</v>
      </c>
      <c r="S414" s="220">
        <v>0</v>
      </c>
      <c r="T414" s="220">
        <v>0</v>
      </c>
      <c r="U414" s="203" t="s">
        <v>1804</v>
      </c>
      <c r="V414" s="204"/>
      <c r="W414" s="207"/>
      <c r="X414" s="225" t="s">
        <v>1228</v>
      </c>
      <c r="Y414" s="225" t="s">
        <v>1229</v>
      </c>
      <c r="Z414" s="225" t="s">
        <v>1230</v>
      </c>
    </row>
    <row r="415" spans="1:26" ht="43.5" x14ac:dyDescent="0.35">
      <c r="A415" s="203" t="s">
        <v>1601</v>
      </c>
      <c r="B415" s="203" t="s">
        <v>1149</v>
      </c>
      <c r="C415" s="203" t="s">
        <v>1803</v>
      </c>
      <c r="D415" s="243">
        <v>80141902</v>
      </c>
      <c r="E415" s="216" t="s">
        <v>1603</v>
      </c>
      <c r="F415" s="228" t="s">
        <v>772</v>
      </c>
      <c r="G415" s="188" t="s">
        <v>77</v>
      </c>
      <c r="H415" s="205" t="s">
        <v>78</v>
      </c>
      <c r="I415" s="217">
        <v>1</v>
      </c>
      <c r="J415" s="187" t="s">
        <v>1186</v>
      </c>
      <c r="K415" s="218">
        <v>1000000</v>
      </c>
      <c r="L415" s="219">
        <v>0.19</v>
      </c>
      <c r="M415" s="218">
        <v>190000</v>
      </c>
      <c r="N415" s="218">
        <v>1190000</v>
      </c>
      <c r="O415" s="203" t="s">
        <v>791</v>
      </c>
      <c r="P415" s="203" t="s">
        <v>89</v>
      </c>
      <c r="Q415" s="220">
        <v>1190000</v>
      </c>
      <c r="R415" s="220">
        <v>0</v>
      </c>
      <c r="S415" s="220">
        <v>0</v>
      </c>
      <c r="T415" s="220">
        <v>0</v>
      </c>
      <c r="U415" s="203" t="s">
        <v>1804</v>
      </c>
      <c r="V415" s="204"/>
      <c r="W415" s="207"/>
      <c r="X415" s="225" t="s">
        <v>965</v>
      </c>
      <c r="Y415" s="225" t="s">
        <v>1609</v>
      </c>
      <c r="Z415" s="225"/>
    </row>
    <row r="416" spans="1:26" ht="43.5" x14ac:dyDescent="0.35">
      <c r="A416" s="203" t="s">
        <v>1601</v>
      </c>
      <c r="B416" s="203" t="s">
        <v>1149</v>
      </c>
      <c r="C416" s="203" t="s">
        <v>1803</v>
      </c>
      <c r="D416" s="243">
        <v>80141902</v>
      </c>
      <c r="E416" s="216" t="s">
        <v>1603</v>
      </c>
      <c r="F416" s="228" t="s">
        <v>1607</v>
      </c>
      <c r="G416" s="188" t="s">
        <v>72</v>
      </c>
      <c r="H416" s="205" t="s">
        <v>73</v>
      </c>
      <c r="I416" s="217">
        <v>1</v>
      </c>
      <c r="J416" s="187" t="s">
        <v>1186</v>
      </c>
      <c r="K416" s="218">
        <v>1000000</v>
      </c>
      <c r="L416" s="219">
        <v>0.19</v>
      </c>
      <c r="M416" s="218">
        <v>190000</v>
      </c>
      <c r="N416" s="218">
        <v>1190000</v>
      </c>
      <c r="O416" s="203" t="s">
        <v>791</v>
      </c>
      <c r="P416" s="203" t="s">
        <v>89</v>
      </c>
      <c r="Q416" s="220">
        <v>1190000</v>
      </c>
      <c r="R416" s="220">
        <v>0</v>
      </c>
      <c r="S416" s="220">
        <v>0</v>
      </c>
      <c r="T416" s="220">
        <v>0</v>
      </c>
      <c r="U416" s="203" t="s">
        <v>1804</v>
      </c>
      <c r="V416" s="204"/>
      <c r="W416" s="207"/>
      <c r="X416" s="225" t="s">
        <v>1706</v>
      </c>
      <c r="Y416" s="225" t="s">
        <v>1609</v>
      </c>
      <c r="Z416" s="225"/>
    </row>
    <row r="417" spans="1:26" ht="43.5" x14ac:dyDescent="0.35">
      <c r="A417" s="203" t="s">
        <v>1601</v>
      </c>
      <c r="B417" s="203" t="s">
        <v>1149</v>
      </c>
      <c r="C417" s="203" t="s">
        <v>1803</v>
      </c>
      <c r="D417" s="243">
        <v>72154028</v>
      </c>
      <c r="E417" s="216" t="s">
        <v>1805</v>
      </c>
      <c r="F417" s="228" t="s">
        <v>1806</v>
      </c>
      <c r="G417" s="188" t="s">
        <v>73</v>
      </c>
      <c r="H417" s="205" t="s">
        <v>73</v>
      </c>
      <c r="I417" s="217">
        <v>1</v>
      </c>
      <c r="J417" s="187" t="s">
        <v>940</v>
      </c>
      <c r="K417" s="218">
        <v>7000000</v>
      </c>
      <c r="L417" s="219">
        <v>0.19</v>
      </c>
      <c r="M417" s="218">
        <v>1330000</v>
      </c>
      <c r="N417" s="218">
        <v>8330000</v>
      </c>
      <c r="O417" s="203" t="s">
        <v>791</v>
      </c>
      <c r="P417" s="203" t="s">
        <v>89</v>
      </c>
      <c r="Q417" s="220">
        <v>8330000</v>
      </c>
      <c r="R417" s="220">
        <v>0</v>
      </c>
      <c r="S417" s="220">
        <v>0</v>
      </c>
      <c r="T417" s="220">
        <v>0</v>
      </c>
      <c r="U417" s="203" t="s">
        <v>1804</v>
      </c>
      <c r="V417" s="204" t="s">
        <v>1807</v>
      </c>
      <c r="W417" s="207">
        <v>7000000</v>
      </c>
      <c r="X417" s="225" t="s">
        <v>1808</v>
      </c>
      <c r="Y417" s="225" t="s">
        <v>1618</v>
      </c>
      <c r="Z417" s="225" t="s">
        <v>1619</v>
      </c>
    </row>
    <row r="418" spans="1:26" ht="72.5" x14ac:dyDescent="0.35">
      <c r="A418" s="203" t="s">
        <v>1601</v>
      </c>
      <c r="B418" s="203" t="s">
        <v>1149</v>
      </c>
      <c r="C418" s="203" t="s">
        <v>1809</v>
      </c>
      <c r="D418" s="243">
        <v>90101600</v>
      </c>
      <c r="E418" s="216" t="s">
        <v>1810</v>
      </c>
      <c r="F418" s="228" t="s">
        <v>770</v>
      </c>
      <c r="G418" s="188" t="s">
        <v>77</v>
      </c>
      <c r="H418" s="205" t="s">
        <v>77</v>
      </c>
      <c r="I418" s="217">
        <v>1</v>
      </c>
      <c r="J418" s="187" t="s">
        <v>940</v>
      </c>
      <c r="K418" s="218">
        <v>5200000</v>
      </c>
      <c r="L418" s="219">
        <v>0.19</v>
      </c>
      <c r="M418" s="218">
        <v>988000</v>
      </c>
      <c r="N418" s="218">
        <v>6188000</v>
      </c>
      <c r="O418" s="203" t="s">
        <v>791</v>
      </c>
      <c r="P418" s="203" t="s">
        <v>89</v>
      </c>
      <c r="Q418" s="220">
        <v>6188000</v>
      </c>
      <c r="R418" s="220">
        <v>0</v>
      </c>
      <c r="S418" s="220">
        <v>0</v>
      </c>
      <c r="T418" s="220">
        <v>0</v>
      </c>
      <c r="U418" s="203" t="s">
        <v>1811</v>
      </c>
      <c r="V418" s="204"/>
      <c r="W418" s="207"/>
      <c r="X418" s="225" t="s">
        <v>1812</v>
      </c>
      <c r="Y418" s="225" t="s">
        <v>1813</v>
      </c>
      <c r="Z418" s="225"/>
    </row>
    <row r="419" spans="1:26" ht="58" x14ac:dyDescent="0.35">
      <c r="A419" s="203" t="s">
        <v>1601</v>
      </c>
      <c r="B419" s="203" t="s">
        <v>1149</v>
      </c>
      <c r="C419" s="203" t="s">
        <v>1809</v>
      </c>
      <c r="D419" s="243">
        <v>80141902</v>
      </c>
      <c r="E419" s="216" t="s">
        <v>1603</v>
      </c>
      <c r="F419" s="228" t="s">
        <v>1604</v>
      </c>
      <c r="G419" s="188" t="s">
        <v>69</v>
      </c>
      <c r="H419" s="205" t="s">
        <v>69</v>
      </c>
      <c r="I419" s="217">
        <v>1</v>
      </c>
      <c r="J419" s="187" t="s">
        <v>940</v>
      </c>
      <c r="K419" s="218">
        <v>4000000</v>
      </c>
      <c r="L419" s="219">
        <v>0.19</v>
      </c>
      <c r="M419" s="218">
        <v>760000</v>
      </c>
      <c r="N419" s="218">
        <v>4760000</v>
      </c>
      <c r="O419" s="203" t="s">
        <v>791</v>
      </c>
      <c r="P419" s="203" t="s">
        <v>89</v>
      </c>
      <c r="Q419" s="220">
        <v>4760000</v>
      </c>
      <c r="R419" s="220">
        <v>0</v>
      </c>
      <c r="S419" s="220">
        <v>0</v>
      </c>
      <c r="T419" s="220">
        <v>0</v>
      </c>
      <c r="U419" s="203" t="s">
        <v>1811</v>
      </c>
      <c r="V419" s="204"/>
      <c r="W419" s="207"/>
      <c r="X419" s="225" t="s">
        <v>1814</v>
      </c>
      <c r="Y419" s="225" t="s">
        <v>1234</v>
      </c>
      <c r="Z419" s="225" t="s">
        <v>1235</v>
      </c>
    </row>
    <row r="420" spans="1:26" ht="58" x14ac:dyDescent="0.35">
      <c r="A420" s="203" t="s">
        <v>1601</v>
      </c>
      <c r="B420" s="203" t="s">
        <v>1149</v>
      </c>
      <c r="C420" s="203" t="s">
        <v>1809</v>
      </c>
      <c r="D420" s="243">
        <v>80141902</v>
      </c>
      <c r="E420" s="216" t="s">
        <v>1603</v>
      </c>
      <c r="F420" s="228" t="s">
        <v>1606</v>
      </c>
      <c r="G420" s="188" t="s">
        <v>77</v>
      </c>
      <c r="H420" s="205" t="s">
        <v>77</v>
      </c>
      <c r="I420" s="217">
        <v>1</v>
      </c>
      <c r="J420" s="187" t="s">
        <v>940</v>
      </c>
      <c r="K420" s="218">
        <v>4000000</v>
      </c>
      <c r="L420" s="219">
        <v>0.19</v>
      </c>
      <c r="M420" s="218">
        <v>760000</v>
      </c>
      <c r="N420" s="218">
        <v>4760000</v>
      </c>
      <c r="O420" s="203" t="s">
        <v>791</v>
      </c>
      <c r="P420" s="203" t="s">
        <v>89</v>
      </c>
      <c r="Q420" s="220">
        <v>4760000</v>
      </c>
      <c r="R420" s="220">
        <v>0</v>
      </c>
      <c r="S420" s="220">
        <v>0</v>
      </c>
      <c r="T420" s="220">
        <v>0</v>
      </c>
      <c r="U420" s="203" t="s">
        <v>1811</v>
      </c>
      <c r="V420" s="204"/>
      <c r="W420" s="207"/>
      <c r="X420" s="225" t="s">
        <v>1815</v>
      </c>
      <c r="Y420" s="225" t="s">
        <v>1229</v>
      </c>
      <c r="Z420" s="225" t="s">
        <v>1230</v>
      </c>
    </row>
    <row r="421" spans="1:26" ht="43.5" x14ac:dyDescent="0.35">
      <c r="A421" s="203" t="s">
        <v>1601</v>
      </c>
      <c r="B421" s="203" t="s">
        <v>1149</v>
      </c>
      <c r="C421" s="203" t="s">
        <v>1809</v>
      </c>
      <c r="D421" s="243">
        <v>80141902</v>
      </c>
      <c r="E421" s="216" t="s">
        <v>1603</v>
      </c>
      <c r="F421" s="228" t="s">
        <v>1607</v>
      </c>
      <c r="G421" s="188" t="s">
        <v>72</v>
      </c>
      <c r="H421" s="205" t="s">
        <v>73</v>
      </c>
      <c r="I421" s="217">
        <v>1</v>
      </c>
      <c r="J421" s="187" t="s">
        <v>940</v>
      </c>
      <c r="K421" s="218">
        <v>2400000</v>
      </c>
      <c r="L421" s="219">
        <v>0.19</v>
      </c>
      <c r="M421" s="218">
        <v>456000</v>
      </c>
      <c r="N421" s="218">
        <v>2856000</v>
      </c>
      <c r="O421" s="203" t="s">
        <v>791</v>
      </c>
      <c r="P421" s="203" t="s">
        <v>89</v>
      </c>
      <c r="Q421" s="220">
        <v>2856000</v>
      </c>
      <c r="R421" s="220">
        <v>0</v>
      </c>
      <c r="S421" s="220">
        <v>0</v>
      </c>
      <c r="T421" s="220">
        <v>0</v>
      </c>
      <c r="U421" s="203" t="s">
        <v>1811</v>
      </c>
      <c r="V421" s="204"/>
      <c r="W421" s="207"/>
      <c r="X421" s="225" t="s">
        <v>1706</v>
      </c>
      <c r="Y421" s="225" t="s">
        <v>1707</v>
      </c>
      <c r="Z421" s="225"/>
    </row>
    <row r="422" spans="1:26" ht="43.5" x14ac:dyDescent="0.35">
      <c r="A422" s="203" t="s">
        <v>1601</v>
      </c>
      <c r="B422" s="203" t="s">
        <v>1149</v>
      </c>
      <c r="C422" s="203" t="s">
        <v>1809</v>
      </c>
      <c r="D422" s="243">
        <v>80141902</v>
      </c>
      <c r="E422" s="216" t="s">
        <v>1603</v>
      </c>
      <c r="F422" s="228" t="s">
        <v>772</v>
      </c>
      <c r="G422" s="188" t="s">
        <v>77</v>
      </c>
      <c r="H422" s="205" t="s">
        <v>78</v>
      </c>
      <c r="I422" s="217">
        <v>1</v>
      </c>
      <c r="J422" s="187" t="s">
        <v>940</v>
      </c>
      <c r="K422" s="218">
        <v>2600000</v>
      </c>
      <c r="L422" s="219">
        <v>0.19</v>
      </c>
      <c r="M422" s="218">
        <v>494000</v>
      </c>
      <c r="N422" s="218">
        <v>3094000</v>
      </c>
      <c r="O422" s="203" t="s">
        <v>791</v>
      </c>
      <c r="P422" s="203" t="s">
        <v>89</v>
      </c>
      <c r="Q422" s="220">
        <v>3094000</v>
      </c>
      <c r="R422" s="220">
        <v>0</v>
      </c>
      <c r="S422" s="220">
        <v>0</v>
      </c>
      <c r="T422" s="220">
        <v>0</v>
      </c>
      <c r="U422" s="203" t="s">
        <v>1811</v>
      </c>
      <c r="V422" s="204"/>
      <c r="W422" s="207"/>
      <c r="X422" s="225" t="s">
        <v>1706</v>
      </c>
      <c r="Y422" s="225" t="s">
        <v>1707</v>
      </c>
      <c r="Z422" s="225"/>
    </row>
    <row r="423" spans="1:26" ht="29" x14ac:dyDescent="0.35">
      <c r="A423" s="203" t="s">
        <v>1601</v>
      </c>
      <c r="B423" s="203" t="s">
        <v>1149</v>
      </c>
      <c r="C423" s="203" t="s">
        <v>1809</v>
      </c>
      <c r="D423" s="243">
        <v>78181703</v>
      </c>
      <c r="E423" s="216" t="s">
        <v>1766</v>
      </c>
      <c r="F423" s="228" t="s">
        <v>783</v>
      </c>
      <c r="G423" s="188" t="s">
        <v>68</v>
      </c>
      <c r="H423" s="205" t="s">
        <v>68</v>
      </c>
      <c r="I423" s="217">
        <v>11</v>
      </c>
      <c r="J423" s="187" t="s">
        <v>940</v>
      </c>
      <c r="K423" s="218">
        <v>4500000</v>
      </c>
      <c r="L423" s="219">
        <v>0.19</v>
      </c>
      <c r="M423" s="218">
        <v>855000</v>
      </c>
      <c r="N423" s="218">
        <v>5355000</v>
      </c>
      <c r="O423" s="203" t="s">
        <v>791</v>
      </c>
      <c r="P423" s="203" t="s">
        <v>89</v>
      </c>
      <c r="Q423" s="220">
        <v>5355000</v>
      </c>
      <c r="R423" s="220">
        <v>0</v>
      </c>
      <c r="S423" s="220">
        <v>0</v>
      </c>
      <c r="T423" s="220">
        <v>0</v>
      </c>
      <c r="U423" s="203" t="s">
        <v>1811</v>
      </c>
      <c r="V423" s="204"/>
      <c r="W423" s="207"/>
      <c r="X423" s="225" t="s">
        <v>935</v>
      </c>
      <c r="Y423" s="225" t="s">
        <v>1648</v>
      </c>
      <c r="Z423" s="225" t="s">
        <v>1648</v>
      </c>
    </row>
    <row r="424" spans="1:26" ht="58" x14ac:dyDescent="0.35">
      <c r="A424" s="203" t="s">
        <v>1601</v>
      </c>
      <c r="B424" s="203" t="s">
        <v>1149</v>
      </c>
      <c r="C424" s="203" t="s">
        <v>1809</v>
      </c>
      <c r="D424" s="243">
        <v>72101511</v>
      </c>
      <c r="E424" s="216" t="s">
        <v>1007</v>
      </c>
      <c r="F424" s="228" t="s">
        <v>784</v>
      </c>
      <c r="G424" s="188" t="s">
        <v>68</v>
      </c>
      <c r="H424" s="205" t="s">
        <v>68</v>
      </c>
      <c r="I424" s="217">
        <v>11</v>
      </c>
      <c r="J424" s="187" t="s">
        <v>940</v>
      </c>
      <c r="K424" s="218">
        <v>7526952</v>
      </c>
      <c r="L424" s="219">
        <v>0.19</v>
      </c>
      <c r="M424" s="218">
        <v>1430120.8800000001</v>
      </c>
      <c r="N424" s="218">
        <v>8957072.8800000008</v>
      </c>
      <c r="O424" s="203" t="s">
        <v>791</v>
      </c>
      <c r="P424" s="203" t="s">
        <v>89</v>
      </c>
      <c r="Q424" s="220">
        <v>8957072.8800000008</v>
      </c>
      <c r="R424" s="220">
        <v>0</v>
      </c>
      <c r="S424" s="220">
        <v>0</v>
      </c>
      <c r="T424" s="220">
        <v>0</v>
      </c>
      <c r="U424" s="203" t="s">
        <v>1811</v>
      </c>
      <c r="V424" s="204"/>
      <c r="W424" s="207"/>
      <c r="X424" s="225" t="s">
        <v>1635</v>
      </c>
      <c r="Y424" s="225" t="s">
        <v>1636</v>
      </c>
      <c r="Z424" s="225"/>
    </row>
    <row r="425" spans="1:26" ht="43.5" x14ac:dyDescent="0.35">
      <c r="A425" s="203" t="s">
        <v>1601</v>
      </c>
      <c r="B425" s="203" t="s">
        <v>1149</v>
      </c>
      <c r="C425" s="203" t="s">
        <v>1809</v>
      </c>
      <c r="D425" s="243">
        <v>82121507</v>
      </c>
      <c r="E425" s="216" t="s">
        <v>1679</v>
      </c>
      <c r="F425" s="228" t="s">
        <v>785</v>
      </c>
      <c r="G425" s="188" t="s">
        <v>71</v>
      </c>
      <c r="H425" s="205" t="s">
        <v>71</v>
      </c>
      <c r="I425" s="217">
        <v>7</v>
      </c>
      <c r="J425" s="187" t="s">
        <v>940</v>
      </c>
      <c r="K425" s="218">
        <v>5000000</v>
      </c>
      <c r="L425" s="219">
        <v>0.19</v>
      </c>
      <c r="M425" s="218">
        <v>950000</v>
      </c>
      <c r="N425" s="218">
        <v>5950000</v>
      </c>
      <c r="O425" s="203" t="s">
        <v>791</v>
      </c>
      <c r="P425" s="203" t="s">
        <v>89</v>
      </c>
      <c r="Q425" s="220">
        <v>5950000</v>
      </c>
      <c r="R425" s="220">
        <v>0</v>
      </c>
      <c r="S425" s="220">
        <v>0</v>
      </c>
      <c r="T425" s="220">
        <v>0</v>
      </c>
      <c r="U425" s="203" t="s">
        <v>1811</v>
      </c>
      <c r="V425" s="204"/>
      <c r="W425" s="207"/>
      <c r="X425" s="225" t="s">
        <v>1816</v>
      </c>
      <c r="Y425" s="225" t="s">
        <v>1816</v>
      </c>
      <c r="Z425" s="225"/>
    </row>
    <row r="426" spans="1:26" ht="29" x14ac:dyDescent="0.35">
      <c r="A426" s="203" t="s">
        <v>1601</v>
      </c>
      <c r="B426" s="203" t="s">
        <v>1149</v>
      </c>
      <c r="C426" s="203" t="s">
        <v>1809</v>
      </c>
      <c r="D426" s="243">
        <v>26121609</v>
      </c>
      <c r="E426" s="216" t="s">
        <v>1817</v>
      </c>
      <c r="F426" s="228" t="s">
        <v>1818</v>
      </c>
      <c r="G426" s="188" t="s">
        <v>68</v>
      </c>
      <c r="H426" s="205" t="s">
        <v>69</v>
      </c>
      <c r="I426" s="217">
        <v>1</v>
      </c>
      <c r="J426" s="187" t="s">
        <v>940</v>
      </c>
      <c r="K426" s="218">
        <v>9740000</v>
      </c>
      <c r="L426" s="219">
        <v>0.19</v>
      </c>
      <c r="M426" s="218">
        <v>1850600</v>
      </c>
      <c r="N426" s="218">
        <v>11590600</v>
      </c>
      <c r="O426" s="203" t="s">
        <v>791</v>
      </c>
      <c r="P426" s="203" t="s">
        <v>89</v>
      </c>
      <c r="Q426" s="220">
        <v>11590600</v>
      </c>
      <c r="R426" s="220">
        <v>0</v>
      </c>
      <c r="S426" s="220">
        <v>0</v>
      </c>
      <c r="T426" s="220">
        <v>0</v>
      </c>
      <c r="U426" s="203" t="s">
        <v>1811</v>
      </c>
      <c r="V426" s="204"/>
      <c r="W426" s="207"/>
      <c r="X426" s="225" t="s">
        <v>1618</v>
      </c>
      <c r="Y426" s="225" t="s">
        <v>1618</v>
      </c>
      <c r="Z426" s="225" t="s">
        <v>1701</v>
      </c>
    </row>
    <row r="427" spans="1:26" ht="29" x14ac:dyDescent="0.35">
      <c r="A427" s="203" t="s">
        <v>1601</v>
      </c>
      <c r="B427" s="203" t="s">
        <v>1149</v>
      </c>
      <c r="C427" s="203" t="s">
        <v>1809</v>
      </c>
      <c r="D427" s="243">
        <v>73181104</v>
      </c>
      <c r="E427" s="216" t="s">
        <v>1819</v>
      </c>
      <c r="F427" s="228" t="s">
        <v>1820</v>
      </c>
      <c r="G427" s="188" t="s">
        <v>72</v>
      </c>
      <c r="H427" s="205" t="s">
        <v>72</v>
      </c>
      <c r="I427" s="217">
        <v>1</v>
      </c>
      <c r="J427" s="187" t="s">
        <v>940</v>
      </c>
      <c r="K427" s="218">
        <v>5000000</v>
      </c>
      <c r="L427" s="219">
        <v>0.19</v>
      </c>
      <c r="M427" s="218">
        <v>950000</v>
      </c>
      <c r="N427" s="218">
        <v>5950000</v>
      </c>
      <c r="O427" s="203" t="s">
        <v>791</v>
      </c>
      <c r="P427" s="203" t="s">
        <v>89</v>
      </c>
      <c r="Q427" s="220">
        <v>5950000</v>
      </c>
      <c r="R427" s="220">
        <v>0</v>
      </c>
      <c r="S427" s="220">
        <v>0</v>
      </c>
      <c r="T427" s="220">
        <v>0</v>
      </c>
      <c r="U427" s="203" t="s">
        <v>1811</v>
      </c>
      <c r="V427" s="204"/>
      <c r="W427" s="207"/>
      <c r="X427" s="225" t="s">
        <v>1618</v>
      </c>
      <c r="Y427" s="225" t="s">
        <v>1618</v>
      </c>
      <c r="Z427" s="225" t="s">
        <v>1619</v>
      </c>
    </row>
    <row r="428" spans="1:26" ht="58" x14ac:dyDescent="0.35">
      <c r="A428" s="203" t="s">
        <v>1601</v>
      </c>
      <c r="B428" s="203" t="s">
        <v>1149</v>
      </c>
      <c r="C428" s="203" t="s">
        <v>1809</v>
      </c>
      <c r="D428" s="243">
        <v>40101701</v>
      </c>
      <c r="E428" s="216" t="s">
        <v>1091</v>
      </c>
      <c r="F428" s="228" t="s">
        <v>1821</v>
      </c>
      <c r="G428" s="188" t="s">
        <v>73</v>
      </c>
      <c r="H428" s="205" t="s">
        <v>73</v>
      </c>
      <c r="I428" s="217">
        <v>1</v>
      </c>
      <c r="J428" s="187" t="s">
        <v>940</v>
      </c>
      <c r="K428" s="218">
        <v>18854000</v>
      </c>
      <c r="L428" s="219">
        <v>0.19</v>
      </c>
      <c r="M428" s="218">
        <v>3582260</v>
      </c>
      <c r="N428" s="218">
        <v>22436260</v>
      </c>
      <c r="O428" s="203" t="s">
        <v>791</v>
      </c>
      <c r="P428" s="203" t="s">
        <v>89</v>
      </c>
      <c r="Q428" s="220">
        <v>22436260</v>
      </c>
      <c r="R428" s="220">
        <v>0</v>
      </c>
      <c r="S428" s="220">
        <v>0</v>
      </c>
      <c r="T428" s="220">
        <v>0</v>
      </c>
      <c r="U428" s="203" t="s">
        <v>1811</v>
      </c>
      <c r="V428" s="204"/>
      <c r="W428" s="207"/>
      <c r="X428" s="225" t="s">
        <v>1070</v>
      </c>
      <c r="Y428" s="225" t="s">
        <v>1071</v>
      </c>
      <c r="Z428" s="225" t="s">
        <v>1612</v>
      </c>
    </row>
    <row r="429" spans="1:26" ht="29" x14ac:dyDescent="0.35">
      <c r="A429" s="203" t="s">
        <v>1601</v>
      </c>
      <c r="B429" s="203" t="s">
        <v>1149</v>
      </c>
      <c r="C429" s="203" t="s">
        <v>1809</v>
      </c>
      <c r="D429" s="243">
        <v>72154028</v>
      </c>
      <c r="E429" s="216" t="s">
        <v>1822</v>
      </c>
      <c r="F429" s="228" t="s">
        <v>1823</v>
      </c>
      <c r="G429" s="188" t="s">
        <v>72</v>
      </c>
      <c r="H429" s="205" t="s">
        <v>72</v>
      </c>
      <c r="I429" s="217">
        <v>1</v>
      </c>
      <c r="J429" s="187" t="s">
        <v>940</v>
      </c>
      <c r="K429" s="218">
        <v>7000000</v>
      </c>
      <c r="L429" s="219">
        <v>0.19</v>
      </c>
      <c r="M429" s="218">
        <v>1330000</v>
      </c>
      <c r="N429" s="218">
        <v>8330000</v>
      </c>
      <c r="O429" s="203" t="s">
        <v>791</v>
      </c>
      <c r="P429" s="203" t="s">
        <v>89</v>
      </c>
      <c r="Q429" s="220">
        <v>8330000</v>
      </c>
      <c r="R429" s="220">
        <v>0</v>
      </c>
      <c r="S429" s="220">
        <v>0</v>
      </c>
      <c r="T429" s="220">
        <v>0</v>
      </c>
      <c r="U429" s="203" t="s">
        <v>1811</v>
      </c>
      <c r="V429" s="204"/>
      <c r="W429" s="207"/>
      <c r="X429" s="225" t="s">
        <v>1618</v>
      </c>
      <c r="Y429" s="225" t="s">
        <v>1618</v>
      </c>
      <c r="Z429" s="225"/>
    </row>
    <row r="430" spans="1:26" ht="58" x14ac:dyDescent="0.35">
      <c r="A430" s="203" t="s">
        <v>1601</v>
      </c>
      <c r="B430" s="203" t="s">
        <v>1149</v>
      </c>
      <c r="C430" s="203" t="s">
        <v>1824</v>
      </c>
      <c r="D430" s="243">
        <v>80141902</v>
      </c>
      <c r="E430" s="216" t="s">
        <v>1603</v>
      </c>
      <c r="F430" s="228" t="s">
        <v>1604</v>
      </c>
      <c r="G430" s="188" t="s">
        <v>69</v>
      </c>
      <c r="H430" s="205" t="s">
        <v>69</v>
      </c>
      <c r="I430" s="217">
        <v>1</v>
      </c>
      <c r="J430" s="187" t="s">
        <v>940</v>
      </c>
      <c r="K430" s="218">
        <v>3700000</v>
      </c>
      <c r="L430" s="219">
        <v>0.19</v>
      </c>
      <c r="M430" s="218">
        <v>703000</v>
      </c>
      <c r="N430" s="218">
        <v>4403000</v>
      </c>
      <c r="O430" s="203" t="s">
        <v>791</v>
      </c>
      <c r="P430" s="203" t="s">
        <v>89</v>
      </c>
      <c r="Q430" s="220">
        <v>4403000</v>
      </c>
      <c r="R430" s="220">
        <v>0</v>
      </c>
      <c r="S430" s="220">
        <v>0</v>
      </c>
      <c r="T430" s="220">
        <v>0</v>
      </c>
      <c r="U430" s="203" t="s">
        <v>1825</v>
      </c>
      <c r="V430" s="204"/>
      <c r="W430" s="207"/>
      <c r="X430" s="225" t="s">
        <v>1228</v>
      </c>
      <c r="Y430" s="225" t="s">
        <v>1234</v>
      </c>
      <c r="Z430" s="225" t="s">
        <v>1235</v>
      </c>
    </row>
    <row r="431" spans="1:26" ht="58" x14ac:dyDescent="0.35">
      <c r="A431" s="203" t="s">
        <v>1601</v>
      </c>
      <c r="B431" s="203" t="s">
        <v>1149</v>
      </c>
      <c r="C431" s="203" t="s">
        <v>1824</v>
      </c>
      <c r="D431" s="243">
        <v>80141902</v>
      </c>
      <c r="E431" s="216" t="s">
        <v>1603</v>
      </c>
      <c r="F431" s="228" t="s">
        <v>1606</v>
      </c>
      <c r="G431" s="188" t="s">
        <v>77</v>
      </c>
      <c r="H431" s="205" t="s">
        <v>77</v>
      </c>
      <c r="I431" s="217">
        <v>1</v>
      </c>
      <c r="J431" s="187" t="s">
        <v>940</v>
      </c>
      <c r="K431" s="218">
        <v>3700000</v>
      </c>
      <c r="L431" s="219">
        <v>0.19</v>
      </c>
      <c r="M431" s="218">
        <v>703000</v>
      </c>
      <c r="N431" s="218">
        <v>4403000</v>
      </c>
      <c r="O431" s="203" t="s">
        <v>791</v>
      </c>
      <c r="P431" s="203" t="s">
        <v>89</v>
      </c>
      <c r="Q431" s="220">
        <v>4403000</v>
      </c>
      <c r="R431" s="220">
        <v>0</v>
      </c>
      <c r="S431" s="220">
        <v>0</v>
      </c>
      <c r="T431" s="220">
        <v>0</v>
      </c>
      <c r="U431" s="203" t="s">
        <v>1825</v>
      </c>
      <c r="V431" s="204"/>
      <c r="W431" s="207"/>
      <c r="X431" s="225" t="s">
        <v>1228</v>
      </c>
      <c r="Y431" s="225" t="s">
        <v>1229</v>
      </c>
      <c r="Z431" s="225" t="s">
        <v>1230</v>
      </c>
    </row>
    <row r="432" spans="1:26" ht="43.5" x14ac:dyDescent="0.35">
      <c r="A432" s="203" t="s">
        <v>1601</v>
      </c>
      <c r="B432" s="203" t="s">
        <v>1149</v>
      </c>
      <c r="C432" s="203" t="s">
        <v>1824</v>
      </c>
      <c r="D432" s="243">
        <v>80141902</v>
      </c>
      <c r="E432" s="216" t="s">
        <v>1603</v>
      </c>
      <c r="F432" s="228" t="s">
        <v>1607</v>
      </c>
      <c r="G432" s="188" t="s">
        <v>72</v>
      </c>
      <c r="H432" s="205" t="s">
        <v>73</v>
      </c>
      <c r="I432" s="217">
        <v>1</v>
      </c>
      <c r="J432" s="187" t="s">
        <v>1186</v>
      </c>
      <c r="K432" s="218">
        <v>2208403</v>
      </c>
      <c r="L432" s="219">
        <v>0.19</v>
      </c>
      <c r="M432" s="218">
        <v>419596.57</v>
      </c>
      <c r="N432" s="218">
        <v>2627999.5699999998</v>
      </c>
      <c r="O432" s="203" t="s">
        <v>791</v>
      </c>
      <c r="P432" s="203" t="s">
        <v>89</v>
      </c>
      <c r="Q432" s="220">
        <v>2628000</v>
      </c>
      <c r="R432" s="220">
        <v>0</v>
      </c>
      <c r="S432" s="220">
        <v>0</v>
      </c>
      <c r="T432" s="220">
        <v>0</v>
      </c>
      <c r="U432" s="203" t="s">
        <v>1825</v>
      </c>
      <c r="V432" s="204"/>
      <c r="W432" s="207">
        <v>2208403</v>
      </c>
      <c r="X432" s="225" t="s">
        <v>965</v>
      </c>
      <c r="Y432" s="225" t="s">
        <v>965</v>
      </c>
      <c r="Z432" s="225" t="s">
        <v>971</v>
      </c>
    </row>
    <row r="433" spans="1:26" ht="43.5" x14ac:dyDescent="0.35">
      <c r="A433" s="203" t="s">
        <v>1601</v>
      </c>
      <c r="B433" s="203" t="s">
        <v>1149</v>
      </c>
      <c r="C433" s="203" t="s">
        <v>1824</v>
      </c>
      <c r="D433" s="243">
        <v>80141902</v>
      </c>
      <c r="E433" s="216" t="s">
        <v>1603</v>
      </c>
      <c r="F433" s="228" t="s">
        <v>772</v>
      </c>
      <c r="G433" s="188" t="s">
        <v>77</v>
      </c>
      <c r="H433" s="205" t="s">
        <v>78</v>
      </c>
      <c r="I433" s="217">
        <v>1</v>
      </c>
      <c r="J433" s="187" t="s">
        <v>1186</v>
      </c>
      <c r="K433" s="218">
        <v>2226805</v>
      </c>
      <c r="L433" s="219">
        <v>0.19</v>
      </c>
      <c r="M433" s="218">
        <v>423092.95</v>
      </c>
      <c r="N433" s="218">
        <v>2649897.9500000002</v>
      </c>
      <c r="O433" s="203" t="s">
        <v>791</v>
      </c>
      <c r="P433" s="203" t="s">
        <v>89</v>
      </c>
      <c r="Q433" s="220">
        <v>2649898</v>
      </c>
      <c r="R433" s="220">
        <v>0</v>
      </c>
      <c r="S433" s="220">
        <v>0</v>
      </c>
      <c r="T433" s="220">
        <v>0</v>
      </c>
      <c r="U433" s="203" t="s">
        <v>1825</v>
      </c>
      <c r="V433" s="204"/>
      <c r="W433" s="207">
        <v>2226805</v>
      </c>
      <c r="X433" s="225" t="s">
        <v>965</v>
      </c>
      <c r="Y433" s="225" t="s">
        <v>965</v>
      </c>
      <c r="Z433" s="225" t="s">
        <v>971</v>
      </c>
    </row>
    <row r="434" spans="1:26" ht="43.5" x14ac:dyDescent="0.35">
      <c r="A434" s="203" t="s">
        <v>1601</v>
      </c>
      <c r="B434" s="203" t="s">
        <v>1149</v>
      </c>
      <c r="C434" s="203" t="s">
        <v>1824</v>
      </c>
      <c r="D434" s="243">
        <v>72101511</v>
      </c>
      <c r="E434" s="216" t="s">
        <v>1007</v>
      </c>
      <c r="F434" s="228" t="s">
        <v>1826</v>
      </c>
      <c r="G434" s="188" t="s">
        <v>69</v>
      </c>
      <c r="H434" s="205" t="s">
        <v>70</v>
      </c>
      <c r="I434" s="217">
        <v>9</v>
      </c>
      <c r="J434" s="187" t="s">
        <v>1186</v>
      </c>
      <c r="K434" s="218">
        <v>2266284</v>
      </c>
      <c r="L434" s="219">
        <v>0.19</v>
      </c>
      <c r="M434" s="218">
        <v>430593.96</v>
      </c>
      <c r="N434" s="218">
        <v>2696877.96</v>
      </c>
      <c r="O434" s="203" t="s">
        <v>791</v>
      </c>
      <c r="P434" s="203" t="s">
        <v>89</v>
      </c>
      <c r="Q434" s="220">
        <v>2696878</v>
      </c>
      <c r="R434" s="220">
        <v>0</v>
      </c>
      <c r="S434" s="220">
        <v>0</v>
      </c>
      <c r="T434" s="220">
        <v>0</v>
      </c>
      <c r="U434" s="203" t="s">
        <v>1825</v>
      </c>
      <c r="V434" s="204"/>
      <c r="W434" s="207">
        <v>2266284</v>
      </c>
      <c r="X434" s="225" t="s">
        <v>1005</v>
      </c>
      <c r="Y434" s="225" t="s">
        <v>1014</v>
      </c>
      <c r="Z434" s="225" t="s">
        <v>1009</v>
      </c>
    </row>
    <row r="435" spans="1:26" ht="43.5" x14ac:dyDescent="0.35">
      <c r="A435" s="203" t="s">
        <v>1601</v>
      </c>
      <c r="B435" s="203" t="s">
        <v>1149</v>
      </c>
      <c r="C435" s="203" t="s">
        <v>1824</v>
      </c>
      <c r="D435" s="243">
        <v>73152108</v>
      </c>
      <c r="E435" s="216" t="s">
        <v>1613</v>
      </c>
      <c r="F435" s="228" t="s">
        <v>786</v>
      </c>
      <c r="G435" s="188" t="s">
        <v>75</v>
      </c>
      <c r="H435" s="205" t="s">
        <v>76</v>
      </c>
      <c r="I435" s="217">
        <v>1</v>
      </c>
      <c r="J435" s="187" t="s">
        <v>1186</v>
      </c>
      <c r="K435" s="218">
        <v>2282229</v>
      </c>
      <c r="L435" s="219">
        <v>0.19</v>
      </c>
      <c r="M435" s="218">
        <v>433623.51</v>
      </c>
      <c r="N435" s="218">
        <v>2715852.51</v>
      </c>
      <c r="O435" s="203" t="s">
        <v>791</v>
      </c>
      <c r="P435" s="203" t="s">
        <v>89</v>
      </c>
      <c r="Q435" s="220">
        <v>2715853</v>
      </c>
      <c r="R435" s="220">
        <v>0</v>
      </c>
      <c r="S435" s="220">
        <v>0</v>
      </c>
      <c r="T435" s="220">
        <v>0</v>
      </c>
      <c r="U435" s="203" t="s">
        <v>1825</v>
      </c>
      <c r="V435" s="204"/>
      <c r="W435" s="207">
        <v>2282229</v>
      </c>
      <c r="X435" s="225" t="s">
        <v>1005</v>
      </c>
      <c r="Y435" s="225" t="s">
        <v>1014</v>
      </c>
      <c r="Z435" s="225" t="s">
        <v>1712</v>
      </c>
    </row>
    <row r="436" spans="1:26" ht="43.5" x14ac:dyDescent="0.35">
      <c r="A436" s="203" t="s">
        <v>1601</v>
      </c>
      <c r="B436" s="203" t="s">
        <v>1149</v>
      </c>
      <c r="C436" s="203" t="s">
        <v>1824</v>
      </c>
      <c r="D436" s="243">
        <v>72153613</v>
      </c>
      <c r="E436" s="216" t="s">
        <v>1827</v>
      </c>
      <c r="F436" s="228" t="s">
        <v>1828</v>
      </c>
      <c r="G436" s="188" t="s">
        <v>76</v>
      </c>
      <c r="H436" s="205" t="s">
        <v>77</v>
      </c>
      <c r="I436" s="217">
        <v>1</v>
      </c>
      <c r="J436" s="187" t="s">
        <v>1186</v>
      </c>
      <c r="K436" s="218">
        <v>1685277</v>
      </c>
      <c r="L436" s="219">
        <v>0.19</v>
      </c>
      <c r="M436" s="218">
        <v>320202.63</v>
      </c>
      <c r="N436" s="218">
        <v>2005479.63</v>
      </c>
      <c r="O436" s="203" t="s">
        <v>791</v>
      </c>
      <c r="P436" s="203" t="s">
        <v>89</v>
      </c>
      <c r="Q436" s="220">
        <v>2005480</v>
      </c>
      <c r="R436" s="220">
        <v>0</v>
      </c>
      <c r="S436" s="220">
        <v>0</v>
      </c>
      <c r="T436" s="220">
        <v>0</v>
      </c>
      <c r="U436" s="203" t="s">
        <v>1825</v>
      </c>
      <c r="V436" s="204"/>
      <c r="W436" s="207">
        <v>1685277</v>
      </c>
      <c r="X436" s="225" t="s">
        <v>1005</v>
      </c>
      <c r="Y436" s="225" t="s">
        <v>1014</v>
      </c>
      <c r="Z436" s="225" t="s">
        <v>1014</v>
      </c>
    </row>
    <row r="437" spans="1:26" ht="29" x14ac:dyDescent="0.35">
      <c r="A437" s="203" t="s">
        <v>1601</v>
      </c>
      <c r="B437" s="203" t="s">
        <v>1149</v>
      </c>
      <c r="C437" s="203" t="s">
        <v>1824</v>
      </c>
      <c r="D437" s="243">
        <v>72154028</v>
      </c>
      <c r="E437" s="216" t="s">
        <v>1012</v>
      </c>
      <c r="F437" s="228" t="s">
        <v>1823</v>
      </c>
      <c r="G437" s="188" t="s">
        <v>73</v>
      </c>
      <c r="H437" s="205" t="s">
        <v>74</v>
      </c>
      <c r="I437" s="217">
        <v>1</v>
      </c>
      <c r="J437" s="187" t="s">
        <v>1186</v>
      </c>
      <c r="K437" s="218">
        <v>7000000</v>
      </c>
      <c r="L437" s="219">
        <v>0.19</v>
      </c>
      <c r="M437" s="218">
        <v>1330000</v>
      </c>
      <c r="N437" s="218">
        <v>8330000</v>
      </c>
      <c r="O437" s="203" t="s">
        <v>791</v>
      </c>
      <c r="P437" s="203" t="s">
        <v>89</v>
      </c>
      <c r="Q437" s="220">
        <v>8330000</v>
      </c>
      <c r="R437" s="220">
        <v>0</v>
      </c>
      <c r="S437" s="220">
        <v>0</v>
      </c>
      <c r="T437" s="220">
        <v>0</v>
      </c>
      <c r="U437" s="203" t="s">
        <v>1825</v>
      </c>
      <c r="V437" s="204"/>
      <c r="W437" s="207">
        <v>7000000</v>
      </c>
      <c r="X437" s="225" t="s">
        <v>1618</v>
      </c>
      <c r="Y437" s="225" t="s">
        <v>1618</v>
      </c>
      <c r="Z437" s="225" t="s">
        <v>1619</v>
      </c>
    </row>
    <row r="438" spans="1:26" ht="43.5" x14ac:dyDescent="0.35">
      <c r="A438" s="203" t="s">
        <v>1601</v>
      </c>
      <c r="B438" s="203" t="s">
        <v>1149</v>
      </c>
      <c r="C438" s="203" t="s">
        <v>1829</v>
      </c>
      <c r="D438" s="243">
        <v>52141501</v>
      </c>
      <c r="E438" s="216" t="s">
        <v>1070</v>
      </c>
      <c r="F438" s="228" t="s">
        <v>1071</v>
      </c>
      <c r="G438" s="188" t="s">
        <v>69</v>
      </c>
      <c r="H438" s="205" t="s">
        <v>70</v>
      </c>
      <c r="I438" s="217">
        <v>1</v>
      </c>
      <c r="J438" s="187" t="s">
        <v>940</v>
      </c>
      <c r="K438" s="218">
        <v>2082500</v>
      </c>
      <c r="L438" s="219">
        <v>0.19</v>
      </c>
      <c r="M438" s="218">
        <v>332500</v>
      </c>
      <c r="N438" s="218">
        <v>2082500</v>
      </c>
      <c r="O438" s="203" t="s">
        <v>791</v>
      </c>
      <c r="P438" s="203" t="s">
        <v>89</v>
      </c>
      <c r="Q438" s="220">
        <v>2082500</v>
      </c>
      <c r="R438" s="220">
        <v>0</v>
      </c>
      <c r="S438" s="220">
        <v>0</v>
      </c>
      <c r="T438" s="220">
        <v>0</v>
      </c>
      <c r="U438" s="203" t="s">
        <v>1830</v>
      </c>
      <c r="V438" s="204" t="s">
        <v>1831</v>
      </c>
      <c r="W438" s="207">
        <v>1750000</v>
      </c>
      <c r="X438" s="225" t="s">
        <v>1832</v>
      </c>
      <c r="Y438" s="225" t="s">
        <v>1833</v>
      </c>
      <c r="Z438" s="225" t="s">
        <v>1834</v>
      </c>
    </row>
    <row r="439" spans="1:26" ht="29" x14ac:dyDescent="0.35">
      <c r="A439" s="203" t="s">
        <v>1601</v>
      </c>
      <c r="B439" s="203" t="s">
        <v>1149</v>
      </c>
      <c r="C439" s="203" t="s">
        <v>1829</v>
      </c>
      <c r="D439" s="243">
        <v>72152400</v>
      </c>
      <c r="E439" s="216" t="s">
        <v>1835</v>
      </c>
      <c r="F439" s="228" t="s">
        <v>1618</v>
      </c>
      <c r="G439" s="188" t="s">
        <v>69</v>
      </c>
      <c r="H439" s="205" t="s">
        <v>70</v>
      </c>
      <c r="I439" s="217">
        <v>1</v>
      </c>
      <c r="J439" s="187" t="s">
        <v>940</v>
      </c>
      <c r="K439" s="218">
        <v>3000000</v>
      </c>
      <c r="L439" s="219">
        <v>0.19</v>
      </c>
      <c r="M439" s="218">
        <v>478992</v>
      </c>
      <c r="N439" s="218">
        <v>3478992</v>
      </c>
      <c r="O439" s="203" t="s">
        <v>791</v>
      </c>
      <c r="P439" s="203" t="s">
        <v>89</v>
      </c>
      <c r="Q439" s="220">
        <v>3478992</v>
      </c>
      <c r="R439" s="220">
        <v>0</v>
      </c>
      <c r="S439" s="220">
        <v>0</v>
      </c>
      <c r="T439" s="220">
        <v>0</v>
      </c>
      <c r="U439" s="203" t="s">
        <v>1830</v>
      </c>
      <c r="V439" s="204" t="s">
        <v>1836</v>
      </c>
      <c r="W439" s="207">
        <v>2521008</v>
      </c>
      <c r="X439" s="225" t="s">
        <v>1837</v>
      </c>
      <c r="Y439" s="225" t="s">
        <v>1838</v>
      </c>
      <c r="Z439" s="225" t="s">
        <v>1834</v>
      </c>
    </row>
    <row r="440" spans="1:26" ht="43.5" x14ac:dyDescent="0.35">
      <c r="A440" s="203" t="s">
        <v>1601</v>
      </c>
      <c r="B440" s="203" t="s">
        <v>1149</v>
      </c>
      <c r="C440" s="203" t="s">
        <v>1829</v>
      </c>
      <c r="D440" s="243">
        <v>56101504</v>
      </c>
      <c r="E440" s="216" t="s">
        <v>1070</v>
      </c>
      <c r="F440" s="228" t="s">
        <v>1071</v>
      </c>
      <c r="G440" s="188" t="s">
        <v>69</v>
      </c>
      <c r="H440" s="205" t="s">
        <v>70</v>
      </c>
      <c r="I440" s="217">
        <v>1</v>
      </c>
      <c r="J440" s="187" t="s">
        <v>940</v>
      </c>
      <c r="K440" s="218">
        <v>1785000</v>
      </c>
      <c r="L440" s="219">
        <v>0.19</v>
      </c>
      <c r="M440" s="218">
        <v>285000</v>
      </c>
      <c r="N440" s="218">
        <v>2070000</v>
      </c>
      <c r="O440" s="203" t="s">
        <v>791</v>
      </c>
      <c r="P440" s="203" t="s">
        <v>89</v>
      </c>
      <c r="Q440" s="220">
        <v>2070000</v>
      </c>
      <c r="R440" s="220">
        <v>0</v>
      </c>
      <c r="S440" s="220">
        <v>0</v>
      </c>
      <c r="T440" s="220">
        <v>0</v>
      </c>
      <c r="U440" s="203" t="s">
        <v>1830</v>
      </c>
      <c r="V440" s="204" t="s">
        <v>1839</v>
      </c>
      <c r="W440" s="207">
        <v>1500000</v>
      </c>
      <c r="X440" s="225" t="s">
        <v>1840</v>
      </c>
      <c r="Y440" s="225" t="s">
        <v>1838</v>
      </c>
      <c r="Z440" s="225" t="s">
        <v>1834</v>
      </c>
    </row>
    <row r="441" spans="1:26" ht="58" x14ac:dyDescent="0.35">
      <c r="A441" s="203" t="s">
        <v>1601</v>
      </c>
      <c r="B441" s="203" t="s">
        <v>1149</v>
      </c>
      <c r="C441" s="203" t="s">
        <v>1829</v>
      </c>
      <c r="D441" s="243">
        <v>80141902</v>
      </c>
      <c r="E441" s="216" t="s">
        <v>1603</v>
      </c>
      <c r="F441" s="228" t="s">
        <v>1604</v>
      </c>
      <c r="G441" s="188" t="s">
        <v>69</v>
      </c>
      <c r="H441" s="205" t="s">
        <v>69</v>
      </c>
      <c r="I441" s="217">
        <v>1</v>
      </c>
      <c r="J441" s="187" t="s">
        <v>940</v>
      </c>
      <c r="K441" s="218">
        <v>4000000</v>
      </c>
      <c r="L441" s="219">
        <v>0.19</v>
      </c>
      <c r="M441" s="218">
        <v>760000</v>
      </c>
      <c r="N441" s="218">
        <v>4760000</v>
      </c>
      <c r="O441" s="203" t="s">
        <v>791</v>
      </c>
      <c r="P441" s="203" t="s">
        <v>89</v>
      </c>
      <c r="Q441" s="220">
        <v>4760000</v>
      </c>
      <c r="R441" s="220">
        <v>0</v>
      </c>
      <c r="S441" s="220">
        <v>0</v>
      </c>
      <c r="T441" s="220">
        <v>0</v>
      </c>
      <c r="U441" s="203" t="s">
        <v>1830</v>
      </c>
      <c r="V441" s="204"/>
      <c r="W441" s="207"/>
      <c r="X441" s="225" t="s">
        <v>1228</v>
      </c>
      <c r="Y441" s="225" t="s">
        <v>1234</v>
      </c>
      <c r="Z441" s="225" t="s">
        <v>1235</v>
      </c>
    </row>
    <row r="442" spans="1:26" ht="58" x14ac:dyDescent="0.35">
      <c r="A442" s="203" t="s">
        <v>1601</v>
      </c>
      <c r="B442" s="203" t="s">
        <v>1149</v>
      </c>
      <c r="C442" s="203" t="s">
        <v>1829</v>
      </c>
      <c r="D442" s="243">
        <v>80141902</v>
      </c>
      <c r="E442" s="216" t="s">
        <v>1603</v>
      </c>
      <c r="F442" s="228" t="s">
        <v>1606</v>
      </c>
      <c r="G442" s="188" t="s">
        <v>77</v>
      </c>
      <c r="H442" s="205" t="s">
        <v>77</v>
      </c>
      <c r="I442" s="217">
        <v>1</v>
      </c>
      <c r="J442" s="187" t="s">
        <v>940</v>
      </c>
      <c r="K442" s="218">
        <v>4000000</v>
      </c>
      <c r="L442" s="219">
        <v>0.19</v>
      </c>
      <c r="M442" s="218">
        <v>760000</v>
      </c>
      <c r="N442" s="218">
        <v>4760000</v>
      </c>
      <c r="O442" s="203" t="s">
        <v>791</v>
      </c>
      <c r="P442" s="203" t="s">
        <v>89</v>
      </c>
      <c r="Q442" s="220">
        <v>4760000</v>
      </c>
      <c r="R442" s="220">
        <v>0</v>
      </c>
      <c r="S442" s="220">
        <v>0</v>
      </c>
      <c r="T442" s="220">
        <v>0</v>
      </c>
      <c r="U442" s="203" t="s">
        <v>1830</v>
      </c>
      <c r="V442" s="204"/>
      <c r="W442" s="207"/>
      <c r="X442" s="225" t="s">
        <v>1228</v>
      </c>
      <c r="Y442" s="225" t="s">
        <v>1229</v>
      </c>
      <c r="Z442" s="225" t="s">
        <v>1230</v>
      </c>
    </row>
    <row r="443" spans="1:26" ht="43.5" x14ac:dyDescent="0.35">
      <c r="A443" s="203" t="s">
        <v>1601</v>
      </c>
      <c r="B443" s="203" t="s">
        <v>1149</v>
      </c>
      <c r="C443" s="203" t="s">
        <v>1829</v>
      </c>
      <c r="D443" s="243">
        <v>80141902</v>
      </c>
      <c r="E443" s="216" t="s">
        <v>1603</v>
      </c>
      <c r="F443" s="228" t="s">
        <v>772</v>
      </c>
      <c r="G443" s="188" t="s">
        <v>77</v>
      </c>
      <c r="H443" s="205" t="s">
        <v>78</v>
      </c>
      <c r="I443" s="217">
        <v>1</v>
      </c>
      <c r="J443" s="187" t="s">
        <v>1186</v>
      </c>
      <c r="K443" s="218">
        <v>2600000</v>
      </c>
      <c r="L443" s="219">
        <v>0.19</v>
      </c>
      <c r="M443" s="218">
        <v>494000</v>
      </c>
      <c r="N443" s="218">
        <v>3094000</v>
      </c>
      <c r="O443" s="203" t="s">
        <v>791</v>
      </c>
      <c r="P443" s="203" t="s">
        <v>89</v>
      </c>
      <c r="Q443" s="218">
        <v>3094000</v>
      </c>
      <c r="R443" s="220">
        <v>0</v>
      </c>
      <c r="S443" s="220">
        <v>0</v>
      </c>
      <c r="T443" s="220">
        <v>0</v>
      </c>
      <c r="U443" s="203" t="s">
        <v>1830</v>
      </c>
      <c r="V443" s="204"/>
      <c r="W443" s="207"/>
      <c r="X443" s="225" t="s">
        <v>1706</v>
      </c>
      <c r="Y443" s="225" t="s">
        <v>1707</v>
      </c>
      <c r="Z443" s="225"/>
    </row>
    <row r="444" spans="1:26" ht="43.5" x14ac:dyDescent="0.35">
      <c r="A444" s="203" t="s">
        <v>1601</v>
      </c>
      <c r="B444" s="203" t="s">
        <v>1149</v>
      </c>
      <c r="C444" s="203" t="s">
        <v>1829</v>
      </c>
      <c r="D444" s="243">
        <v>80141902</v>
      </c>
      <c r="E444" s="216" t="s">
        <v>1603</v>
      </c>
      <c r="F444" s="228" t="s">
        <v>1607</v>
      </c>
      <c r="G444" s="188" t="s">
        <v>72</v>
      </c>
      <c r="H444" s="205" t="s">
        <v>73</v>
      </c>
      <c r="I444" s="217">
        <v>1</v>
      </c>
      <c r="J444" s="187" t="s">
        <v>1186</v>
      </c>
      <c r="K444" s="218">
        <v>2600000</v>
      </c>
      <c r="L444" s="219">
        <v>0.19</v>
      </c>
      <c r="M444" s="218">
        <v>494000</v>
      </c>
      <c r="N444" s="218">
        <v>3094000</v>
      </c>
      <c r="O444" s="203" t="s">
        <v>791</v>
      </c>
      <c r="P444" s="203" t="s">
        <v>89</v>
      </c>
      <c r="Q444" s="218">
        <v>3094000</v>
      </c>
      <c r="R444" s="220">
        <v>0</v>
      </c>
      <c r="S444" s="220">
        <v>0</v>
      </c>
      <c r="T444" s="220">
        <v>0</v>
      </c>
      <c r="U444" s="203" t="s">
        <v>1830</v>
      </c>
      <c r="V444" s="204"/>
      <c r="W444" s="207"/>
      <c r="X444" s="225" t="s">
        <v>1706</v>
      </c>
      <c r="Y444" s="225" t="s">
        <v>1707</v>
      </c>
      <c r="Z444" s="225"/>
    </row>
    <row r="445" spans="1:26" ht="58" x14ac:dyDescent="0.35">
      <c r="A445" s="203" t="s">
        <v>1601</v>
      </c>
      <c r="B445" s="203" t="s">
        <v>1149</v>
      </c>
      <c r="C445" s="203" t="s">
        <v>1841</v>
      </c>
      <c r="D445" s="243">
        <v>80141902</v>
      </c>
      <c r="E445" s="216" t="s">
        <v>1603</v>
      </c>
      <c r="F445" s="228" t="s">
        <v>1604</v>
      </c>
      <c r="G445" s="188" t="s">
        <v>69</v>
      </c>
      <c r="H445" s="205" t="s">
        <v>69</v>
      </c>
      <c r="I445" s="217">
        <v>1</v>
      </c>
      <c r="J445" s="187" t="s">
        <v>940</v>
      </c>
      <c r="K445" s="218">
        <v>4500000</v>
      </c>
      <c r="L445" s="219">
        <v>0.19</v>
      </c>
      <c r="M445" s="218">
        <v>855000</v>
      </c>
      <c r="N445" s="218">
        <v>5355000</v>
      </c>
      <c r="O445" s="203" t="s">
        <v>791</v>
      </c>
      <c r="P445" s="203" t="s">
        <v>89</v>
      </c>
      <c r="Q445" s="220">
        <v>5355000</v>
      </c>
      <c r="R445" s="220">
        <v>0</v>
      </c>
      <c r="S445" s="220">
        <v>0</v>
      </c>
      <c r="T445" s="220">
        <v>0</v>
      </c>
      <c r="U445" s="203" t="s">
        <v>805</v>
      </c>
      <c r="V445" s="204"/>
      <c r="W445" s="207"/>
      <c r="X445" s="225" t="s">
        <v>1228</v>
      </c>
      <c r="Y445" s="225" t="s">
        <v>1234</v>
      </c>
      <c r="Z445" s="225" t="s">
        <v>1235</v>
      </c>
    </row>
    <row r="446" spans="1:26" ht="58" x14ac:dyDescent="0.35">
      <c r="A446" s="203" t="s">
        <v>1601</v>
      </c>
      <c r="B446" s="203" t="s">
        <v>1149</v>
      </c>
      <c r="C446" s="203" t="s">
        <v>1841</v>
      </c>
      <c r="D446" s="243">
        <v>80141902</v>
      </c>
      <c r="E446" s="216" t="s">
        <v>1603</v>
      </c>
      <c r="F446" s="228" t="s">
        <v>1606</v>
      </c>
      <c r="G446" s="188" t="s">
        <v>77</v>
      </c>
      <c r="H446" s="205" t="s">
        <v>77</v>
      </c>
      <c r="I446" s="217">
        <v>1</v>
      </c>
      <c r="J446" s="187" t="s">
        <v>940</v>
      </c>
      <c r="K446" s="218">
        <v>4500000</v>
      </c>
      <c r="L446" s="219">
        <v>0.19</v>
      </c>
      <c r="M446" s="218">
        <v>855000</v>
      </c>
      <c r="N446" s="218">
        <v>5355000</v>
      </c>
      <c r="O446" s="203" t="s">
        <v>791</v>
      </c>
      <c r="P446" s="203" t="s">
        <v>89</v>
      </c>
      <c r="Q446" s="220">
        <v>5355000</v>
      </c>
      <c r="R446" s="220">
        <v>0</v>
      </c>
      <c r="S446" s="220">
        <v>0</v>
      </c>
      <c r="T446" s="220">
        <v>0</v>
      </c>
      <c r="U446" s="203" t="s">
        <v>805</v>
      </c>
      <c r="V446" s="204"/>
      <c r="W446" s="207"/>
      <c r="X446" s="225" t="s">
        <v>1228</v>
      </c>
      <c r="Y446" s="225" t="s">
        <v>1229</v>
      </c>
      <c r="Z446" s="225" t="s">
        <v>1230</v>
      </c>
    </row>
    <row r="447" spans="1:26" ht="43.5" x14ac:dyDescent="0.35">
      <c r="A447" s="203" t="s">
        <v>1601</v>
      </c>
      <c r="B447" s="203" t="s">
        <v>1149</v>
      </c>
      <c r="C447" s="203" t="s">
        <v>1841</v>
      </c>
      <c r="D447" s="243">
        <v>80141902</v>
      </c>
      <c r="E447" s="216" t="s">
        <v>1842</v>
      </c>
      <c r="F447" s="228" t="s">
        <v>1843</v>
      </c>
      <c r="G447" s="188" t="s">
        <v>72</v>
      </c>
      <c r="H447" s="205" t="s">
        <v>73</v>
      </c>
      <c r="I447" s="217">
        <v>1</v>
      </c>
      <c r="J447" s="187" t="s">
        <v>940</v>
      </c>
      <c r="K447" s="218">
        <v>2300000</v>
      </c>
      <c r="L447" s="219">
        <v>0.19</v>
      </c>
      <c r="M447" s="218">
        <v>437000</v>
      </c>
      <c r="N447" s="218">
        <v>2737000</v>
      </c>
      <c r="O447" s="203" t="s">
        <v>791</v>
      </c>
      <c r="P447" s="203" t="s">
        <v>89</v>
      </c>
      <c r="Q447" s="220">
        <v>2737000</v>
      </c>
      <c r="R447" s="220">
        <v>0</v>
      </c>
      <c r="S447" s="220">
        <v>0</v>
      </c>
      <c r="T447" s="220">
        <v>0</v>
      </c>
      <c r="U447" s="203" t="s">
        <v>805</v>
      </c>
      <c r="V447" s="204"/>
      <c r="W447" s="207"/>
      <c r="X447" s="225" t="s">
        <v>1609</v>
      </c>
      <c r="Y447" s="225" t="s">
        <v>1609</v>
      </c>
      <c r="Z447" s="225"/>
    </row>
    <row r="448" spans="1:26" ht="43.5" x14ac:dyDescent="0.35">
      <c r="A448" s="203" t="s">
        <v>1601</v>
      </c>
      <c r="B448" s="203" t="s">
        <v>1149</v>
      </c>
      <c r="C448" s="203" t="s">
        <v>1841</v>
      </c>
      <c r="D448" s="243">
        <v>80141902</v>
      </c>
      <c r="E448" s="216" t="s">
        <v>1842</v>
      </c>
      <c r="F448" s="228" t="s">
        <v>772</v>
      </c>
      <c r="G448" s="188" t="s">
        <v>77</v>
      </c>
      <c r="H448" s="205" t="s">
        <v>78</v>
      </c>
      <c r="I448" s="217">
        <v>1</v>
      </c>
      <c r="J448" s="187" t="s">
        <v>940</v>
      </c>
      <c r="K448" s="218">
        <v>2500000</v>
      </c>
      <c r="L448" s="219">
        <v>0.19</v>
      </c>
      <c r="M448" s="218">
        <v>475000</v>
      </c>
      <c r="N448" s="218">
        <v>2975000</v>
      </c>
      <c r="O448" s="203" t="s">
        <v>791</v>
      </c>
      <c r="P448" s="203" t="s">
        <v>89</v>
      </c>
      <c r="Q448" s="220">
        <v>2975000</v>
      </c>
      <c r="R448" s="220">
        <v>0</v>
      </c>
      <c r="S448" s="220">
        <v>0</v>
      </c>
      <c r="T448" s="220">
        <v>0</v>
      </c>
      <c r="U448" s="203" t="s">
        <v>805</v>
      </c>
      <c r="V448" s="204"/>
      <c r="W448" s="207"/>
      <c r="X448" s="225" t="s">
        <v>1609</v>
      </c>
      <c r="Y448" s="225" t="s">
        <v>1609</v>
      </c>
      <c r="Z448" s="225"/>
    </row>
    <row r="449" spans="1:26" ht="58" x14ac:dyDescent="0.35">
      <c r="A449" s="203" t="s">
        <v>1601</v>
      </c>
      <c r="B449" s="203" t="s">
        <v>1149</v>
      </c>
      <c r="C449" s="203" t="s">
        <v>1841</v>
      </c>
      <c r="D449" s="243">
        <v>72101511</v>
      </c>
      <c r="E449" s="216" t="s">
        <v>1844</v>
      </c>
      <c r="F449" s="228" t="s">
        <v>1845</v>
      </c>
      <c r="G449" s="188" t="s">
        <v>72</v>
      </c>
      <c r="H449" s="205" t="s">
        <v>72</v>
      </c>
      <c r="I449" s="217">
        <v>12</v>
      </c>
      <c r="J449" s="187" t="s">
        <v>940</v>
      </c>
      <c r="K449" s="218">
        <v>6000000</v>
      </c>
      <c r="L449" s="219">
        <v>0.19</v>
      </c>
      <c r="M449" s="218">
        <v>1140000</v>
      </c>
      <c r="N449" s="218">
        <v>7140000</v>
      </c>
      <c r="O449" s="203" t="s">
        <v>791</v>
      </c>
      <c r="P449" s="203" t="s">
        <v>89</v>
      </c>
      <c r="Q449" s="220">
        <v>7140000</v>
      </c>
      <c r="R449" s="220">
        <v>0</v>
      </c>
      <c r="S449" s="220">
        <v>0</v>
      </c>
      <c r="T449" s="220">
        <v>0</v>
      </c>
      <c r="U449" s="203" t="s">
        <v>805</v>
      </c>
      <c r="V449" s="204"/>
      <c r="W449" s="207"/>
      <c r="X449" s="225" t="s">
        <v>1070</v>
      </c>
      <c r="Y449" s="225" t="s">
        <v>1071</v>
      </c>
      <c r="Z449" s="225" t="s">
        <v>1612</v>
      </c>
    </row>
    <row r="450" spans="1:26" ht="29" x14ac:dyDescent="0.35">
      <c r="A450" s="203" t="s">
        <v>1601</v>
      </c>
      <c r="B450" s="203" t="s">
        <v>1149</v>
      </c>
      <c r="C450" s="203" t="s">
        <v>1841</v>
      </c>
      <c r="D450" s="243">
        <v>95121644</v>
      </c>
      <c r="E450" s="216" t="s">
        <v>1846</v>
      </c>
      <c r="F450" s="228" t="s">
        <v>1847</v>
      </c>
      <c r="G450" s="188" t="s">
        <v>68</v>
      </c>
      <c r="H450" s="205" t="s">
        <v>68</v>
      </c>
      <c r="I450" s="217">
        <v>12</v>
      </c>
      <c r="J450" s="187" t="s">
        <v>940</v>
      </c>
      <c r="K450" s="218">
        <v>16800000</v>
      </c>
      <c r="L450" s="219">
        <v>0.19</v>
      </c>
      <c r="M450" s="218">
        <v>3192000</v>
      </c>
      <c r="N450" s="218">
        <v>19992000</v>
      </c>
      <c r="O450" s="203" t="s">
        <v>791</v>
      </c>
      <c r="P450" s="203" t="s">
        <v>89</v>
      </c>
      <c r="Q450" s="220">
        <v>19992000</v>
      </c>
      <c r="R450" s="220">
        <v>0</v>
      </c>
      <c r="S450" s="220">
        <v>0</v>
      </c>
      <c r="T450" s="220">
        <v>0</v>
      </c>
      <c r="U450" s="203" t="s">
        <v>805</v>
      </c>
      <c r="V450" s="204"/>
      <c r="W450" s="207"/>
      <c r="X450" s="225" t="s">
        <v>1618</v>
      </c>
      <c r="Y450" s="225" t="s">
        <v>1618</v>
      </c>
      <c r="Z450" s="225" t="s">
        <v>1619</v>
      </c>
    </row>
    <row r="451" spans="1:26" ht="43.5" x14ac:dyDescent="0.35">
      <c r="A451" s="203" t="s">
        <v>1601</v>
      </c>
      <c r="B451" s="203" t="s">
        <v>1149</v>
      </c>
      <c r="C451" s="203" t="s">
        <v>1848</v>
      </c>
      <c r="D451" s="243">
        <v>72154028</v>
      </c>
      <c r="E451" s="216" t="s">
        <v>1805</v>
      </c>
      <c r="F451" s="228" t="s">
        <v>1807</v>
      </c>
      <c r="G451" s="188" t="s">
        <v>73</v>
      </c>
      <c r="H451" s="205" t="s">
        <v>73</v>
      </c>
      <c r="I451" s="217">
        <v>1</v>
      </c>
      <c r="J451" s="187" t="s">
        <v>940</v>
      </c>
      <c r="K451" s="218">
        <v>7000000</v>
      </c>
      <c r="L451" s="219">
        <v>0.19</v>
      </c>
      <c r="M451" s="218">
        <v>1330000</v>
      </c>
      <c r="N451" s="218">
        <v>8330000</v>
      </c>
      <c r="O451" s="203" t="s">
        <v>791</v>
      </c>
      <c r="P451" s="203" t="s">
        <v>89</v>
      </c>
      <c r="Q451" s="220">
        <v>8330000</v>
      </c>
      <c r="R451" s="220">
        <v>0</v>
      </c>
      <c r="S451" s="220">
        <v>0</v>
      </c>
      <c r="T451" s="220">
        <v>0</v>
      </c>
      <c r="U451" s="203" t="s">
        <v>807</v>
      </c>
      <c r="V451" s="204" t="s">
        <v>1807</v>
      </c>
      <c r="W451" s="207">
        <v>7000000</v>
      </c>
      <c r="X451" s="225" t="s">
        <v>1808</v>
      </c>
      <c r="Y451" s="225" t="s">
        <v>1618</v>
      </c>
      <c r="Z451" s="225" t="s">
        <v>1619</v>
      </c>
    </row>
    <row r="452" spans="1:26" ht="58" x14ac:dyDescent="0.35">
      <c r="A452" s="203" t="s">
        <v>1601</v>
      </c>
      <c r="B452" s="203" t="s">
        <v>1149</v>
      </c>
      <c r="C452" s="203" t="s">
        <v>1848</v>
      </c>
      <c r="D452" s="243">
        <v>80141902</v>
      </c>
      <c r="E452" s="216" t="s">
        <v>1603</v>
      </c>
      <c r="F452" s="228" t="s">
        <v>1604</v>
      </c>
      <c r="G452" s="188" t="s">
        <v>69</v>
      </c>
      <c r="H452" s="205" t="s">
        <v>69</v>
      </c>
      <c r="I452" s="217">
        <v>1</v>
      </c>
      <c r="J452" s="187" t="s">
        <v>940</v>
      </c>
      <c r="K452" s="218">
        <v>3000000</v>
      </c>
      <c r="L452" s="219">
        <v>0.19</v>
      </c>
      <c r="M452" s="218">
        <v>570000</v>
      </c>
      <c r="N452" s="218">
        <v>3570000</v>
      </c>
      <c r="O452" s="203" t="s">
        <v>791</v>
      </c>
      <c r="P452" s="203" t="s">
        <v>89</v>
      </c>
      <c r="Q452" s="220">
        <v>3570000</v>
      </c>
      <c r="R452" s="220">
        <v>0</v>
      </c>
      <c r="S452" s="220">
        <v>0</v>
      </c>
      <c r="T452" s="220">
        <v>0</v>
      </c>
      <c r="U452" s="203" t="s">
        <v>807</v>
      </c>
      <c r="V452" s="204"/>
      <c r="W452" s="207"/>
      <c r="X452" s="225" t="s">
        <v>1228</v>
      </c>
      <c r="Y452" s="225" t="s">
        <v>1234</v>
      </c>
      <c r="Z452" s="225" t="s">
        <v>1235</v>
      </c>
    </row>
    <row r="453" spans="1:26" ht="58" x14ac:dyDescent="0.35">
      <c r="A453" s="203" t="s">
        <v>1601</v>
      </c>
      <c r="B453" s="203" t="s">
        <v>1149</v>
      </c>
      <c r="C453" s="203" t="s">
        <v>1848</v>
      </c>
      <c r="D453" s="243">
        <v>80141902</v>
      </c>
      <c r="E453" s="216" t="s">
        <v>1603</v>
      </c>
      <c r="F453" s="228" t="s">
        <v>1606</v>
      </c>
      <c r="G453" s="188" t="s">
        <v>77</v>
      </c>
      <c r="H453" s="205" t="s">
        <v>77</v>
      </c>
      <c r="I453" s="217">
        <v>1</v>
      </c>
      <c r="J453" s="187" t="s">
        <v>940</v>
      </c>
      <c r="K453" s="218">
        <v>3000000</v>
      </c>
      <c r="L453" s="219">
        <v>0.19</v>
      </c>
      <c r="M453" s="218">
        <v>570000</v>
      </c>
      <c r="N453" s="218">
        <v>3570000</v>
      </c>
      <c r="O453" s="203" t="s">
        <v>791</v>
      </c>
      <c r="P453" s="203" t="s">
        <v>89</v>
      </c>
      <c r="Q453" s="220">
        <v>3570000</v>
      </c>
      <c r="R453" s="220">
        <v>0</v>
      </c>
      <c r="S453" s="220">
        <v>0</v>
      </c>
      <c r="T453" s="220">
        <v>0</v>
      </c>
      <c r="U453" s="203" t="s">
        <v>807</v>
      </c>
      <c r="V453" s="204"/>
      <c r="W453" s="207"/>
      <c r="X453" s="225" t="s">
        <v>1228</v>
      </c>
      <c r="Y453" s="225" t="s">
        <v>1229</v>
      </c>
      <c r="Z453" s="225" t="s">
        <v>1230</v>
      </c>
    </row>
    <row r="454" spans="1:26" ht="29" x14ac:dyDescent="0.35">
      <c r="A454" s="203" t="s">
        <v>1601</v>
      </c>
      <c r="B454" s="203" t="s">
        <v>1149</v>
      </c>
      <c r="C454" s="203" t="s">
        <v>1848</v>
      </c>
      <c r="D454" s="243">
        <v>80141902</v>
      </c>
      <c r="E454" s="216" t="s">
        <v>1603</v>
      </c>
      <c r="F454" s="228" t="s">
        <v>772</v>
      </c>
      <c r="G454" s="188" t="s">
        <v>77</v>
      </c>
      <c r="H454" s="205" t="s">
        <v>78</v>
      </c>
      <c r="I454" s="217">
        <v>1</v>
      </c>
      <c r="J454" s="187" t="s">
        <v>1186</v>
      </c>
      <c r="K454" s="218">
        <v>2250000</v>
      </c>
      <c r="L454" s="219">
        <v>0.19</v>
      </c>
      <c r="M454" s="218">
        <v>427500</v>
      </c>
      <c r="N454" s="218">
        <v>2677500</v>
      </c>
      <c r="O454" s="203" t="s">
        <v>791</v>
      </c>
      <c r="P454" s="203" t="s">
        <v>89</v>
      </c>
      <c r="Q454" s="220">
        <v>2677500</v>
      </c>
      <c r="R454" s="220">
        <v>0</v>
      </c>
      <c r="S454" s="220">
        <v>0</v>
      </c>
      <c r="T454" s="220">
        <v>0</v>
      </c>
      <c r="U454" s="203" t="s">
        <v>807</v>
      </c>
      <c r="V454" s="204" t="s">
        <v>1849</v>
      </c>
      <c r="W454" s="207">
        <v>2250000</v>
      </c>
      <c r="X454" s="225" t="s">
        <v>1850</v>
      </c>
      <c r="Y454" s="225" t="s">
        <v>1850</v>
      </c>
      <c r="Z454" s="225" t="s">
        <v>971</v>
      </c>
    </row>
    <row r="455" spans="1:26" ht="29" x14ac:dyDescent="0.35">
      <c r="A455" s="203" t="s">
        <v>1601</v>
      </c>
      <c r="B455" s="203" t="s">
        <v>1149</v>
      </c>
      <c r="C455" s="203" t="s">
        <v>1848</v>
      </c>
      <c r="D455" s="243">
        <v>80141902</v>
      </c>
      <c r="E455" s="216" t="s">
        <v>1603</v>
      </c>
      <c r="F455" s="228" t="s">
        <v>1607</v>
      </c>
      <c r="G455" s="188" t="s">
        <v>72</v>
      </c>
      <c r="H455" s="205" t="s">
        <v>73</v>
      </c>
      <c r="I455" s="217">
        <v>1</v>
      </c>
      <c r="J455" s="187" t="s">
        <v>1186</v>
      </c>
      <c r="K455" s="218">
        <v>2250000</v>
      </c>
      <c r="L455" s="219">
        <v>0.19</v>
      </c>
      <c r="M455" s="218">
        <v>427500</v>
      </c>
      <c r="N455" s="218">
        <v>2677500</v>
      </c>
      <c r="O455" s="203" t="s">
        <v>791</v>
      </c>
      <c r="P455" s="203" t="s">
        <v>89</v>
      </c>
      <c r="Q455" s="220">
        <v>2677500</v>
      </c>
      <c r="R455" s="220">
        <v>0</v>
      </c>
      <c r="S455" s="220">
        <v>0</v>
      </c>
      <c r="T455" s="220">
        <v>0</v>
      </c>
      <c r="U455" s="203" t="s">
        <v>807</v>
      </c>
      <c r="V455" s="204" t="s">
        <v>1851</v>
      </c>
      <c r="W455" s="207">
        <v>2250000</v>
      </c>
      <c r="X455" s="225" t="s">
        <v>1850</v>
      </c>
      <c r="Y455" s="225" t="s">
        <v>1850</v>
      </c>
      <c r="Z455" s="225" t="s">
        <v>971</v>
      </c>
    </row>
    <row r="456" spans="1:26" ht="29" x14ac:dyDescent="0.35">
      <c r="A456" s="203" t="s">
        <v>1601</v>
      </c>
      <c r="B456" s="203" t="s">
        <v>1149</v>
      </c>
      <c r="C456" s="203" t="s">
        <v>1848</v>
      </c>
      <c r="D456" s="243">
        <v>72121103</v>
      </c>
      <c r="E456" s="216" t="s">
        <v>1768</v>
      </c>
      <c r="F456" s="228" t="s">
        <v>1852</v>
      </c>
      <c r="G456" s="188" t="s">
        <v>74</v>
      </c>
      <c r="H456" s="205" t="s">
        <v>74</v>
      </c>
      <c r="I456" s="217">
        <v>2</v>
      </c>
      <c r="J456" s="187" t="s">
        <v>940</v>
      </c>
      <c r="K456" s="218">
        <v>24492960</v>
      </c>
      <c r="L456" s="219">
        <v>0.19</v>
      </c>
      <c r="M456" s="218">
        <v>4653662.4000000004</v>
      </c>
      <c r="N456" s="218">
        <v>29146622.399999999</v>
      </c>
      <c r="O456" s="203" t="s">
        <v>791</v>
      </c>
      <c r="P456" s="203" t="s">
        <v>89</v>
      </c>
      <c r="Q456" s="220">
        <v>29146622</v>
      </c>
      <c r="R456" s="220">
        <v>0</v>
      </c>
      <c r="S456" s="220">
        <v>0</v>
      </c>
      <c r="T456" s="220">
        <v>0</v>
      </c>
      <c r="U456" s="203" t="s">
        <v>806</v>
      </c>
      <c r="V456" s="204" t="s">
        <v>1853</v>
      </c>
      <c r="W456" s="207">
        <v>24492960</v>
      </c>
      <c r="X456" s="225" t="s">
        <v>1618</v>
      </c>
      <c r="Y456" s="225" t="s">
        <v>1618</v>
      </c>
      <c r="Z456" s="225" t="s">
        <v>1853</v>
      </c>
    </row>
    <row r="457" spans="1:26" ht="43.5" x14ac:dyDescent="0.35">
      <c r="A457" s="203" t="s">
        <v>1601</v>
      </c>
      <c r="B457" s="203" t="s">
        <v>1149</v>
      </c>
      <c r="C457" s="203" t="s">
        <v>1848</v>
      </c>
      <c r="D457" s="243">
        <v>72101511</v>
      </c>
      <c r="E457" s="216" t="s">
        <v>1007</v>
      </c>
      <c r="F457" s="228" t="s">
        <v>787</v>
      </c>
      <c r="G457" s="188" t="s">
        <v>72</v>
      </c>
      <c r="H457" s="205" t="s">
        <v>72</v>
      </c>
      <c r="I457" s="217">
        <v>1</v>
      </c>
      <c r="J457" s="187" t="s">
        <v>940</v>
      </c>
      <c r="K457" s="218">
        <v>772329</v>
      </c>
      <c r="L457" s="219">
        <v>0</v>
      </c>
      <c r="M457" s="218">
        <v>0</v>
      </c>
      <c r="N457" s="218">
        <v>772329</v>
      </c>
      <c r="O457" s="203" t="s">
        <v>791</v>
      </c>
      <c r="P457" s="203" t="s">
        <v>89</v>
      </c>
      <c r="Q457" s="220">
        <v>772329</v>
      </c>
      <c r="R457" s="220">
        <v>0</v>
      </c>
      <c r="S457" s="220">
        <v>0</v>
      </c>
      <c r="T457" s="220">
        <v>0</v>
      </c>
      <c r="U457" s="203" t="s">
        <v>806</v>
      </c>
      <c r="V457" s="204" t="s">
        <v>1854</v>
      </c>
      <c r="W457" s="207">
        <v>772329</v>
      </c>
      <c r="X457" s="225" t="s">
        <v>1005</v>
      </c>
      <c r="Y457" s="225" t="s">
        <v>1014</v>
      </c>
      <c r="Z457" s="225" t="s">
        <v>1009</v>
      </c>
    </row>
    <row r="458" spans="1:26" ht="58" x14ac:dyDescent="0.35">
      <c r="A458" s="203" t="s">
        <v>1601</v>
      </c>
      <c r="B458" s="203" t="s">
        <v>1149</v>
      </c>
      <c r="C458" s="203" t="s">
        <v>1848</v>
      </c>
      <c r="D458" s="243">
        <v>72151511</v>
      </c>
      <c r="E458" s="216" t="s">
        <v>1855</v>
      </c>
      <c r="F458" s="228" t="s">
        <v>788</v>
      </c>
      <c r="G458" s="188" t="s">
        <v>72</v>
      </c>
      <c r="H458" s="205" t="s">
        <v>72</v>
      </c>
      <c r="I458" s="217">
        <v>1</v>
      </c>
      <c r="J458" s="187" t="s">
        <v>940</v>
      </c>
      <c r="K458" s="218">
        <v>815000</v>
      </c>
      <c r="L458" s="219"/>
      <c r="M458" s="218">
        <v>0</v>
      </c>
      <c r="N458" s="218">
        <v>815000</v>
      </c>
      <c r="O458" s="203" t="s">
        <v>791</v>
      </c>
      <c r="P458" s="203" t="s">
        <v>89</v>
      </c>
      <c r="Q458" s="220">
        <v>815000</v>
      </c>
      <c r="R458" s="220">
        <v>0</v>
      </c>
      <c r="S458" s="220">
        <v>0</v>
      </c>
      <c r="T458" s="220">
        <v>0</v>
      </c>
      <c r="U458" s="203" t="s">
        <v>806</v>
      </c>
      <c r="V458" s="204" t="s">
        <v>1854</v>
      </c>
      <c r="W458" s="207">
        <v>815000</v>
      </c>
      <c r="X458" s="225" t="s">
        <v>1005</v>
      </c>
      <c r="Y458" s="225" t="s">
        <v>1014</v>
      </c>
      <c r="Z458" s="225" t="s">
        <v>1014</v>
      </c>
    </row>
    <row r="459" spans="1:26" ht="58" x14ac:dyDescent="0.35">
      <c r="A459" s="203" t="s">
        <v>1601</v>
      </c>
      <c r="B459" s="203" t="s">
        <v>1149</v>
      </c>
      <c r="C459" s="203" t="s">
        <v>1848</v>
      </c>
      <c r="D459" s="243">
        <v>52161505</v>
      </c>
      <c r="E459" s="216" t="s">
        <v>1698</v>
      </c>
      <c r="F459" s="228" t="s">
        <v>1856</v>
      </c>
      <c r="G459" s="188" t="s">
        <v>74</v>
      </c>
      <c r="H459" s="205" t="s">
        <v>74</v>
      </c>
      <c r="I459" s="217">
        <v>1</v>
      </c>
      <c r="J459" s="187" t="s">
        <v>940</v>
      </c>
      <c r="K459" s="218">
        <v>3000000</v>
      </c>
      <c r="L459" s="219">
        <v>0.19</v>
      </c>
      <c r="M459" s="218">
        <v>570000</v>
      </c>
      <c r="N459" s="218">
        <v>3570000</v>
      </c>
      <c r="O459" s="203" t="s">
        <v>791</v>
      </c>
      <c r="P459" s="203" t="s">
        <v>89</v>
      </c>
      <c r="Q459" s="220">
        <v>3570000</v>
      </c>
      <c r="R459" s="220">
        <v>0</v>
      </c>
      <c r="S459" s="220">
        <v>0</v>
      </c>
      <c r="T459" s="220">
        <v>0</v>
      </c>
      <c r="U459" s="203" t="s">
        <v>806</v>
      </c>
      <c r="V459" s="204" t="s">
        <v>1857</v>
      </c>
      <c r="W459" s="207">
        <v>3000000</v>
      </c>
      <c r="X459" s="225" t="s">
        <v>1070</v>
      </c>
      <c r="Y459" s="225" t="s">
        <v>1071</v>
      </c>
      <c r="Z459" s="225" t="s">
        <v>1612</v>
      </c>
    </row>
    <row r="460" spans="1:26" ht="58" x14ac:dyDescent="0.35">
      <c r="A460" s="203" t="s">
        <v>1601</v>
      </c>
      <c r="B460" s="203" t="s">
        <v>1149</v>
      </c>
      <c r="C460" s="203" t="s">
        <v>1848</v>
      </c>
      <c r="D460" s="243">
        <v>48101909</v>
      </c>
      <c r="E460" s="216" t="s">
        <v>1858</v>
      </c>
      <c r="F460" s="228" t="s">
        <v>1859</v>
      </c>
      <c r="G460" s="188" t="s">
        <v>74</v>
      </c>
      <c r="H460" s="205" t="s">
        <v>74</v>
      </c>
      <c r="I460" s="217">
        <v>1</v>
      </c>
      <c r="J460" s="187" t="s">
        <v>940</v>
      </c>
      <c r="K460" s="218">
        <v>1000000</v>
      </c>
      <c r="L460" s="219">
        <v>0.19</v>
      </c>
      <c r="M460" s="218">
        <v>190000</v>
      </c>
      <c r="N460" s="218">
        <v>1190000</v>
      </c>
      <c r="O460" s="203" t="s">
        <v>791</v>
      </c>
      <c r="P460" s="203" t="s">
        <v>89</v>
      </c>
      <c r="Q460" s="220">
        <v>1190000</v>
      </c>
      <c r="R460" s="220">
        <v>0</v>
      </c>
      <c r="S460" s="220">
        <v>0</v>
      </c>
      <c r="T460" s="220">
        <v>0</v>
      </c>
      <c r="U460" s="203" t="s">
        <v>806</v>
      </c>
      <c r="V460" s="204" t="s">
        <v>1857</v>
      </c>
      <c r="W460" s="207">
        <v>1000000</v>
      </c>
      <c r="X460" s="225" t="s">
        <v>1070</v>
      </c>
      <c r="Y460" s="225" t="s">
        <v>1071</v>
      </c>
      <c r="Z460" s="225" t="s">
        <v>1612</v>
      </c>
    </row>
    <row r="461" spans="1:26" ht="58" x14ac:dyDescent="0.35">
      <c r="A461" s="203" t="s">
        <v>1601</v>
      </c>
      <c r="B461" s="203" t="s">
        <v>1149</v>
      </c>
      <c r="C461" s="203" t="s">
        <v>1848</v>
      </c>
      <c r="D461" s="243">
        <v>56121400</v>
      </c>
      <c r="E461" s="216" t="s">
        <v>1860</v>
      </c>
      <c r="F461" s="228" t="s">
        <v>1861</v>
      </c>
      <c r="G461" s="188" t="s">
        <v>74</v>
      </c>
      <c r="H461" s="205" t="s">
        <v>74</v>
      </c>
      <c r="I461" s="217">
        <v>1</v>
      </c>
      <c r="J461" s="187" t="s">
        <v>940</v>
      </c>
      <c r="K461" s="218">
        <v>900000</v>
      </c>
      <c r="L461" s="219">
        <v>0.19</v>
      </c>
      <c r="M461" s="218">
        <v>171000</v>
      </c>
      <c r="N461" s="218">
        <v>1071000</v>
      </c>
      <c r="O461" s="203" t="s">
        <v>791</v>
      </c>
      <c r="P461" s="203" t="s">
        <v>89</v>
      </c>
      <c r="Q461" s="220">
        <v>1071000</v>
      </c>
      <c r="R461" s="220">
        <v>0</v>
      </c>
      <c r="S461" s="220">
        <v>0</v>
      </c>
      <c r="T461" s="220">
        <v>0</v>
      </c>
      <c r="U461" s="203" t="s">
        <v>806</v>
      </c>
      <c r="V461" s="204" t="s">
        <v>1857</v>
      </c>
      <c r="W461" s="207">
        <v>1071000</v>
      </c>
      <c r="X461" s="225" t="s">
        <v>1070</v>
      </c>
      <c r="Y461" s="225" t="s">
        <v>1071</v>
      </c>
      <c r="Z461" s="225" t="s">
        <v>1612</v>
      </c>
    </row>
    <row r="462" spans="1:26" ht="43.5" x14ac:dyDescent="0.35">
      <c r="A462" s="203" t="s">
        <v>1601</v>
      </c>
      <c r="B462" s="203" t="s">
        <v>1149</v>
      </c>
      <c r="C462" s="203" t="s">
        <v>1848</v>
      </c>
      <c r="D462" s="243">
        <v>72102900</v>
      </c>
      <c r="E462" s="216" t="s">
        <v>1862</v>
      </c>
      <c r="F462" s="228" t="s">
        <v>1863</v>
      </c>
      <c r="G462" s="188" t="s">
        <v>74</v>
      </c>
      <c r="H462" s="205" t="s">
        <v>74</v>
      </c>
      <c r="I462" s="217">
        <v>1</v>
      </c>
      <c r="J462" s="187" t="s">
        <v>940</v>
      </c>
      <c r="K462" s="218">
        <v>950000</v>
      </c>
      <c r="L462" s="219">
        <v>0</v>
      </c>
      <c r="M462" s="218">
        <v>0</v>
      </c>
      <c r="N462" s="218">
        <v>950000</v>
      </c>
      <c r="O462" s="203" t="s">
        <v>791</v>
      </c>
      <c r="P462" s="203" t="s">
        <v>89</v>
      </c>
      <c r="Q462" s="220">
        <v>950000</v>
      </c>
      <c r="R462" s="220">
        <v>0</v>
      </c>
      <c r="S462" s="220">
        <v>0</v>
      </c>
      <c r="T462" s="220">
        <v>0</v>
      </c>
      <c r="U462" s="203" t="s">
        <v>806</v>
      </c>
      <c r="V462" s="204" t="s">
        <v>1864</v>
      </c>
      <c r="W462" s="207">
        <v>950000</v>
      </c>
      <c r="X462" s="225" t="s">
        <v>1618</v>
      </c>
      <c r="Y462" s="225" t="s">
        <v>1618</v>
      </c>
      <c r="Z462" s="225" t="s">
        <v>1701</v>
      </c>
    </row>
    <row r="463" spans="1:26" ht="58" x14ac:dyDescent="0.35">
      <c r="A463" s="203" t="s">
        <v>1601</v>
      </c>
      <c r="B463" s="203" t="s">
        <v>1149</v>
      </c>
      <c r="C463" s="203" t="s">
        <v>1865</v>
      </c>
      <c r="D463" s="243">
        <v>80141902</v>
      </c>
      <c r="E463" s="216" t="s">
        <v>1603</v>
      </c>
      <c r="F463" s="228" t="s">
        <v>1604</v>
      </c>
      <c r="G463" s="188" t="s">
        <v>69</v>
      </c>
      <c r="H463" s="205" t="s">
        <v>69</v>
      </c>
      <c r="I463" s="217">
        <v>1</v>
      </c>
      <c r="J463" s="187" t="s">
        <v>940</v>
      </c>
      <c r="K463" s="218">
        <v>1500000</v>
      </c>
      <c r="L463" s="219">
        <v>0.19</v>
      </c>
      <c r="M463" s="218">
        <v>285000</v>
      </c>
      <c r="N463" s="218">
        <v>1785000</v>
      </c>
      <c r="O463" s="203" t="s">
        <v>791</v>
      </c>
      <c r="P463" s="203" t="s">
        <v>89</v>
      </c>
      <c r="Q463" s="220">
        <v>1785000</v>
      </c>
      <c r="R463" s="220">
        <v>0</v>
      </c>
      <c r="S463" s="220">
        <v>0</v>
      </c>
      <c r="T463" s="220">
        <v>0</v>
      </c>
      <c r="U463" s="203" t="s">
        <v>1866</v>
      </c>
      <c r="V463" s="204"/>
      <c r="W463" s="207"/>
      <c r="X463" s="225" t="s">
        <v>1228</v>
      </c>
      <c r="Y463" s="225" t="s">
        <v>1234</v>
      </c>
      <c r="Z463" s="225" t="s">
        <v>1235</v>
      </c>
    </row>
    <row r="464" spans="1:26" ht="58" x14ac:dyDescent="0.35">
      <c r="A464" s="203" t="s">
        <v>1601</v>
      </c>
      <c r="B464" s="203" t="s">
        <v>1149</v>
      </c>
      <c r="C464" s="203" t="s">
        <v>1865</v>
      </c>
      <c r="D464" s="243">
        <v>80141902</v>
      </c>
      <c r="E464" s="216" t="s">
        <v>1603</v>
      </c>
      <c r="F464" s="228" t="s">
        <v>1606</v>
      </c>
      <c r="G464" s="188" t="s">
        <v>77</v>
      </c>
      <c r="H464" s="205" t="s">
        <v>77</v>
      </c>
      <c r="I464" s="217">
        <v>1</v>
      </c>
      <c r="J464" s="187" t="s">
        <v>940</v>
      </c>
      <c r="K464" s="218">
        <v>1500000</v>
      </c>
      <c r="L464" s="219">
        <v>0.19</v>
      </c>
      <c r="M464" s="218">
        <v>285000</v>
      </c>
      <c r="N464" s="218">
        <v>1785000</v>
      </c>
      <c r="O464" s="203" t="s">
        <v>791</v>
      </c>
      <c r="P464" s="203" t="s">
        <v>89</v>
      </c>
      <c r="Q464" s="220">
        <v>1785000</v>
      </c>
      <c r="R464" s="220">
        <v>0</v>
      </c>
      <c r="S464" s="220">
        <v>0</v>
      </c>
      <c r="T464" s="220">
        <v>0</v>
      </c>
      <c r="U464" s="203" t="s">
        <v>1866</v>
      </c>
      <c r="V464" s="204"/>
      <c r="W464" s="207"/>
      <c r="X464" s="225" t="s">
        <v>1228</v>
      </c>
      <c r="Y464" s="225" t="s">
        <v>1229</v>
      </c>
      <c r="Z464" s="225" t="s">
        <v>1230</v>
      </c>
    </row>
    <row r="465" spans="1:26" ht="43.5" x14ac:dyDescent="0.35">
      <c r="A465" s="203" t="s">
        <v>1601</v>
      </c>
      <c r="B465" s="203" t="s">
        <v>1149</v>
      </c>
      <c r="C465" s="203" t="s">
        <v>1865</v>
      </c>
      <c r="D465" s="243">
        <v>80141902</v>
      </c>
      <c r="E465" s="216" t="s">
        <v>1603</v>
      </c>
      <c r="F465" s="228" t="s">
        <v>772</v>
      </c>
      <c r="G465" s="188" t="s">
        <v>77</v>
      </c>
      <c r="H465" s="205" t="s">
        <v>78</v>
      </c>
      <c r="I465" s="217">
        <v>1</v>
      </c>
      <c r="J465" s="187" t="s">
        <v>940</v>
      </c>
      <c r="K465" s="218">
        <v>1400000</v>
      </c>
      <c r="L465" s="219"/>
      <c r="M465" s="218">
        <v>0</v>
      </c>
      <c r="N465" s="218">
        <v>1400000</v>
      </c>
      <c r="O465" s="203" t="s">
        <v>791</v>
      </c>
      <c r="P465" s="203" t="s">
        <v>89</v>
      </c>
      <c r="Q465" s="220">
        <v>1666000</v>
      </c>
      <c r="R465" s="220">
        <v>0</v>
      </c>
      <c r="S465" s="220">
        <v>0</v>
      </c>
      <c r="T465" s="220">
        <v>0</v>
      </c>
      <c r="U465" s="203" t="s">
        <v>1866</v>
      </c>
      <c r="V465" s="204"/>
      <c r="W465" s="207">
        <v>1400000</v>
      </c>
      <c r="X465" s="225" t="s">
        <v>1867</v>
      </c>
      <c r="Y465" s="225" t="s">
        <v>1609</v>
      </c>
      <c r="Z465" s="225"/>
    </row>
    <row r="466" spans="1:26" ht="43.5" x14ac:dyDescent="0.35">
      <c r="A466" s="203" t="s">
        <v>1601</v>
      </c>
      <c r="B466" s="203" t="s">
        <v>1149</v>
      </c>
      <c r="C466" s="203" t="s">
        <v>1865</v>
      </c>
      <c r="D466" s="243">
        <v>80141902</v>
      </c>
      <c r="E466" s="216" t="s">
        <v>1603</v>
      </c>
      <c r="F466" s="228" t="s">
        <v>1843</v>
      </c>
      <c r="G466" s="188" t="s">
        <v>72</v>
      </c>
      <c r="H466" s="205" t="s">
        <v>73</v>
      </c>
      <c r="I466" s="217">
        <v>1</v>
      </c>
      <c r="J466" s="187" t="s">
        <v>940</v>
      </c>
      <c r="K466" s="218">
        <v>1000000</v>
      </c>
      <c r="L466" s="219"/>
      <c r="M466" s="218">
        <v>0</v>
      </c>
      <c r="N466" s="218">
        <v>1000000</v>
      </c>
      <c r="O466" s="203" t="s">
        <v>791</v>
      </c>
      <c r="P466" s="203" t="s">
        <v>89</v>
      </c>
      <c r="Q466" s="220">
        <v>1190000</v>
      </c>
      <c r="R466" s="220">
        <v>0</v>
      </c>
      <c r="S466" s="220">
        <v>0</v>
      </c>
      <c r="T466" s="220">
        <v>0</v>
      </c>
      <c r="U466" s="203" t="s">
        <v>1866</v>
      </c>
      <c r="V466" s="204"/>
      <c r="W466" s="207"/>
      <c r="X466" s="225" t="s">
        <v>1867</v>
      </c>
      <c r="Y466" s="225" t="s">
        <v>1609</v>
      </c>
      <c r="Z466" s="225"/>
    </row>
    <row r="467" spans="1:26" ht="29" x14ac:dyDescent="0.35">
      <c r="A467" s="203" t="s">
        <v>1601</v>
      </c>
      <c r="B467" s="203" t="s">
        <v>1149</v>
      </c>
      <c r="C467" s="203" t="s">
        <v>1865</v>
      </c>
      <c r="D467" s="243">
        <v>73181104</v>
      </c>
      <c r="E467" s="216" t="s">
        <v>1868</v>
      </c>
      <c r="F467" s="228" t="s">
        <v>1869</v>
      </c>
      <c r="G467" s="188" t="s">
        <v>69</v>
      </c>
      <c r="H467" s="205" t="s">
        <v>70</v>
      </c>
      <c r="I467" s="217">
        <v>1</v>
      </c>
      <c r="J467" s="187" t="s">
        <v>1186</v>
      </c>
      <c r="K467" s="218">
        <v>3500000</v>
      </c>
      <c r="L467" s="219">
        <v>0.19</v>
      </c>
      <c r="M467" s="218">
        <v>665000</v>
      </c>
      <c r="N467" s="218">
        <v>4165000</v>
      </c>
      <c r="O467" s="203" t="s">
        <v>791</v>
      </c>
      <c r="P467" s="203" t="s">
        <v>89</v>
      </c>
      <c r="Q467" s="220">
        <v>4165000</v>
      </c>
      <c r="R467" s="220">
        <v>0</v>
      </c>
      <c r="S467" s="220">
        <v>0</v>
      </c>
      <c r="T467" s="220">
        <v>0</v>
      </c>
      <c r="U467" s="203" t="s">
        <v>1866</v>
      </c>
      <c r="V467" s="204"/>
      <c r="W467" s="207"/>
      <c r="X467" s="225" t="s">
        <v>1868</v>
      </c>
      <c r="Y467" s="225" t="s">
        <v>1868</v>
      </c>
      <c r="Z467" s="225"/>
    </row>
    <row r="468" spans="1:26" ht="43.5" x14ac:dyDescent="0.35">
      <c r="A468" s="203" t="s">
        <v>1601</v>
      </c>
      <c r="B468" s="203" t="s">
        <v>1149</v>
      </c>
      <c r="C468" s="203" t="s">
        <v>1865</v>
      </c>
      <c r="D468" s="243">
        <v>72103300</v>
      </c>
      <c r="E468" s="216" t="s">
        <v>1870</v>
      </c>
      <c r="F468" s="228" t="s">
        <v>1619</v>
      </c>
      <c r="G468" s="188" t="s">
        <v>70</v>
      </c>
      <c r="H468" s="205" t="s">
        <v>69</v>
      </c>
      <c r="I468" s="217">
        <v>1</v>
      </c>
      <c r="J468" s="187" t="s">
        <v>1186</v>
      </c>
      <c r="K468" s="218">
        <v>7000000</v>
      </c>
      <c r="L468" s="219">
        <v>0.19</v>
      </c>
      <c r="M468" s="218">
        <v>1330000</v>
      </c>
      <c r="N468" s="218">
        <v>8330000</v>
      </c>
      <c r="O468" s="203" t="s">
        <v>791</v>
      </c>
      <c r="P468" s="203" t="s">
        <v>89</v>
      </c>
      <c r="Q468" s="220">
        <v>8330000</v>
      </c>
      <c r="R468" s="220">
        <v>0</v>
      </c>
      <c r="S468" s="220">
        <v>0</v>
      </c>
      <c r="T468" s="220">
        <v>0</v>
      </c>
      <c r="U468" s="203" t="s">
        <v>1866</v>
      </c>
      <c r="V468" s="204"/>
      <c r="W468" s="207"/>
      <c r="X468" s="225" t="s">
        <v>1871</v>
      </c>
      <c r="Y468" s="225" t="s">
        <v>1872</v>
      </c>
      <c r="Z468" s="225"/>
    </row>
    <row r="469" spans="1:26" ht="43.5" x14ac:dyDescent="0.35">
      <c r="A469" s="203" t="s">
        <v>1601</v>
      </c>
      <c r="B469" s="203" t="s">
        <v>1149</v>
      </c>
      <c r="C469" s="203" t="s">
        <v>1865</v>
      </c>
      <c r="D469" s="243">
        <v>72154028</v>
      </c>
      <c r="E469" s="216" t="s">
        <v>1805</v>
      </c>
      <c r="F469" s="228" t="s">
        <v>1807</v>
      </c>
      <c r="G469" s="188" t="s">
        <v>73</v>
      </c>
      <c r="H469" s="205" t="s">
        <v>73</v>
      </c>
      <c r="I469" s="217">
        <v>1</v>
      </c>
      <c r="J469" s="187" t="s">
        <v>940</v>
      </c>
      <c r="K469" s="218">
        <v>7000000</v>
      </c>
      <c r="L469" s="219">
        <v>0.19</v>
      </c>
      <c r="M469" s="218">
        <v>1330000</v>
      </c>
      <c r="N469" s="218">
        <v>8330000</v>
      </c>
      <c r="O469" s="203" t="s">
        <v>791</v>
      </c>
      <c r="P469" s="203" t="s">
        <v>89</v>
      </c>
      <c r="Q469" s="220">
        <v>8330000</v>
      </c>
      <c r="R469" s="220">
        <v>0</v>
      </c>
      <c r="S469" s="220">
        <v>0</v>
      </c>
      <c r="T469" s="220">
        <v>0</v>
      </c>
      <c r="U469" s="203" t="s">
        <v>1866</v>
      </c>
      <c r="V469" s="204" t="s">
        <v>1807</v>
      </c>
      <c r="W469" s="207">
        <v>7000000</v>
      </c>
      <c r="X469" s="225" t="s">
        <v>1808</v>
      </c>
      <c r="Y469" s="225" t="s">
        <v>1618</v>
      </c>
      <c r="Z469" s="225" t="s">
        <v>1619</v>
      </c>
    </row>
    <row r="470" spans="1:26" ht="58" x14ac:dyDescent="0.35">
      <c r="A470" s="203" t="s">
        <v>1601</v>
      </c>
      <c r="B470" s="203" t="s">
        <v>1149</v>
      </c>
      <c r="C470" s="203" t="s">
        <v>1873</v>
      </c>
      <c r="D470" s="243">
        <v>80141902</v>
      </c>
      <c r="E470" s="216" t="s">
        <v>1603</v>
      </c>
      <c r="F470" s="228" t="s">
        <v>1604</v>
      </c>
      <c r="G470" s="188" t="s">
        <v>69</v>
      </c>
      <c r="H470" s="205" t="s">
        <v>69</v>
      </c>
      <c r="I470" s="217">
        <v>1</v>
      </c>
      <c r="J470" s="187" t="s">
        <v>940</v>
      </c>
      <c r="K470" s="218">
        <v>2000000</v>
      </c>
      <c r="L470" s="219">
        <v>0.19</v>
      </c>
      <c r="M470" s="218">
        <v>380000</v>
      </c>
      <c r="N470" s="218">
        <v>2380000</v>
      </c>
      <c r="O470" s="203" t="s">
        <v>791</v>
      </c>
      <c r="P470" s="203" t="s">
        <v>89</v>
      </c>
      <c r="Q470" s="220">
        <v>2380000</v>
      </c>
      <c r="R470" s="220">
        <v>0</v>
      </c>
      <c r="S470" s="220">
        <v>0</v>
      </c>
      <c r="T470" s="220">
        <v>0</v>
      </c>
      <c r="U470" s="203" t="s">
        <v>1874</v>
      </c>
      <c r="V470" s="204"/>
      <c r="W470" s="207"/>
      <c r="X470" s="225" t="s">
        <v>1228</v>
      </c>
      <c r="Y470" s="225" t="s">
        <v>1234</v>
      </c>
      <c r="Z470" s="225" t="s">
        <v>1235</v>
      </c>
    </row>
    <row r="471" spans="1:26" ht="58" x14ac:dyDescent="0.35">
      <c r="A471" s="203" t="s">
        <v>1601</v>
      </c>
      <c r="B471" s="203" t="s">
        <v>1149</v>
      </c>
      <c r="C471" s="203" t="s">
        <v>1873</v>
      </c>
      <c r="D471" s="243">
        <v>80141902</v>
      </c>
      <c r="E471" s="216" t="s">
        <v>1603</v>
      </c>
      <c r="F471" s="228" t="s">
        <v>1606</v>
      </c>
      <c r="G471" s="188" t="s">
        <v>77</v>
      </c>
      <c r="H471" s="205" t="s">
        <v>77</v>
      </c>
      <c r="I471" s="217">
        <v>1</v>
      </c>
      <c r="J471" s="187" t="s">
        <v>940</v>
      </c>
      <c r="K471" s="218">
        <v>2000000</v>
      </c>
      <c r="L471" s="219">
        <v>0.19</v>
      </c>
      <c r="M471" s="218">
        <v>380000</v>
      </c>
      <c r="N471" s="218">
        <v>2380000</v>
      </c>
      <c r="O471" s="203" t="s">
        <v>791</v>
      </c>
      <c r="P471" s="203" t="s">
        <v>89</v>
      </c>
      <c r="Q471" s="220">
        <v>2380000</v>
      </c>
      <c r="R471" s="220">
        <v>0</v>
      </c>
      <c r="S471" s="220">
        <v>0</v>
      </c>
      <c r="T471" s="220">
        <v>0</v>
      </c>
      <c r="U471" s="203" t="s">
        <v>1874</v>
      </c>
      <c r="V471" s="204"/>
      <c r="W471" s="207"/>
      <c r="X471" s="225" t="s">
        <v>1228</v>
      </c>
      <c r="Y471" s="225" t="s">
        <v>1229</v>
      </c>
      <c r="Z471" s="225" t="s">
        <v>1230</v>
      </c>
    </row>
    <row r="472" spans="1:26" ht="29" x14ac:dyDescent="0.35">
      <c r="A472" s="203" t="s">
        <v>1601</v>
      </c>
      <c r="B472" s="203" t="s">
        <v>1149</v>
      </c>
      <c r="C472" s="203" t="s">
        <v>1873</v>
      </c>
      <c r="D472" s="243">
        <v>80141902</v>
      </c>
      <c r="E472" s="216" t="s">
        <v>1603</v>
      </c>
      <c r="F472" s="228" t="s">
        <v>772</v>
      </c>
      <c r="G472" s="188" t="s">
        <v>77</v>
      </c>
      <c r="H472" s="205" t="s">
        <v>78</v>
      </c>
      <c r="I472" s="217">
        <v>1</v>
      </c>
      <c r="J472" s="187" t="s">
        <v>1186</v>
      </c>
      <c r="K472" s="218">
        <v>2500000</v>
      </c>
      <c r="L472" s="219">
        <v>0.19</v>
      </c>
      <c r="M472" s="218">
        <v>475000</v>
      </c>
      <c r="N472" s="218">
        <v>2975000</v>
      </c>
      <c r="O472" s="203" t="s">
        <v>791</v>
      </c>
      <c r="P472" s="203" t="s">
        <v>89</v>
      </c>
      <c r="Q472" s="220">
        <v>2975000</v>
      </c>
      <c r="R472" s="220">
        <v>0</v>
      </c>
      <c r="S472" s="220">
        <v>0</v>
      </c>
      <c r="T472" s="220">
        <v>0</v>
      </c>
      <c r="U472" s="203" t="s">
        <v>1874</v>
      </c>
      <c r="V472" s="204"/>
      <c r="W472" s="207"/>
      <c r="X472" s="225" t="s">
        <v>1875</v>
      </c>
      <c r="Y472" s="225" t="s">
        <v>1850</v>
      </c>
      <c r="Z472" s="225"/>
    </row>
    <row r="473" spans="1:26" ht="29" x14ac:dyDescent="0.35">
      <c r="A473" s="203" t="s">
        <v>1601</v>
      </c>
      <c r="B473" s="203" t="s">
        <v>1149</v>
      </c>
      <c r="C473" s="203" t="s">
        <v>1873</v>
      </c>
      <c r="D473" s="243">
        <v>80141902</v>
      </c>
      <c r="E473" s="216" t="s">
        <v>1603</v>
      </c>
      <c r="F473" s="228" t="s">
        <v>1607</v>
      </c>
      <c r="G473" s="188" t="s">
        <v>72</v>
      </c>
      <c r="H473" s="205" t="s">
        <v>73</v>
      </c>
      <c r="I473" s="217">
        <v>1</v>
      </c>
      <c r="J473" s="187" t="s">
        <v>1186</v>
      </c>
      <c r="K473" s="218">
        <v>2200000</v>
      </c>
      <c r="L473" s="219">
        <v>0.19</v>
      </c>
      <c r="M473" s="218">
        <v>418000</v>
      </c>
      <c r="N473" s="218">
        <v>2618000</v>
      </c>
      <c r="O473" s="203" t="s">
        <v>791</v>
      </c>
      <c r="P473" s="203" t="s">
        <v>89</v>
      </c>
      <c r="Q473" s="220">
        <v>2618000</v>
      </c>
      <c r="R473" s="220">
        <v>0</v>
      </c>
      <c r="S473" s="220">
        <v>0</v>
      </c>
      <c r="T473" s="220">
        <v>0</v>
      </c>
      <c r="U473" s="203" t="s">
        <v>1874</v>
      </c>
      <c r="V473" s="204"/>
      <c r="W473" s="207"/>
      <c r="X473" s="225" t="s">
        <v>1875</v>
      </c>
      <c r="Y473" s="225" t="s">
        <v>1876</v>
      </c>
      <c r="Z473" s="225"/>
    </row>
    <row r="474" spans="1:26" ht="58" x14ac:dyDescent="0.35">
      <c r="A474" s="203" t="s">
        <v>1601</v>
      </c>
      <c r="B474" s="203" t="s">
        <v>1149</v>
      </c>
      <c r="C474" s="203" t="s">
        <v>1873</v>
      </c>
      <c r="D474" s="243">
        <v>52161505</v>
      </c>
      <c r="E474" s="216" t="s">
        <v>1877</v>
      </c>
      <c r="F474" s="228" t="s">
        <v>1878</v>
      </c>
      <c r="G474" s="188" t="s">
        <v>72</v>
      </c>
      <c r="H474" s="205" t="s">
        <v>72</v>
      </c>
      <c r="I474" s="217">
        <v>1</v>
      </c>
      <c r="J474" s="187" t="s">
        <v>940</v>
      </c>
      <c r="K474" s="218">
        <v>3000000</v>
      </c>
      <c r="L474" s="219">
        <v>0.19</v>
      </c>
      <c r="M474" s="218">
        <v>570000</v>
      </c>
      <c r="N474" s="218">
        <v>3570000</v>
      </c>
      <c r="O474" s="203" t="s">
        <v>791</v>
      </c>
      <c r="P474" s="203" t="s">
        <v>89</v>
      </c>
      <c r="Q474" s="220">
        <v>3570000</v>
      </c>
      <c r="R474" s="220">
        <v>0</v>
      </c>
      <c r="S474" s="220">
        <v>0</v>
      </c>
      <c r="T474" s="220">
        <v>0</v>
      </c>
      <c r="U474" s="203" t="s">
        <v>1874</v>
      </c>
      <c r="V474" s="204"/>
      <c r="W474" s="207">
        <v>3000000</v>
      </c>
      <c r="X474" s="225" t="s">
        <v>1832</v>
      </c>
      <c r="Y474" s="225" t="s">
        <v>1071</v>
      </c>
      <c r="Z474" s="225" t="s">
        <v>1612</v>
      </c>
    </row>
    <row r="475" spans="1:26" ht="29" x14ac:dyDescent="0.35">
      <c r="A475" s="203" t="s">
        <v>1601</v>
      </c>
      <c r="B475" s="203" t="s">
        <v>1149</v>
      </c>
      <c r="C475" s="203" t="s">
        <v>1873</v>
      </c>
      <c r="D475" s="243">
        <v>72121103</v>
      </c>
      <c r="E475" s="216" t="s">
        <v>1768</v>
      </c>
      <c r="F475" s="228" t="s">
        <v>1677</v>
      </c>
      <c r="G475" s="188" t="s">
        <v>73</v>
      </c>
      <c r="H475" s="205" t="s">
        <v>73</v>
      </c>
      <c r="I475" s="217">
        <v>1</v>
      </c>
      <c r="J475" s="187" t="s">
        <v>940</v>
      </c>
      <c r="K475" s="218">
        <v>7000000</v>
      </c>
      <c r="L475" s="219">
        <v>0.19</v>
      </c>
      <c r="M475" s="218">
        <v>1330000</v>
      </c>
      <c r="N475" s="218">
        <v>8330000</v>
      </c>
      <c r="O475" s="203" t="s">
        <v>791</v>
      </c>
      <c r="P475" s="203" t="s">
        <v>89</v>
      </c>
      <c r="Q475" s="220">
        <v>8330000</v>
      </c>
      <c r="R475" s="220">
        <v>0</v>
      </c>
      <c r="S475" s="220">
        <v>0</v>
      </c>
      <c r="T475" s="220">
        <v>0</v>
      </c>
      <c r="U475" s="203" t="s">
        <v>1874</v>
      </c>
      <c r="V475" s="204"/>
      <c r="W475" s="207">
        <v>7000000</v>
      </c>
      <c r="X475" s="225" t="s">
        <v>1045</v>
      </c>
      <c r="Y475" s="225" t="s">
        <v>1045</v>
      </c>
      <c r="Z475" s="225" t="s">
        <v>1619</v>
      </c>
    </row>
    <row r="476" spans="1:26" ht="58" x14ac:dyDescent="0.35">
      <c r="A476" s="203" t="s">
        <v>1601</v>
      </c>
      <c r="B476" s="203" t="s">
        <v>1149</v>
      </c>
      <c r="C476" s="203" t="s">
        <v>1873</v>
      </c>
      <c r="D476" s="243">
        <v>56112103</v>
      </c>
      <c r="E476" s="216" t="s">
        <v>1879</v>
      </c>
      <c r="F476" s="228" t="s">
        <v>1880</v>
      </c>
      <c r="G476" s="188" t="s">
        <v>71</v>
      </c>
      <c r="H476" s="205" t="s">
        <v>71</v>
      </c>
      <c r="I476" s="217">
        <v>1</v>
      </c>
      <c r="J476" s="187" t="s">
        <v>940</v>
      </c>
      <c r="K476" s="218">
        <v>4800000</v>
      </c>
      <c r="L476" s="219">
        <v>0.19</v>
      </c>
      <c r="M476" s="218">
        <v>912000</v>
      </c>
      <c r="N476" s="218">
        <v>5712000</v>
      </c>
      <c r="O476" s="203" t="s">
        <v>791</v>
      </c>
      <c r="P476" s="203" t="s">
        <v>89</v>
      </c>
      <c r="Q476" s="220">
        <v>5712000</v>
      </c>
      <c r="R476" s="220">
        <v>0</v>
      </c>
      <c r="S476" s="220">
        <v>0</v>
      </c>
      <c r="T476" s="220">
        <v>0</v>
      </c>
      <c r="U476" s="203" t="s">
        <v>1874</v>
      </c>
      <c r="V476" s="204"/>
      <c r="W476" s="207">
        <v>4800000</v>
      </c>
      <c r="X476" s="225" t="s">
        <v>1832</v>
      </c>
      <c r="Y476" s="225" t="s">
        <v>1071</v>
      </c>
      <c r="Z476" s="225" t="s">
        <v>1612</v>
      </c>
    </row>
    <row r="477" spans="1:26" ht="58" x14ac:dyDescent="0.35">
      <c r="A477" s="203" t="s">
        <v>1601</v>
      </c>
      <c r="B477" s="203" t="s">
        <v>1149</v>
      </c>
      <c r="C477" s="203" t="s">
        <v>1881</v>
      </c>
      <c r="D477" s="243">
        <v>80141902</v>
      </c>
      <c r="E477" s="216" t="s">
        <v>1603</v>
      </c>
      <c r="F477" s="228" t="s">
        <v>1604</v>
      </c>
      <c r="G477" s="188" t="s">
        <v>69</v>
      </c>
      <c r="H477" s="205" t="s">
        <v>69</v>
      </c>
      <c r="I477" s="217">
        <v>1</v>
      </c>
      <c r="J477" s="187" t="s">
        <v>940</v>
      </c>
      <c r="K477" s="218">
        <v>1800000</v>
      </c>
      <c r="L477" s="219">
        <v>0.19</v>
      </c>
      <c r="M477" s="218">
        <v>342000</v>
      </c>
      <c r="N477" s="218">
        <v>2142000</v>
      </c>
      <c r="O477" s="203" t="s">
        <v>791</v>
      </c>
      <c r="P477" s="203" t="s">
        <v>89</v>
      </c>
      <c r="Q477" s="220">
        <v>2142000</v>
      </c>
      <c r="R477" s="220">
        <v>0</v>
      </c>
      <c r="S477" s="220">
        <v>0</v>
      </c>
      <c r="T477" s="220">
        <v>0</v>
      </c>
      <c r="U477" s="203" t="s">
        <v>1882</v>
      </c>
      <c r="V477" s="204"/>
      <c r="W477" s="207"/>
      <c r="X477" s="225" t="s">
        <v>1228</v>
      </c>
      <c r="Y477" s="225" t="s">
        <v>1234</v>
      </c>
      <c r="Z477" s="225" t="s">
        <v>1235</v>
      </c>
    </row>
    <row r="478" spans="1:26" ht="58" x14ac:dyDescent="0.35">
      <c r="A478" s="203" t="s">
        <v>1601</v>
      </c>
      <c r="B478" s="203" t="s">
        <v>1149</v>
      </c>
      <c r="C478" s="203" t="s">
        <v>1881</v>
      </c>
      <c r="D478" s="243">
        <v>80141902</v>
      </c>
      <c r="E478" s="216" t="s">
        <v>1603</v>
      </c>
      <c r="F478" s="228" t="s">
        <v>1606</v>
      </c>
      <c r="G478" s="188" t="s">
        <v>77</v>
      </c>
      <c r="H478" s="205" t="s">
        <v>77</v>
      </c>
      <c r="I478" s="217">
        <v>1</v>
      </c>
      <c r="J478" s="187" t="s">
        <v>940</v>
      </c>
      <c r="K478" s="218">
        <v>1800000</v>
      </c>
      <c r="L478" s="219">
        <v>0.19</v>
      </c>
      <c r="M478" s="218">
        <v>342000</v>
      </c>
      <c r="N478" s="218">
        <v>2142000</v>
      </c>
      <c r="O478" s="203" t="s">
        <v>791</v>
      </c>
      <c r="P478" s="203" t="s">
        <v>89</v>
      </c>
      <c r="Q478" s="220">
        <v>2142000</v>
      </c>
      <c r="R478" s="220">
        <v>0</v>
      </c>
      <c r="S478" s="220">
        <v>0</v>
      </c>
      <c r="T478" s="220">
        <v>0</v>
      </c>
      <c r="U478" s="203" t="s">
        <v>1882</v>
      </c>
      <c r="V478" s="204"/>
      <c r="W478" s="207"/>
      <c r="X478" s="225" t="s">
        <v>1228</v>
      </c>
      <c r="Y478" s="225" t="s">
        <v>1229</v>
      </c>
      <c r="Z478" s="225" t="s">
        <v>1230</v>
      </c>
    </row>
    <row r="479" spans="1:26" ht="43.5" x14ac:dyDescent="0.35">
      <c r="A479" s="203" t="s">
        <v>1601</v>
      </c>
      <c r="B479" s="203" t="s">
        <v>1149</v>
      </c>
      <c r="C479" s="203" t="s">
        <v>1881</v>
      </c>
      <c r="D479" s="243">
        <v>80141902</v>
      </c>
      <c r="E479" s="216" t="s">
        <v>1603</v>
      </c>
      <c r="F479" s="228" t="s">
        <v>772</v>
      </c>
      <c r="G479" s="188" t="s">
        <v>77</v>
      </c>
      <c r="H479" s="205" t="s">
        <v>78</v>
      </c>
      <c r="I479" s="217">
        <v>1</v>
      </c>
      <c r="J479" s="187" t="s">
        <v>1186</v>
      </c>
      <c r="K479" s="218">
        <v>1375000</v>
      </c>
      <c r="L479" s="219">
        <v>0.19</v>
      </c>
      <c r="M479" s="218">
        <v>261250</v>
      </c>
      <c r="N479" s="218">
        <v>1636250</v>
      </c>
      <c r="O479" s="203" t="s">
        <v>791</v>
      </c>
      <c r="P479" s="203" t="s">
        <v>89</v>
      </c>
      <c r="Q479" s="218">
        <v>1636250</v>
      </c>
      <c r="R479" s="220">
        <v>0</v>
      </c>
      <c r="S479" s="220">
        <v>0</v>
      </c>
      <c r="T479" s="220">
        <v>0</v>
      </c>
      <c r="U479" s="203" t="s">
        <v>1882</v>
      </c>
      <c r="V479" s="204"/>
      <c r="W479" s="207"/>
      <c r="X479" s="225" t="s">
        <v>1867</v>
      </c>
      <c r="Y479" s="225" t="s">
        <v>1883</v>
      </c>
      <c r="Z479" s="225"/>
    </row>
    <row r="480" spans="1:26" ht="43.5" x14ac:dyDescent="0.35">
      <c r="A480" s="203" t="s">
        <v>1601</v>
      </c>
      <c r="B480" s="203" t="s">
        <v>1149</v>
      </c>
      <c r="C480" s="203" t="s">
        <v>1881</v>
      </c>
      <c r="D480" s="243">
        <v>80141902</v>
      </c>
      <c r="E480" s="216" t="s">
        <v>1603</v>
      </c>
      <c r="F480" s="228" t="s">
        <v>1607</v>
      </c>
      <c r="G480" s="188" t="s">
        <v>72</v>
      </c>
      <c r="H480" s="205" t="s">
        <v>73</v>
      </c>
      <c r="I480" s="217">
        <v>1</v>
      </c>
      <c r="J480" s="187" t="s">
        <v>1186</v>
      </c>
      <c r="K480" s="218">
        <v>1540000</v>
      </c>
      <c r="L480" s="219">
        <v>0.19</v>
      </c>
      <c r="M480" s="218">
        <v>292600</v>
      </c>
      <c r="N480" s="218">
        <v>1832600</v>
      </c>
      <c r="O480" s="203" t="s">
        <v>791</v>
      </c>
      <c r="P480" s="203" t="s">
        <v>89</v>
      </c>
      <c r="Q480" s="218">
        <v>1832600</v>
      </c>
      <c r="R480" s="220">
        <v>0</v>
      </c>
      <c r="S480" s="220">
        <v>0</v>
      </c>
      <c r="T480" s="220">
        <v>0</v>
      </c>
      <c r="U480" s="203" t="s">
        <v>1882</v>
      </c>
      <c r="V480" s="204"/>
      <c r="W480" s="207"/>
      <c r="X480" s="225" t="s">
        <v>1867</v>
      </c>
      <c r="Y480" s="225" t="s">
        <v>1883</v>
      </c>
      <c r="Z480" s="225"/>
    </row>
    <row r="481" spans="1:26" ht="29" x14ac:dyDescent="0.35">
      <c r="A481" s="203" t="s">
        <v>1601</v>
      </c>
      <c r="B481" s="203" t="s">
        <v>1149</v>
      </c>
      <c r="C481" s="203" t="s">
        <v>1881</v>
      </c>
      <c r="D481" s="243">
        <v>72154028</v>
      </c>
      <c r="E481" s="216" t="s">
        <v>1012</v>
      </c>
      <c r="F481" s="228" t="s">
        <v>1884</v>
      </c>
      <c r="G481" s="188" t="s">
        <v>69</v>
      </c>
      <c r="H481" s="205" t="s">
        <v>70</v>
      </c>
      <c r="I481" s="217">
        <v>1</v>
      </c>
      <c r="J481" s="187" t="s">
        <v>940</v>
      </c>
      <c r="K481" s="218">
        <v>7000000</v>
      </c>
      <c r="L481" s="219">
        <v>0.19</v>
      </c>
      <c r="M481" s="218">
        <v>1330000</v>
      </c>
      <c r="N481" s="218">
        <v>8330000</v>
      </c>
      <c r="O481" s="203" t="s">
        <v>791</v>
      </c>
      <c r="P481" s="203" t="s">
        <v>89</v>
      </c>
      <c r="Q481" s="220">
        <v>8330000</v>
      </c>
      <c r="R481" s="220">
        <v>0</v>
      </c>
      <c r="S481" s="220">
        <v>0</v>
      </c>
      <c r="T481" s="220">
        <v>0</v>
      </c>
      <c r="U481" s="203" t="s">
        <v>1882</v>
      </c>
      <c r="V481" s="204"/>
      <c r="W481" s="207">
        <v>7000000</v>
      </c>
      <c r="X481" s="225" t="s">
        <v>1618</v>
      </c>
      <c r="Y481" s="225" t="s">
        <v>1618</v>
      </c>
      <c r="Z481" s="225"/>
    </row>
    <row r="482" spans="1:26" ht="29" x14ac:dyDescent="0.35">
      <c r="A482" s="203" t="s">
        <v>1601</v>
      </c>
      <c r="B482" s="203" t="s">
        <v>1149</v>
      </c>
      <c r="C482" s="203" t="s">
        <v>1881</v>
      </c>
      <c r="D482" s="243">
        <v>72101507</v>
      </c>
      <c r="E482" s="216" t="s">
        <v>1616</v>
      </c>
      <c r="F482" s="228" t="s">
        <v>1885</v>
      </c>
      <c r="G482" s="188" t="s">
        <v>69</v>
      </c>
      <c r="H482" s="205" t="s">
        <v>70</v>
      </c>
      <c r="I482" s="217">
        <v>1</v>
      </c>
      <c r="J482" s="187" t="s">
        <v>940</v>
      </c>
      <c r="K482" s="218">
        <v>3500000</v>
      </c>
      <c r="L482" s="219">
        <v>0.19</v>
      </c>
      <c r="M482" s="218">
        <v>665000</v>
      </c>
      <c r="N482" s="218">
        <v>4165000</v>
      </c>
      <c r="O482" s="203" t="s">
        <v>791</v>
      </c>
      <c r="P482" s="203" t="s">
        <v>89</v>
      </c>
      <c r="Q482" s="220">
        <v>4165000</v>
      </c>
      <c r="R482" s="220">
        <v>0</v>
      </c>
      <c r="S482" s="220">
        <v>0</v>
      </c>
      <c r="T482" s="220">
        <v>0</v>
      </c>
      <c r="U482" s="203" t="s">
        <v>1882</v>
      </c>
      <c r="V482" s="204"/>
      <c r="W482" s="207">
        <v>3500000</v>
      </c>
      <c r="X482" s="225" t="s">
        <v>1868</v>
      </c>
      <c r="Y482" s="225" t="s">
        <v>1868</v>
      </c>
      <c r="Z482" s="225" t="s">
        <v>1868</v>
      </c>
    </row>
    <row r="483" spans="1:26" x14ac:dyDescent="0.35">
      <c r="A483" s="203" t="s">
        <v>1601</v>
      </c>
      <c r="B483" s="203" t="s">
        <v>1149</v>
      </c>
      <c r="C483" s="203" t="s">
        <v>1881</v>
      </c>
      <c r="D483" s="243">
        <v>52141501</v>
      </c>
      <c r="E483" s="216" t="s">
        <v>1720</v>
      </c>
      <c r="F483" s="228" t="s">
        <v>1886</v>
      </c>
      <c r="G483" s="188" t="s">
        <v>69</v>
      </c>
      <c r="H483" s="205" t="s">
        <v>70</v>
      </c>
      <c r="I483" s="217">
        <v>1</v>
      </c>
      <c r="J483" s="187" t="s">
        <v>940</v>
      </c>
      <c r="K483" s="218">
        <v>1680672</v>
      </c>
      <c r="L483" s="219">
        <v>0.19</v>
      </c>
      <c r="M483" s="218">
        <v>319327.68</v>
      </c>
      <c r="N483" s="218">
        <v>1999999.68</v>
      </c>
      <c r="O483" s="203" t="s">
        <v>791</v>
      </c>
      <c r="P483" s="203" t="s">
        <v>89</v>
      </c>
      <c r="Q483" s="220">
        <v>1999999.68</v>
      </c>
      <c r="R483" s="220">
        <v>0</v>
      </c>
      <c r="S483" s="220">
        <v>0</v>
      </c>
      <c r="T483" s="220">
        <v>0</v>
      </c>
      <c r="U483" s="203" t="s">
        <v>1882</v>
      </c>
      <c r="V483" s="204"/>
      <c r="W483" s="207">
        <v>1680672</v>
      </c>
      <c r="X483" s="225" t="s">
        <v>1739</v>
      </c>
      <c r="Y483" s="225" t="s">
        <v>1739</v>
      </c>
      <c r="Z483" s="225"/>
    </row>
    <row r="484" spans="1:26" x14ac:dyDescent="0.35">
      <c r="A484" s="203" t="s">
        <v>1601</v>
      </c>
      <c r="B484" s="203" t="s">
        <v>1149</v>
      </c>
      <c r="C484" s="203" t="s">
        <v>1881</v>
      </c>
      <c r="D484" s="243">
        <v>52161505</v>
      </c>
      <c r="E484" s="216" t="s">
        <v>1698</v>
      </c>
      <c r="F484" s="228" t="s">
        <v>1887</v>
      </c>
      <c r="G484" s="188" t="s">
        <v>69</v>
      </c>
      <c r="H484" s="205" t="s">
        <v>70</v>
      </c>
      <c r="I484" s="217">
        <v>1</v>
      </c>
      <c r="J484" s="187" t="s">
        <v>940</v>
      </c>
      <c r="K484" s="218">
        <v>3000000</v>
      </c>
      <c r="L484" s="219">
        <v>0.19</v>
      </c>
      <c r="M484" s="218">
        <v>570000</v>
      </c>
      <c r="N484" s="218">
        <v>3570000</v>
      </c>
      <c r="O484" s="203" t="s">
        <v>791</v>
      </c>
      <c r="P484" s="203" t="s">
        <v>89</v>
      </c>
      <c r="Q484" s="220">
        <v>3570000</v>
      </c>
      <c r="R484" s="220">
        <v>0</v>
      </c>
      <c r="S484" s="220">
        <v>0</v>
      </c>
      <c r="T484" s="220">
        <v>0</v>
      </c>
      <c r="U484" s="203" t="s">
        <v>1882</v>
      </c>
      <c r="V484" s="204"/>
      <c r="W484" s="207">
        <v>3000000</v>
      </c>
      <c r="X484" s="225" t="s">
        <v>1739</v>
      </c>
      <c r="Y484" s="225" t="s">
        <v>1739</v>
      </c>
      <c r="Z484" s="225"/>
    </row>
    <row r="485" spans="1:26" ht="29" x14ac:dyDescent="0.35">
      <c r="A485" s="203" t="s">
        <v>1601</v>
      </c>
      <c r="B485" s="203" t="s">
        <v>1149</v>
      </c>
      <c r="C485" s="203" t="s">
        <v>1881</v>
      </c>
      <c r="D485" s="243">
        <v>78181703</v>
      </c>
      <c r="E485" s="216" t="s">
        <v>1766</v>
      </c>
      <c r="F485" s="228" t="s">
        <v>1888</v>
      </c>
      <c r="G485" s="188" t="s">
        <v>68</v>
      </c>
      <c r="H485" s="205" t="s">
        <v>78</v>
      </c>
      <c r="I485" s="217">
        <v>10</v>
      </c>
      <c r="J485" s="187" t="s">
        <v>940</v>
      </c>
      <c r="K485" s="218">
        <v>5520000</v>
      </c>
      <c r="L485" s="219">
        <v>0.19</v>
      </c>
      <c r="M485" s="218">
        <v>1048800</v>
      </c>
      <c r="N485" s="218">
        <v>6568800</v>
      </c>
      <c r="O485" s="203" t="s">
        <v>791</v>
      </c>
      <c r="P485" s="203" t="s">
        <v>89</v>
      </c>
      <c r="Q485" s="220">
        <v>6568800</v>
      </c>
      <c r="R485" s="220">
        <v>0</v>
      </c>
      <c r="S485" s="220">
        <v>0</v>
      </c>
      <c r="T485" s="220">
        <v>0</v>
      </c>
      <c r="U485" s="203" t="s">
        <v>1882</v>
      </c>
      <c r="V485" s="204"/>
      <c r="W485" s="207">
        <v>5520000</v>
      </c>
      <c r="X485" s="225" t="s">
        <v>935</v>
      </c>
      <c r="Y485" s="225" t="s">
        <v>1889</v>
      </c>
      <c r="Z485" s="225" t="s">
        <v>1889</v>
      </c>
    </row>
    <row r="486" spans="1:26" ht="58" x14ac:dyDescent="0.35">
      <c r="A486" s="203" t="s">
        <v>1601</v>
      </c>
      <c r="B486" s="203" t="s">
        <v>1149</v>
      </c>
      <c r="C486" s="203" t="s">
        <v>1890</v>
      </c>
      <c r="D486" s="243">
        <v>80141902</v>
      </c>
      <c r="E486" s="216" t="s">
        <v>1603</v>
      </c>
      <c r="F486" s="228" t="s">
        <v>1604</v>
      </c>
      <c r="G486" s="188" t="s">
        <v>69</v>
      </c>
      <c r="H486" s="205" t="s">
        <v>69</v>
      </c>
      <c r="I486" s="217">
        <v>1</v>
      </c>
      <c r="J486" s="187" t="s">
        <v>940</v>
      </c>
      <c r="K486" s="218">
        <v>4000000</v>
      </c>
      <c r="L486" s="219">
        <v>0.19</v>
      </c>
      <c r="M486" s="218">
        <v>760000</v>
      </c>
      <c r="N486" s="218">
        <v>4760000</v>
      </c>
      <c r="O486" s="203" t="s">
        <v>791</v>
      </c>
      <c r="P486" s="203" t="s">
        <v>89</v>
      </c>
      <c r="Q486" s="220">
        <v>4760000</v>
      </c>
      <c r="R486" s="220">
        <v>0</v>
      </c>
      <c r="S486" s="220">
        <v>0</v>
      </c>
      <c r="T486" s="220">
        <v>0</v>
      </c>
      <c r="U486" s="203" t="s">
        <v>1891</v>
      </c>
      <c r="V486" s="204"/>
      <c r="W486" s="207"/>
      <c r="X486" s="225" t="s">
        <v>1228</v>
      </c>
      <c r="Y486" s="225" t="s">
        <v>1234</v>
      </c>
      <c r="Z486" s="225" t="s">
        <v>1235</v>
      </c>
    </row>
    <row r="487" spans="1:26" ht="58" x14ac:dyDescent="0.35">
      <c r="A487" s="203" t="s">
        <v>1601</v>
      </c>
      <c r="B487" s="203" t="s">
        <v>1149</v>
      </c>
      <c r="C487" s="203" t="s">
        <v>1890</v>
      </c>
      <c r="D487" s="243">
        <v>80141902</v>
      </c>
      <c r="E487" s="216" t="s">
        <v>1603</v>
      </c>
      <c r="F487" s="228" t="s">
        <v>1606</v>
      </c>
      <c r="G487" s="188" t="s">
        <v>77</v>
      </c>
      <c r="H487" s="205" t="s">
        <v>77</v>
      </c>
      <c r="I487" s="217">
        <v>1</v>
      </c>
      <c r="J487" s="187" t="s">
        <v>940</v>
      </c>
      <c r="K487" s="218">
        <v>4000000</v>
      </c>
      <c r="L487" s="219">
        <v>0.19</v>
      </c>
      <c r="M487" s="218">
        <v>760000</v>
      </c>
      <c r="N487" s="218">
        <v>4760000</v>
      </c>
      <c r="O487" s="203" t="s">
        <v>791</v>
      </c>
      <c r="P487" s="203" t="s">
        <v>89</v>
      </c>
      <c r="Q487" s="220">
        <v>4760000</v>
      </c>
      <c r="R487" s="220">
        <v>0</v>
      </c>
      <c r="S487" s="220">
        <v>0</v>
      </c>
      <c r="T487" s="220">
        <v>0</v>
      </c>
      <c r="U487" s="203" t="s">
        <v>1891</v>
      </c>
      <c r="V487" s="204"/>
      <c r="W487" s="207"/>
      <c r="X487" s="225" t="s">
        <v>1228</v>
      </c>
      <c r="Y487" s="225" t="s">
        <v>1229</v>
      </c>
      <c r="Z487" s="225" t="s">
        <v>1230</v>
      </c>
    </row>
    <row r="488" spans="1:26" ht="43.5" x14ac:dyDescent="0.35">
      <c r="A488" s="203" t="s">
        <v>1601</v>
      </c>
      <c r="B488" s="203" t="s">
        <v>1149</v>
      </c>
      <c r="C488" s="203" t="s">
        <v>1890</v>
      </c>
      <c r="D488" s="243">
        <v>80141902</v>
      </c>
      <c r="E488" s="216" t="s">
        <v>1603</v>
      </c>
      <c r="F488" s="228" t="s">
        <v>772</v>
      </c>
      <c r="G488" s="188" t="s">
        <v>77</v>
      </c>
      <c r="H488" s="205" t="s">
        <v>78</v>
      </c>
      <c r="I488" s="217">
        <v>1</v>
      </c>
      <c r="J488" s="187" t="s">
        <v>1186</v>
      </c>
      <c r="K488" s="218">
        <v>3000000</v>
      </c>
      <c r="L488" s="219">
        <v>0.19</v>
      </c>
      <c r="M488" s="218">
        <v>570000</v>
      </c>
      <c r="N488" s="218">
        <v>3570000</v>
      </c>
      <c r="O488" s="203" t="s">
        <v>791</v>
      </c>
      <c r="P488" s="203" t="s">
        <v>89</v>
      </c>
      <c r="Q488" s="220">
        <v>3570000</v>
      </c>
      <c r="R488" s="220">
        <v>0</v>
      </c>
      <c r="S488" s="220">
        <v>0</v>
      </c>
      <c r="T488" s="220">
        <v>0</v>
      </c>
      <c r="U488" s="203" t="s">
        <v>1891</v>
      </c>
      <c r="V488" s="204"/>
      <c r="W488" s="207"/>
      <c r="X488" s="225" t="s">
        <v>1609</v>
      </c>
      <c r="Y488" s="225" t="s">
        <v>1609</v>
      </c>
      <c r="Z488" s="225" t="s">
        <v>971</v>
      </c>
    </row>
    <row r="489" spans="1:26" ht="43.5" x14ac:dyDescent="0.35">
      <c r="A489" s="203" t="s">
        <v>1601</v>
      </c>
      <c r="B489" s="203" t="s">
        <v>1149</v>
      </c>
      <c r="C489" s="203" t="s">
        <v>1890</v>
      </c>
      <c r="D489" s="243">
        <v>80141902</v>
      </c>
      <c r="E489" s="216" t="s">
        <v>1603</v>
      </c>
      <c r="F489" s="228" t="s">
        <v>1607</v>
      </c>
      <c r="G489" s="188" t="s">
        <v>72</v>
      </c>
      <c r="H489" s="205" t="s">
        <v>73</v>
      </c>
      <c r="I489" s="217">
        <v>1</v>
      </c>
      <c r="J489" s="187" t="s">
        <v>1186</v>
      </c>
      <c r="K489" s="218">
        <v>3000000</v>
      </c>
      <c r="L489" s="219">
        <v>0.19</v>
      </c>
      <c r="M489" s="218">
        <v>570000</v>
      </c>
      <c r="N489" s="218">
        <v>3570000</v>
      </c>
      <c r="O489" s="203" t="s">
        <v>791</v>
      </c>
      <c r="P489" s="203" t="s">
        <v>89</v>
      </c>
      <c r="Q489" s="220">
        <v>3570000</v>
      </c>
      <c r="R489" s="220">
        <v>0</v>
      </c>
      <c r="S489" s="220">
        <v>0</v>
      </c>
      <c r="T489" s="220">
        <v>0</v>
      </c>
      <c r="U489" s="203" t="s">
        <v>1891</v>
      </c>
      <c r="V489" s="204"/>
      <c r="W489" s="207"/>
      <c r="X489" s="225" t="s">
        <v>1609</v>
      </c>
      <c r="Y489" s="225" t="s">
        <v>1609</v>
      </c>
      <c r="Z489" s="225" t="s">
        <v>971</v>
      </c>
    </row>
    <row r="490" spans="1:26" ht="58" x14ac:dyDescent="0.35">
      <c r="A490" s="203" t="s">
        <v>1601</v>
      </c>
      <c r="B490" s="203" t="s">
        <v>1149</v>
      </c>
      <c r="C490" s="203" t="s">
        <v>1890</v>
      </c>
      <c r="D490" s="243">
        <v>72101511</v>
      </c>
      <c r="E490" s="216" t="s">
        <v>1007</v>
      </c>
      <c r="F490" s="228" t="s">
        <v>1892</v>
      </c>
      <c r="G490" s="188" t="s">
        <v>68</v>
      </c>
      <c r="H490" s="205" t="s">
        <v>69</v>
      </c>
      <c r="I490" s="217">
        <v>10</v>
      </c>
      <c r="J490" s="187" t="s">
        <v>940</v>
      </c>
      <c r="K490" s="218">
        <v>2500000</v>
      </c>
      <c r="L490" s="219">
        <v>0.19</v>
      </c>
      <c r="M490" s="218">
        <v>475000</v>
      </c>
      <c r="N490" s="218">
        <v>2975000</v>
      </c>
      <c r="O490" s="203" t="s">
        <v>791</v>
      </c>
      <c r="P490" s="203" t="s">
        <v>89</v>
      </c>
      <c r="Q490" s="220">
        <v>2975000</v>
      </c>
      <c r="R490" s="220">
        <v>0</v>
      </c>
      <c r="S490" s="220">
        <v>0</v>
      </c>
      <c r="T490" s="220">
        <v>0</v>
      </c>
      <c r="U490" s="203" t="s">
        <v>1891</v>
      </c>
      <c r="V490" s="204"/>
      <c r="W490" s="207">
        <v>2500000</v>
      </c>
      <c r="X490" s="225" t="s">
        <v>1710</v>
      </c>
      <c r="Y490" s="225" t="s">
        <v>1636</v>
      </c>
      <c r="Z490" s="225" t="s">
        <v>1893</v>
      </c>
    </row>
    <row r="491" spans="1:26" ht="29" x14ac:dyDescent="0.35">
      <c r="A491" s="203" t="s">
        <v>1601</v>
      </c>
      <c r="B491" s="203" t="s">
        <v>1149</v>
      </c>
      <c r="C491" s="203" t="s">
        <v>1890</v>
      </c>
      <c r="D491" s="243">
        <v>80141800</v>
      </c>
      <c r="E491" s="216" t="s">
        <v>1894</v>
      </c>
      <c r="F491" s="228" t="s">
        <v>1895</v>
      </c>
      <c r="G491" s="188" t="s">
        <v>68</v>
      </c>
      <c r="H491" s="205" t="s">
        <v>68</v>
      </c>
      <c r="I491" s="217">
        <v>12</v>
      </c>
      <c r="J491" s="187" t="s">
        <v>940</v>
      </c>
      <c r="K491" s="218">
        <v>4000000</v>
      </c>
      <c r="L491" s="219">
        <v>0.19</v>
      </c>
      <c r="M491" s="218">
        <v>760000</v>
      </c>
      <c r="N491" s="218">
        <v>4760000</v>
      </c>
      <c r="O491" s="203" t="s">
        <v>791</v>
      </c>
      <c r="P491" s="203" t="s">
        <v>89</v>
      </c>
      <c r="Q491" s="220">
        <v>4760000</v>
      </c>
      <c r="R491" s="220">
        <v>0</v>
      </c>
      <c r="S491" s="220">
        <v>0</v>
      </c>
      <c r="T491" s="220">
        <v>0</v>
      </c>
      <c r="U491" s="203" t="s">
        <v>1891</v>
      </c>
      <c r="V491" s="204"/>
      <c r="W491" s="207">
        <v>4000000</v>
      </c>
      <c r="X491" s="225" t="s">
        <v>1896</v>
      </c>
      <c r="Y491" s="225" t="s">
        <v>1896</v>
      </c>
      <c r="Z491" s="225" t="s">
        <v>1897</v>
      </c>
    </row>
    <row r="492" spans="1:26" ht="58" x14ac:dyDescent="0.35">
      <c r="A492" s="203" t="s">
        <v>1601</v>
      </c>
      <c r="B492" s="203" t="s">
        <v>1149</v>
      </c>
      <c r="C492" s="203" t="s">
        <v>1890</v>
      </c>
      <c r="D492" s="243">
        <v>81111803</v>
      </c>
      <c r="E492" s="216" t="s">
        <v>1898</v>
      </c>
      <c r="F492" s="228" t="s">
        <v>1899</v>
      </c>
      <c r="G492" s="188" t="s">
        <v>68</v>
      </c>
      <c r="H492" s="205" t="s">
        <v>69</v>
      </c>
      <c r="I492" s="217">
        <v>1</v>
      </c>
      <c r="J492" s="187" t="s">
        <v>1186</v>
      </c>
      <c r="K492" s="218">
        <v>1000000</v>
      </c>
      <c r="L492" s="219">
        <v>0.19</v>
      </c>
      <c r="M492" s="218">
        <v>190000</v>
      </c>
      <c r="N492" s="218">
        <v>1190000</v>
      </c>
      <c r="O492" s="203" t="s">
        <v>791</v>
      </c>
      <c r="P492" s="203" t="s">
        <v>89</v>
      </c>
      <c r="Q492" s="220">
        <v>1190000</v>
      </c>
      <c r="R492" s="220">
        <v>0</v>
      </c>
      <c r="S492" s="220">
        <v>0</v>
      </c>
      <c r="T492" s="220">
        <v>0</v>
      </c>
      <c r="U492" s="203" t="s">
        <v>1891</v>
      </c>
      <c r="V492" s="204"/>
      <c r="W492" s="207">
        <v>1000000</v>
      </c>
      <c r="X492" s="225" t="s">
        <v>1710</v>
      </c>
      <c r="Y492" s="225" t="s">
        <v>1636</v>
      </c>
      <c r="Z492" s="225" t="s">
        <v>1900</v>
      </c>
    </row>
    <row r="493" spans="1:26" ht="58" x14ac:dyDescent="0.35">
      <c r="A493" s="203" t="s">
        <v>1601</v>
      </c>
      <c r="B493" s="203" t="s">
        <v>1149</v>
      </c>
      <c r="C493" s="203" t="s">
        <v>1890</v>
      </c>
      <c r="D493" s="243">
        <v>80131500</v>
      </c>
      <c r="E493" s="216" t="s">
        <v>1901</v>
      </c>
      <c r="F493" s="228" t="s">
        <v>1902</v>
      </c>
      <c r="G493" s="188" t="s">
        <v>69</v>
      </c>
      <c r="H493" s="205" t="s">
        <v>70</v>
      </c>
      <c r="I493" s="217">
        <v>2</v>
      </c>
      <c r="J493" s="187" t="s">
        <v>940</v>
      </c>
      <c r="K493" s="218">
        <v>310000000</v>
      </c>
      <c r="L493" s="219">
        <v>0.19</v>
      </c>
      <c r="M493" s="218">
        <v>58900000</v>
      </c>
      <c r="N493" s="218">
        <v>368900000</v>
      </c>
      <c r="O493" s="203" t="s">
        <v>794</v>
      </c>
      <c r="P493" s="203" t="s">
        <v>932</v>
      </c>
      <c r="Q493" s="220">
        <v>368900000</v>
      </c>
      <c r="R493" s="220">
        <v>387345000</v>
      </c>
      <c r="S493" s="220">
        <v>0</v>
      </c>
      <c r="T493" s="220">
        <v>0</v>
      </c>
      <c r="U493" s="203" t="s">
        <v>1891</v>
      </c>
      <c r="V493" s="204" t="s">
        <v>1903</v>
      </c>
      <c r="W493" s="207">
        <v>264000000</v>
      </c>
      <c r="X493" s="225" t="s">
        <v>1687</v>
      </c>
      <c r="Y493" s="225" t="s">
        <v>1687</v>
      </c>
      <c r="Z493" s="225" t="s">
        <v>1904</v>
      </c>
    </row>
    <row r="494" spans="1:26" ht="43.5" x14ac:dyDescent="0.35">
      <c r="A494" s="203" t="s">
        <v>1601</v>
      </c>
      <c r="B494" s="203" t="s">
        <v>1149</v>
      </c>
      <c r="C494" s="203" t="s">
        <v>1890</v>
      </c>
      <c r="D494" s="243">
        <v>78181703</v>
      </c>
      <c r="E494" s="216" t="s">
        <v>1766</v>
      </c>
      <c r="F494" s="228" t="s">
        <v>1905</v>
      </c>
      <c r="G494" s="188" t="s">
        <v>68</v>
      </c>
      <c r="H494" s="205" t="s">
        <v>69</v>
      </c>
      <c r="I494" s="217">
        <v>4</v>
      </c>
      <c r="J494" s="187" t="s">
        <v>940</v>
      </c>
      <c r="K494" s="218">
        <v>10900000</v>
      </c>
      <c r="L494" s="219">
        <v>0.19</v>
      </c>
      <c r="M494" s="218">
        <v>2071000</v>
      </c>
      <c r="N494" s="218">
        <v>12971000</v>
      </c>
      <c r="O494" s="203" t="s">
        <v>791</v>
      </c>
      <c r="P494" s="203" t="s">
        <v>89</v>
      </c>
      <c r="Q494" s="218">
        <v>12971000</v>
      </c>
      <c r="R494" s="220">
        <v>0</v>
      </c>
      <c r="S494" s="220">
        <v>0</v>
      </c>
      <c r="T494" s="220">
        <v>0</v>
      </c>
      <c r="U494" s="203" t="s">
        <v>1891</v>
      </c>
      <c r="V494" s="204"/>
      <c r="W494" s="207"/>
      <c r="X494" s="225" t="s">
        <v>1609</v>
      </c>
      <c r="Y494" s="225" t="s">
        <v>1609</v>
      </c>
      <c r="Z494" s="225" t="s">
        <v>971</v>
      </c>
    </row>
    <row r="495" spans="1:26" ht="43.5" x14ac:dyDescent="0.35">
      <c r="A495" s="203" t="s">
        <v>1601</v>
      </c>
      <c r="B495" s="203" t="s">
        <v>1149</v>
      </c>
      <c r="C495" s="203" t="s">
        <v>1890</v>
      </c>
      <c r="D495" s="243">
        <v>72154028</v>
      </c>
      <c r="E495" s="216" t="s">
        <v>1906</v>
      </c>
      <c r="F495" s="228" t="s">
        <v>1620</v>
      </c>
      <c r="G495" s="188" t="s">
        <v>72</v>
      </c>
      <c r="H495" s="205" t="s">
        <v>73</v>
      </c>
      <c r="I495" s="217">
        <v>1</v>
      </c>
      <c r="J495" s="187" t="s">
        <v>940</v>
      </c>
      <c r="K495" s="218">
        <v>7000000</v>
      </c>
      <c r="L495" s="219">
        <v>0.19</v>
      </c>
      <c r="M495" s="218">
        <v>1330000</v>
      </c>
      <c r="N495" s="218">
        <v>8330000</v>
      </c>
      <c r="O495" s="203" t="s">
        <v>791</v>
      </c>
      <c r="P495" s="203" t="s">
        <v>89</v>
      </c>
      <c r="Q495" s="220">
        <v>8330000</v>
      </c>
      <c r="R495" s="220">
        <v>0</v>
      </c>
      <c r="S495" s="220">
        <v>0</v>
      </c>
      <c r="T495" s="220">
        <v>0</v>
      </c>
      <c r="U495" s="203" t="s">
        <v>1891</v>
      </c>
      <c r="V495" s="204"/>
      <c r="W495" s="207">
        <v>7000000</v>
      </c>
      <c r="X495" s="225" t="s">
        <v>1618</v>
      </c>
      <c r="Y495" s="225" t="s">
        <v>1618</v>
      </c>
      <c r="Z495" s="225" t="s">
        <v>1619</v>
      </c>
    </row>
    <row r="496" spans="1:26" ht="58" x14ac:dyDescent="0.35">
      <c r="A496" s="203" t="s">
        <v>1601</v>
      </c>
      <c r="B496" s="203" t="s">
        <v>1149</v>
      </c>
      <c r="C496" s="203" t="s">
        <v>1890</v>
      </c>
      <c r="D496" s="243">
        <v>56112103</v>
      </c>
      <c r="E496" s="216" t="s">
        <v>1907</v>
      </c>
      <c r="F496" s="228" t="s">
        <v>1907</v>
      </c>
      <c r="G496" s="188" t="s">
        <v>70</v>
      </c>
      <c r="H496" s="205" t="s">
        <v>71</v>
      </c>
      <c r="I496" s="217">
        <v>4</v>
      </c>
      <c r="J496" s="187" t="s">
        <v>940</v>
      </c>
      <c r="K496" s="218">
        <v>8400000</v>
      </c>
      <c r="L496" s="219">
        <v>0.19</v>
      </c>
      <c r="M496" s="218">
        <v>1596000</v>
      </c>
      <c r="N496" s="218">
        <v>9996000</v>
      </c>
      <c r="O496" s="203" t="s">
        <v>791</v>
      </c>
      <c r="P496" s="203" t="s">
        <v>89</v>
      </c>
      <c r="Q496" s="220">
        <v>9996000</v>
      </c>
      <c r="R496" s="220">
        <v>0</v>
      </c>
      <c r="S496" s="220">
        <v>0</v>
      </c>
      <c r="T496" s="220">
        <v>0</v>
      </c>
      <c r="U496" s="203" t="s">
        <v>1891</v>
      </c>
      <c r="V496" s="204"/>
      <c r="W496" s="207">
        <v>9996000</v>
      </c>
      <c r="X496" s="225" t="s">
        <v>1070</v>
      </c>
      <c r="Y496" s="225" t="s">
        <v>1071</v>
      </c>
      <c r="Z496" s="225" t="s">
        <v>1612</v>
      </c>
    </row>
    <row r="497" spans="1:26" ht="58" x14ac:dyDescent="0.35">
      <c r="A497" s="203" t="s">
        <v>1601</v>
      </c>
      <c r="B497" s="203" t="s">
        <v>1149</v>
      </c>
      <c r="C497" s="203" t="s">
        <v>1890</v>
      </c>
      <c r="D497" s="243">
        <v>56101703</v>
      </c>
      <c r="E497" s="216" t="s">
        <v>1908</v>
      </c>
      <c r="F497" s="228" t="s">
        <v>1909</v>
      </c>
      <c r="G497" s="188" t="s">
        <v>70</v>
      </c>
      <c r="H497" s="205" t="s">
        <v>71</v>
      </c>
      <c r="I497" s="217">
        <v>4</v>
      </c>
      <c r="J497" s="187" t="s">
        <v>940</v>
      </c>
      <c r="K497" s="218">
        <v>50000000</v>
      </c>
      <c r="L497" s="219">
        <v>0.19</v>
      </c>
      <c r="M497" s="218">
        <v>9500000</v>
      </c>
      <c r="N497" s="218">
        <v>59500000</v>
      </c>
      <c r="O497" s="203" t="s">
        <v>791</v>
      </c>
      <c r="P497" s="203" t="s">
        <v>89</v>
      </c>
      <c r="Q497" s="220">
        <v>59500000</v>
      </c>
      <c r="R497" s="220">
        <v>0</v>
      </c>
      <c r="S497" s="220">
        <v>0</v>
      </c>
      <c r="T497" s="220">
        <v>0</v>
      </c>
      <c r="U497" s="203" t="s">
        <v>1891</v>
      </c>
      <c r="V497" s="204"/>
      <c r="W497" s="207">
        <v>59500000</v>
      </c>
      <c r="X497" s="225" t="s">
        <v>1070</v>
      </c>
      <c r="Y497" s="225" t="s">
        <v>1071</v>
      </c>
      <c r="Z497" s="225" t="s">
        <v>1612</v>
      </c>
    </row>
    <row r="498" spans="1:26" ht="58" x14ac:dyDescent="0.35">
      <c r="A498" s="203" t="s">
        <v>1601</v>
      </c>
      <c r="B498" s="203" t="s">
        <v>1149</v>
      </c>
      <c r="C498" s="203" t="s">
        <v>1890</v>
      </c>
      <c r="D498" s="243">
        <v>81161711</v>
      </c>
      <c r="E498" s="216" t="s">
        <v>1910</v>
      </c>
      <c r="F498" s="228" t="s">
        <v>1911</v>
      </c>
      <c r="G498" s="188" t="s">
        <v>70</v>
      </c>
      <c r="H498" s="205" t="s">
        <v>71</v>
      </c>
      <c r="I498" s="217">
        <v>4</v>
      </c>
      <c r="J498" s="187" t="s">
        <v>940</v>
      </c>
      <c r="K498" s="218">
        <v>5000000</v>
      </c>
      <c r="L498" s="219">
        <v>0.19</v>
      </c>
      <c r="M498" s="218">
        <v>950000</v>
      </c>
      <c r="N498" s="218">
        <v>5950000</v>
      </c>
      <c r="O498" s="203" t="s">
        <v>791</v>
      </c>
      <c r="P498" s="203" t="s">
        <v>89</v>
      </c>
      <c r="Q498" s="220">
        <v>5950000</v>
      </c>
      <c r="R498" s="220">
        <v>0</v>
      </c>
      <c r="S498" s="220">
        <v>0</v>
      </c>
      <c r="T498" s="220">
        <v>0</v>
      </c>
      <c r="U498" s="203" t="s">
        <v>1891</v>
      </c>
      <c r="V498" s="204"/>
      <c r="W498" s="207">
        <v>5950000</v>
      </c>
      <c r="X498" s="225" t="s">
        <v>1070</v>
      </c>
      <c r="Y498" s="225" t="s">
        <v>1071</v>
      </c>
      <c r="Z498" s="225" t="s">
        <v>1612</v>
      </c>
    </row>
    <row r="499" spans="1:26" ht="58" x14ac:dyDescent="0.35">
      <c r="A499" s="203" t="s">
        <v>1601</v>
      </c>
      <c r="B499" s="203" t="s">
        <v>1149</v>
      </c>
      <c r="C499" s="203" t="s">
        <v>1890</v>
      </c>
      <c r="D499" s="243">
        <v>56101706</v>
      </c>
      <c r="E499" s="216" t="s">
        <v>1912</v>
      </c>
      <c r="F499" s="228" t="s">
        <v>1913</v>
      </c>
      <c r="G499" s="188" t="s">
        <v>70</v>
      </c>
      <c r="H499" s="205" t="s">
        <v>71</v>
      </c>
      <c r="I499" s="217">
        <v>4</v>
      </c>
      <c r="J499" s="187" t="s">
        <v>940</v>
      </c>
      <c r="K499" s="218">
        <v>8000000</v>
      </c>
      <c r="L499" s="219">
        <v>0.19</v>
      </c>
      <c r="M499" s="218">
        <v>1520000</v>
      </c>
      <c r="N499" s="218">
        <v>9520000</v>
      </c>
      <c r="O499" s="203" t="s">
        <v>791</v>
      </c>
      <c r="P499" s="203" t="s">
        <v>89</v>
      </c>
      <c r="Q499" s="220">
        <v>9520000</v>
      </c>
      <c r="R499" s="220">
        <v>0</v>
      </c>
      <c r="S499" s="220">
        <v>0</v>
      </c>
      <c r="T499" s="220">
        <v>0</v>
      </c>
      <c r="U499" s="203" t="s">
        <v>1891</v>
      </c>
      <c r="V499" s="204"/>
      <c r="W499" s="207">
        <v>9520000</v>
      </c>
      <c r="X499" s="225" t="s">
        <v>1070</v>
      </c>
      <c r="Y499" s="225" t="s">
        <v>1071</v>
      </c>
      <c r="Z499" s="225" t="s">
        <v>1612</v>
      </c>
    </row>
    <row r="500" spans="1:26" ht="58" x14ac:dyDescent="0.35">
      <c r="A500" s="203" t="s">
        <v>1601</v>
      </c>
      <c r="B500" s="203" t="s">
        <v>1149</v>
      </c>
      <c r="C500" s="203" t="s">
        <v>1890</v>
      </c>
      <c r="D500" s="243">
        <v>56101706</v>
      </c>
      <c r="E500" s="216" t="s">
        <v>1912</v>
      </c>
      <c r="F500" s="228" t="s">
        <v>1914</v>
      </c>
      <c r="G500" s="188" t="s">
        <v>70</v>
      </c>
      <c r="H500" s="205" t="s">
        <v>71</v>
      </c>
      <c r="I500" s="217">
        <v>4</v>
      </c>
      <c r="J500" s="187" t="s">
        <v>940</v>
      </c>
      <c r="K500" s="218">
        <v>8000000</v>
      </c>
      <c r="L500" s="219">
        <v>0.19</v>
      </c>
      <c r="M500" s="218">
        <v>1520000</v>
      </c>
      <c r="N500" s="218">
        <v>9520000</v>
      </c>
      <c r="O500" s="203" t="s">
        <v>791</v>
      </c>
      <c r="P500" s="203" t="s">
        <v>89</v>
      </c>
      <c r="Q500" s="220">
        <v>9520000</v>
      </c>
      <c r="R500" s="220">
        <v>0</v>
      </c>
      <c r="S500" s="220">
        <v>0</v>
      </c>
      <c r="T500" s="220">
        <v>0</v>
      </c>
      <c r="U500" s="203" t="s">
        <v>1891</v>
      </c>
      <c r="V500" s="204"/>
      <c r="W500" s="207">
        <v>9520000</v>
      </c>
      <c r="X500" s="225" t="s">
        <v>1070</v>
      </c>
      <c r="Y500" s="225" t="s">
        <v>1071</v>
      </c>
      <c r="Z500" s="225" t="s">
        <v>1612</v>
      </c>
    </row>
    <row r="501" spans="1:26" ht="29" x14ac:dyDescent="0.35">
      <c r="A501" s="203" t="s">
        <v>1601</v>
      </c>
      <c r="B501" s="203" t="s">
        <v>1149</v>
      </c>
      <c r="C501" s="203" t="s">
        <v>1890</v>
      </c>
      <c r="D501" s="243">
        <v>72102900</v>
      </c>
      <c r="E501" s="216" t="s">
        <v>1717</v>
      </c>
      <c r="F501" s="228" t="s">
        <v>1915</v>
      </c>
      <c r="G501" s="188" t="s">
        <v>70</v>
      </c>
      <c r="H501" s="205" t="s">
        <v>71</v>
      </c>
      <c r="I501" s="217">
        <v>4</v>
      </c>
      <c r="J501" s="187" t="s">
        <v>940</v>
      </c>
      <c r="K501" s="218">
        <v>340000000</v>
      </c>
      <c r="L501" s="219">
        <v>0.19</v>
      </c>
      <c r="M501" s="218">
        <v>64600000</v>
      </c>
      <c r="N501" s="218">
        <v>404600000</v>
      </c>
      <c r="O501" s="203" t="s">
        <v>791</v>
      </c>
      <c r="P501" s="203" t="s">
        <v>89</v>
      </c>
      <c r="Q501" s="220">
        <v>404600000</v>
      </c>
      <c r="R501" s="220">
        <v>0</v>
      </c>
      <c r="S501" s="220">
        <v>0</v>
      </c>
      <c r="T501" s="220">
        <v>0</v>
      </c>
      <c r="U501" s="203" t="s">
        <v>1891</v>
      </c>
      <c r="V501" s="204"/>
      <c r="W501" s="207">
        <v>340000000</v>
      </c>
      <c r="X501" s="225" t="s">
        <v>1618</v>
      </c>
      <c r="Y501" s="225" t="s">
        <v>1618</v>
      </c>
      <c r="Z501" s="225" t="s">
        <v>1770</v>
      </c>
    </row>
    <row r="502" spans="1:26" ht="58" x14ac:dyDescent="0.35">
      <c r="A502" s="203" t="s">
        <v>1601</v>
      </c>
      <c r="B502" s="203" t="s">
        <v>1149</v>
      </c>
      <c r="C502" s="203" t="s">
        <v>1916</v>
      </c>
      <c r="D502" s="243">
        <v>80141902</v>
      </c>
      <c r="E502" s="216" t="s">
        <v>1603</v>
      </c>
      <c r="F502" s="228" t="s">
        <v>1604</v>
      </c>
      <c r="G502" s="188" t="s">
        <v>69</v>
      </c>
      <c r="H502" s="205" t="s">
        <v>69</v>
      </c>
      <c r="I502" s="217">
        <v>1</v>
      </c>
      <c r="J502" s="187" t="s">
        <v>940</v>
      </c>
      <c r="K502" s="218">
        <v>3700000</v>
      </c>
      <c r="L502" s="219">
        <v>0.19</v>
      </c>
      <c r="M502" s="218">
        <v>703000</v>
      </c>
      <c r="N502" s="218">
        <v>4403000</v>
      </c>
      <c r="O502" s="203" t="s">
        <v>791</v>
      </c>
      <c r="P502" s="203" t="s">
        <v>89</v>
      </c>
      <c r="Q502" s="220">
        <v>4403000</v>
      </c>
      <c r="R502" s="220">
        <v>0</v>
      </c>
      <c r="S502" s="220">
        <v>0</v>
      </c>
      <c r="T502" s="220">
        <v>0</v>
      </c>
      <c r="U502" s="203" t="s">
        <v>1917</v>
      </c>
      <c r="V502" s="204"/>
      <c r="W502" s="207">
        <v>3700000</v>
      </c>
      <c r="X502" s="225" t="s">
        <v>1228</v>
      </c>
      <c r="Y502" s="225" t="s">
        <v>1234</v>
      </c>
      <c r="Z502" s="225" t="s">
        <v>1235</v>
      </c>
    </row>
    <row r="503" spans="1:26" ht="58" x14ac:dyDescent="0.35">
      <c r="A503" s="203" t="s">
        <v>1601</v>
      </c>
      <c r="B503" s="203" t="s">
        <v>1149</v>
      </c>
      <c r="C503" s="203" t="s">
        <v>1916</v>
      </c>
      <c r="D503" s="243">
        <v>80141902</v>
      </c>
      <c r="E503" s="216" t="s">
        <v>1603</v>
      </c>
      <c r="F503" s="228" t="s">
        <v>1606</v>
      </c>
      <c r="G503" s="188" t="s">
        <v>77</v>
      </c>
      <c r="H503" s="205" t="s">
        <v>77</v>
      </c>
      <c r="I503" s="217">
        <v>1</v>
      </c>
      <c r="J503" s="187" t="s">
        <v>940</v>
      </c>
      <c r="K503" s="218">
        <v>3700000</v>
      </c>
      <c r="L503" s="219">
        <v>0.19</v>
      </c>
      <c r="M503" s="218">
        <v>703000</v>
      </c>
      <c r="N503" s="218">
        <v>4403000</v>
      </c>
      <c r="O503" s="203" t="s">
        <v>791</v>
      </c>
      <c r="P503" s="203" t="s">
        <v>89</v>
      </c>
      <c r="Q503" s="220">
        <v>4403000</v>
      </c>
      <c r="R503" s="220">
        <v>0</v>
      </c>
      <c r="S503" s="220">
        <v>0</v>
      </c>
      <c r="T503" s="220">
        <v>0</v>
      </c>
      <c r="U503" s="203" t="s">
        <v>1917</v>
      </c>
      <c r="V503" s="204"/>
      <c r="W503" s="207">
        <v>3700000</v>
      </c>
      <c r="X503" s="225" t="s">
        <v>1228</v>
      </c>
      <c r="Y503" s="225" t="s">
        <v>1229</v>
      </c>
      <c r="Z503" s="225" t="s">
        <v>1230</v>
      </c>
    </row>
    <row r="504" spans="1:26" ht="58" x14ac:dyDescent="0.35">
      <c r="A504" s="203" t="s">
        <v>1601</v>
      </c>
      <c r="B504" s="203" t="s">
        <v>1149</v>
      </c>
      <c r="C504" s="203" t="s">
        <v>1916</v>
      </c>
      <c r="D504" s="243">
        <v>80141902</v>
      </c>
      <c r="E504" s="216" t="s">
        <v>1603</v>
      </c>
      <c r="F504" s="228" t="s">
        <v>772</v>
      </c>
      <c r="G504" s="188" t="s">
        <v>77</v>
      </c>
      <c r="H504" s="205" t="s">
        <v>78</v>
      </c>
      <c r="I504" s="217">
        <v>1</v>
      </c>
      <c r="J504" s="187" t="s">
        <v>1186</v>
      </c>
      <c r="K504" s="218">
        <v>2800000</v>
      </c>
      <c r="L504" s="219">
        <v>0.19</v>
      </c>
      <c r="M504" s="218">
        <v>532000</v>
      </c>
      <c r="N504" s="218">
        <v>3332000</v>
      </c>
      <c r="O504" s="203" t="s">
        <v>791</v>
      </c>
      <c r="P504" s="203" t="s">
        <v>89</v>
      </c>
      <c r="Q504" s="220">
        <v>3332000</v>
      </c>
      <c r="R504" s="220">
        <v>0</v>
      </c>
      <c r="S504" s="220">
        <v>0</v>
      </c>
      <c r="T504" s="220">
        <v>0</v>
      </c>
      <c r="U504" s="203" t="s">
        <v>1917</v>
      </c>
      <c r="V504" s="204"/>
      <c r="W504" s="207">
        <v>2800000</v>
      </c>
      <c r="X504" s="225" t="s">
        <v>965</v>
      </c>
      <c r="Y504" s="225" t="s">
        <v>965</v>
      </c>
      <c r="Z504" s="225" t="s">
        <v>1918</v>
      </c>
    </row>
    <row r="505" spans="1:26" ht="58" x14ac:dyDescent="0.35">
      <c r="A505" s="203" t="s">
        <v>1601</v>
      </c>
      <c r="B505" s="203" t="s">
        <v>1149</v>
      </c>
      <c r="C505" s="203" t="s">
        <v>1916</v>
      </c>
      <c r="D505" s="243">
        <v>80141902</v>
      </c>
      <c r="E505" s="216" t="s">
        <v>1603</v>
      </c>
      <c r="F505" s="228" t="s">
        <v>1607</v>
      </c>
      <c r="G505" s="188" t="s">
        <v>72</v>
      </c>
      <c r="H505" s="205" t="s">
        <v>73</v>
      </c>
      <c r="I505" s="217">
        <v>1</v>
      </c>
      <c r="J505" s="187" t="s">
        <v>1186</v>
      </c>
      <c r="K505" s="218">
        <v>2800000</v>
      </c>
      <c r="L505" s="219">
        <v>0.19</v>
      </c>
      <c r="M505" s="218">
        <v>532000</v>
      </c>
      <c r="N505" s="218">
        <v>3332000</v>
      </c>
      <c r="O505" s="203" t="s">
        <v>791</v>
      </c>
      <c r="P505" s="203" t="s">
        <v>89</v>
      </c>
      <c r="Q505" s="220">
        <v>3332000</v>
      </c>
      <c r="R505" s="220">
        <v>0</v>
      </c>
      <c r="S505" s="220">
        <v>0</v>
      </c>
      <c r="T505" s="220">
        <v>0</v>
      </c>
      <c r="U505" s="203" t="s">
        <v>1917</v>
      </c>
      <c r="V505" s="204"/>
      <c r="W505" s="207">
        <v>2800000</v>
      </c>
      <c r="X505" s="225" t="s">
        <v>965</v>
      </c>
      <c r="Y505" s="225" t="s">
        <v>965</v>
      </c>
      <c r="Z505" s="225" t="s">
        <v>1918</v>
      </c>
    </row>
    <row r="506" spans="1:26" ht="29" x14ac:dyDescent="0.35">
      <c r="A506" s="203" t="s">
        <v>1601</v>
      </c>
      <c r="B506" s="203" t="s">
        <v>1149</v>
      </c>
      <c r="C506" s="203" t="s">
        <v>1916</v>
      </c>
      <c r="D506" s="243">
        <v>72102900</v>
      </c>
      <c r="E506" s="216" t="s">
        <v>1717</v>
      </c>
      <c r="F506" s="228" t="s">
        <v>1919</v>
      </c>
      <c r="G506" s="188" t="s">
        <v>72</v>
      </c>
      <c r="H506" s="205" t="s">
        <v>72</v>
      </c>
      <c r="I506" s="217">
        <v>2</v>
      </c>
      <c r="J506" s="187" t="s">
        <v>1186</v>
      </c>
      <c r="K506" s="218">
        <v>6500000</v>
      </c>
      <c r="L506" s="219">
        <v>0</v>
      </c>
      <c r="M506" s="218">
        <v>0</v>
      </c>
      <c r="N506" s="218">
        <v>6500000</v>
      </c>
      <c r="O506" s="203" t="s">
        <v>791</v>
      </c>
      <c r="P506" s="203" t="s">
        <v>89</v>
      </c>
      <c r="Q506" s="220">
        <v>6500000</v>
      </c>
      <c r="R506" s="220">
        <v>0</v>
      </c>
      <c r="S506" s="220">
        <v>0</v>
      </c>
      <c r="T506" s="220">
        <v>0</v>
      </c>
      <c r="U506" s="203" t="s">
        <v>1917</v>
      </c>
      <c r="V506" s="204"/>
      <c r="W506" s="207">
        <v>6500000</v>
      </c>
      <c r="X506" s="225" t="s">
        <v>1618</v>
      </c>
      <c r="Y506" s="225" t="s">
        <v>1618</v>
      </c>
      <c r="Z506" s="225" t="s">
        <v>1701</v>
      </c>
    </row>
    <row r="507" spans="1:26" ht="58" x14ac:dyDescent="0.35">
      <c r="A507" s="203" t="s">
        <v>1601</v>
      </c>
      <c r="B507" s="203" t="s">
        <v>1149</v>
      </c>
      <c r="C507" s="203" t="s">
        <v>1916</v>
      </c>
      <c r="D507" s="243">
        <v>56112104</v>
      </c>
      <c r="E507" s="216" t="s">
        <v>1920</v>
      </c>
      <c r="F507" s="228" t="s">
        <v>1921</v>
      </c>
      <c r="G507" s="188" t="s">
        <v>70</v>
      </c>
      <c r="H507" s="205" t="s">
        <v>71</v>
      </c>
      <c r="I507" s="217">
        <v>1</v>
      </c>
      <c r="J507" s="187" t="s">
        <v>1186</v>
      </c>
      <c r="K507" s="218">
        <v>2142000</v>
      </c>
      <c r="L507" s="219">
        <v>0.19</v>
      </c>
      <c r="M507" s="218">
        <v>406980</v>
      </c>
      <c r="N507" s="218">
        <v>2548980</v>
      </c>
      <c r="O507" s="203" t="s">
        <v>791</v>
      </c>
      <c r="P507" s="203" t="s">
        <v>89</v>
      </c>
      <c r="Q507" s="220">
        <v>2548980</v>
      </c>
      <c r="R507" s="220">
        <v>0</v>
      </c>
      <c r="S507" s="220">
        <v>0</v>
      </c>
      <c r="T507" s="220">
        <v>0</v>
      </c>
      <c r="U507" s="203" t="s">
        <v>1917</v>
      </c>
      <c r="V507" s="204"/>
      <c r="W507" s="207">
        <v>2142000</v>
      </c>
      <c r="X507" s="225" t="s">
        <v>1070</v>
      </c>
      <c r="Y507" s="225" t="s">
        <v>1071</v>
      </c>
      <c r="Z507" s="225" t="s">
        <v>1612</v>
      </c>
    </row>
    <row r="508" spans="1:26" ht="58" x14ac:dyDescent="0.35">
      <c r="A508" s="203" t="s">
        <v>1601</v>
      </c>
      <c r="B508" s="203" t="s">
        <v>1149</v>
      </c>
      <c r="C508" s="203" t="s">
        <v>1916</v>
      </c>
      <c r="D508" s="243">
        <v>72101511</v>
      </c>
      <c r="E508" s="216" t="s">
        <v>1007</v>
      </c>
      <c r="F508" s="228" t="s">
        <v>1922</v>
      </c>
      <c r="G508" s="188" t="s">
        <v>75</v>
      </c>
      <c r="H508" s="205" t="s">
        <v>75</v>
      </c>
      <c r="I508" s="217">
        <v>2</v>
      </c>
      <c r="J508" s="187" t="s">
        <v>940</v>
      </c>
      <c r="K508" s="218">
        <v>15000000</v>
      </c>
      <c r="L508" s="219">
        <v>0.19</v>
      </c>
      <c r="M508" s="218">
        <v>2850000</v>
      </c>
      <c r="N508" s="218">
        <v>17850000</v>
      </c>
      <c r="O508" s="203" t="s">
        <v>791</v>
      </c>
      <c r="P508" s="203" t="s">
        <v>89</v>
      </c>
      <c r="Q508" s="220">
        <v>17850000</v>
      </c>
      <c r="R508" s="220">
        <v>0</v>
      </c>
      <c r="S508" s="220">
        <v>0</v>
      </c>
      <c r="T508" s="220">
        <v>0</v>
      </c>
      <c r="U508" s="203" t="s">
        <v>1917</v>
      </c>
      <c r="V508" s="204"/>
      <c r="W508" s="207">
        <v>15000000</v>
      </c>
      <c r="X508" s="225" t="s">
        <v>1070</v>
      </c>
      <c r="Y508" s="225" t="s">
        <v>1071</v>
      </c>
      <c r="Z508" s="225" t="s">
        <v>1612</v>
      </c>
    </row>
    <row r="509" spans="1:26" ht="43.5" x14ac:dyDescent="0.35">
      <c r="A509" s="203" t="s">
        <v>1601</v>
      </c>
      <c r="B509" s="203" t="s">
        <v>1149</v>
      </c>
      <c r="C509" s="203" t="s">
        <v>1916</v>
      </c>
      <c r="D509" s="243">
        <v>72101511</v>
      </c>
      <c r="E509" s="216" t="s">
        <v>1007</v>
      </c>
      <c r="F509" s="228" t="s">
        <v>776</v>
      </c>
      <c r="G509" s="188" t="s">
        <v>68</v>
      </c>
      <c r="H509" s="205" t="s">
        <v>68</v>
      </c>
      <c r="I509" s="217">
        <v>11</v>
      </c>
      <c r="J509" s="187" t="s">
        <v>940</v>
      </c>
      <c r="K509" s="218">
        <v>9000000</v>
      </c>
      <c r="L509" s="219">
        <v>0</v>
      </c>
      <c r="M509" s="218">
        <v>0</v>
      </c>
      <c r="N509" s="218">
        <v>9000000</v>
      </c>
      <c r="O509" s="203" t="s">
        <v>791</v>
      </c>
      <c r="P509" s="203" t="s">
        <v>89</v>
      </c>
      <c r="Q509" s="220">
        <v>9000000</v>
      </c>
      <c r="R509" s="220">
        <v>0</v>
      </c>
      <c r="S509" s="220">
        <v>0</v>
      </c>
      <c r="T509" s="220">
        <v>0</v>
      </c>
      <c r="U509" s="203" t="s">
        <v>1917</v>
      </c>
      <c r="V509" s="204"/>
      <c r="W509" s="207">
        <v>9000000</v>
      </c>
      <c r="X509" s="225" t="s">
        <v>1005</v>
      </c>
      <c r="Y509" s="225" t="s">
        <v>1009</v>
      </c>
      <c r="Z509" s="225" t="s">
        <v>1009</v>
      </c>
    </row>
    <row r="510" spans="1:26" ht="43.5" x14ac:dyDescent="0.35">
      <c r="A510" s="203" t="s">
        <v>1601</v>
      </c>
      <c r="B510" s="203" t="s">
        <v>1149</v>
      </c>
      <c r="C510" s="203" t="s">
        <v>1916</v>
      </c>
      <c r="D510" s="243">
        <v>46191601</v>
      </c>
      <c r="E510" s="216" t="s">
        <v>1017</v>
      </c>
      <c r="F510" s="228" t="s">
        <v>1923</v>
      </c>
      <c r="G510" s="188" t="s">
        <v>75</v>
      </c>
      <c r="H510" s="205" t="s">
        <v>75</v>
      </c>
      <c r="I510" s="217">
        <v>1</v>
      </c>
      <c r="J510" s="187" t="s">
        <v>1186</v>
      </c>
      <c r="K510" s="218">
        <v>600000</v>
      </c>
      <c r="L510" s="219">
        <v>0</v>
      </c>
      <c r="M510" s="218">
        <v>0</v>
      </c>
      <c r="N510" s="218">
        <v>600000</v>
      </c>
      <c r="O510" s="203" t="s">
        <v>791</v>
      </c>
      <c r="P510" s="203" t="s">
        <v>89</v>
      </c>
      <c r="Q510" s="220">
        <v>600000</v>
      </c>
      <c r="R510" s="220">
        <v>0</v>
      </c>
      <c r="S510" s="220">
        <v>0</v>
      </c>
      <c r="T510" s="220">
        <v>0</v>
      </c>
      <c r="U510" s="203" t="s">
        <v>1917</v>
      </c>
      <c r="V510" s="204"/>
      <c r="W510" s="207">
        <v>600000</v>
      </c>
      <c r="X510" s="225" t="s">
        <v>1005</v>
      </c>
      <c r="Y510" s="225" t="s">
        <v>1018</v>
      </c>
      <c r="Z510" s="225" t="s">
        <v>1018</v>
      </c>
    </row>
    <row r="511" spans="1:26" ht="43.5" x14ac:dyDescent="0.35">
      <c r="A511" s="203" t="s">
        <v>1601</v>
      </c>
      <c r="B511" s="203" t="s">
        <v>1149</v>
      </c>
      <c r="C511" s="203" t="s">
        <v>1916</v>
      </c>
      <c r="D511" s="243">
        <v>40101502</v>
      </c>
      <c r="E511" s="216" t="s">
        <v>1924</v>
      </c>
      <c r="F511" s="228" t="s">
        <v>1925</v>
      </c>
      <c r="G511" s="188" t="s">
        <v>70</v>
      </c>
      <c r="H511" s="205" t="s">
        <v>70</v>
      </c>
      <c r="I511" s="217">
        <v>1</v>
      </c>
      <c r="J511" s="187" t="s">
        <v>1186</v>
      </c>
      <c r="K511" s="218">
        <v>2000000</v>
      </c>
      <c r="L511" s="219">
        <v>0</v>
      </c>
      <c r="M511" s="218">
        <v>0</v>
      </c>
      <c r="N511" s="218">
        <v>2000000</v>
      </c>
      <c r="O511" s="203" t="s">
        <v>791</v>
      </c>
      <c r="P511" s="203" t="s">
        <v>89</v>
      </c>
      <c r="Q511" s="220">
        <v>2000000</v>
      </c>
      <c r="R511" s="220">
        <v>0</v>
      </c>
      <c r="S511" s="220">
        <v>0</v>
      </c>
      <c r="T511" s="220">
        <v>0</v>
      </c>
      <c r="U511" s="203" t="s">
        <v>1917</v>
      </c>
      <c r="V511" s="204"/>
      <c r="W511" s="207">
        <v>2000000</v>
      </c>
      <c r="X511" s="225" t="s">
        <v>1005</v>
      </c>
      <c r="Y511" s="225" t="s">
        <v>1014</v>
      </c>
      <c r="Z511" s="225" t="s">
        <v>1014</v>
      </c>
    </row>
    <row r="512" spans="1:26" ht="29" x14ac:dyDescent="0.35">
      <c r="A512" s="203" t="s">
        <v>1601</v>
      </c>
      <c r="B512" s="203" t="s">
        <v>1149</v>
      </c>
      <c r="C512" s="203" t="s">
        <v>1916</v>
      </c>
      <c r="D512" s="243">
        <v>78181703</v>
      </c>
      <c r="E512" s="216" t="s">
        <v>1766</v>
      </c>
      <c r="F512" s="228" t="s">
        <v>1926</v>
      </c>
      <c r="G512" s="188" t="s">
        <v>69</v>
      </c>
      <c r="H512" s="205" t="s">
        <v>69</v>
      </c>
      <c r="I512" s="217">
        <v>10</v>
      </c>
      <c r="J512" s="187" t="s">
        <v>940</v>
      </c>
      <c r="K512" s="218">
        <v>9428571.4285714291</v>
      </c>
      <c r="L512" s="219">
        <v>0.19</v>
      </c>
      <c r="M512" s="218">
        <v>1791428.5714285716</v>
      </c>
      <c r="N512" s="218">
        <v>11220000</v>
      </c>
      <c r="O512" s="203" t="s">
        <v>791</v>
      </c>
      <c r="P512" s="203" t="s">
        <v>89</v>
      </c>
      <c r="Q512" s="220">
        <v>9428571</v>
      </c>
      <c r="R512" s="220">
        <v>0</v>
      </c>
      <c r="S512" s="220">
        <v>0</v>
      </c>
      <c r="T512" s="220">
        <v>0</v>
      </c>
      <c r="U512" s="203" t="s">
        <v>1917</v>
      </c>
      <c r="V512" s="204"/>
      <c r="W512" s="207">
        <v>9428571</v>
      </c>
      <c r="X512" s="225" t="s">
        <v>935</v>
      </c>
      <c r="Y512" s="225" t="s">
        <v>1889</v>
      </c>
      <c r="Z512" s="225" t="s">
        <v>1889</v>
      </c>
    </row>
    <row r="513" spans="1:26" ht="29" x14ac:dyDescent="0.35">
      <c r="A513" s="203" t="s">
        <v>1601</v>
      </c>
      <c r="B513" s="203" t="s">
        <v>1149</v>
      </c>
      <c r="C513" s="203" t="s">
        <v>1916</v>
      </c>
      <c r="D513" s="243">
        <v>72154028</v>
      </c>
      <c r="E513" s="216" t="s">
        <v>1012</v>
      </c>
      <c r="F513" s="228" t="s">
        <v>1927</v>
      </c>
      <c r="G513" s="188" t="s">
        <v>71</v>
      </c>
      <c r="H513" s="205" t="s">
        <v>71</v>
      </c>
      <c r="I513" s="217">
        <v>2</v>
      </c>
      <c r="J513" s="187" t="s">
        <v>940</v>
      </c>
      <c r="K513" s="218">
        <v>7000000</v>
      </c>
      <c r="L513" s="219">
        <v>0.19</v>
      </c>
      <c r="M513" s="218">
        <v>1330000</v>
      </c>
      <c r="N513" s="218">
        <v>8330000</v>
      </c>
      <c r="O513" s="203" t="s">
        <v>791</v>
      </c>
      <c r="P513" s="203" t="s">
        <v>89</v>
      </c>
      <c r="Q513" s="220">
        <v>8330000</v>
      </c>
      <c r="R513" s="220">
        <v>0</v>
      </c>
      <c r="S513" s="220">
        <v>0</v>
      </c>
      <c r="T513" s="220">
        <v>0</v>
      </c>
      <c r="U513" s="203" t="s">
        <v>1917</v>
      </c>
      <c r="V513" s="204"/>
      <c r="W513" s="207">
        <v>8330000</v>
      </c>
      <c r="X513" s="225" t="s">
        <v>1618</v>
      </c>
      <c r="Y513" s="225" t="s">
        <v>1618</v>
      </c>
      <c r="Z513" s="225" t="s">
        <v>1619</v>
      </c>
    </row>
    <row r="514" spans="1:26" ht="58" x14ac:dyDescent="0.35">
      <c r="A514" s="203" t="s">
        <v>1601</v>
      </c>
      <c r="B514" s="203" t="s">
        <v>1149</v>
      </c>
      <c r="C514" s="203" t="s">
        <v>1928</v>
      </c>
      <c r="D514" s="243">
        <v>80141902</v>
      </c>
      <c r="E514" s="216" t="s">
        <v>1603</v>
      </c>
      <c r="F514" s="228" t="s">
        <v>1604</v>
      </c>
      <c r="G514" s="188" t="s">
        <v>69</v>
      </c>
      <c r="H514" s="205" t="s">
        <v>69</v>
      </c>
      <c r="I514" s="217">
        <v>1</v>
      </c>
      <c r="J514" s="187" t="s">
        <v>940</v>
      </c>
      <c r="K514" s="218">
        <v>2500000</v>
      </c>
      <c r="L514" s="219">
        <v>0.19</v>
      </c>
      <c r="M514" s="218">
        <v>475000</v>
      </c>
      <c r="N514" s="218">
        <v>2975000</v>
      </c>
      <c r="O514" s="203" t="s">
        <v>791</v>
      </c>
      <c r="P514" s="203" t="s">
        <v>89</v>
      </c>
      <c r="Q514" s="220">
        <v>2975000</v>
      </c>
      <c r="R514" s="220">
        <v>0</v>
      </c>
      <c r="S514" s="220">
        <v>0</v>
      </c>
      <c r="T514" s="220">
        <v>0</v>
      </c>
      <c r="U514" s="203" t="s">
        <v>804</v>
      </c>
      <c r="V514" s="204"/>
      <c r="W514" s="207"/>
      <c r="X514" s="225" t="s">
        <v>1228</v>
      </c>
      <c r="Y514" s="225" t="s">
        <v>1234</v>
      </c>
      <c r="Z514" s="225" t="s">
        <v>1235</v>
      </c>
    </row>
    <row r="515" spans="1:26" ht="58" x14ac:dyDescent="0.35">
      <c r="A515" s="203" t="s">
        <v>1601</v>
      </c>
      <c r="B515" s="203" t="s">
        <v>1149</v>
      </c>
      <c r="C515" s="203" t="s">
        <v>1928</v>
      </c>
      <c r="D515" s="243">
        <v>80141902</v>
      </c>
      <c r="E515" s="216" t="s">
        <v>1603</v>
      </c>
      <c r="F515" s="228" t="s">
        <v>1606</v>
      </c>
      <c r="G515" s="188" t="s">
        <v>77</v>
      </c>
      <c r="H515" s="205" t="s">
        <v>77</v>
      </c>
      <c r="I515" s="217">
        <v>1</v>
      </c>
      <c r="J515" s="187" t="s">
        <v>940</v>
      </c>
      <c r="K515" s="218">
        <v>2500000</v>
      </c>
      <c r="L515" s="219">
        <v>0.19</v>
      </c>
      <c r="M515" s="218">
        <v>475000</v>
      </c>
      <c r="N515" s="218">
        <v>2975000</v>
      </c>
      <c r="O515" s="203" t="s">
        <v>791</v>
      </c>
      <c r="P515" s="203" t="s">
        <v>89</v>
      </c>
      <c r="Q515" s="220">
        <v>2975000</v>
      </c>
      <c r="R515" s="220">
        <v>0</v>
      </c>
      <c r="S515" s="220">
        <v>0</v>
      </c>
      <c r="T515" s="220">
        <v>0</v>
      </c>
      <c r="U515" s="203" t="s">
        <v>804</v>
      </c>
      <c r="V515" s="204"/>
      <c r="W515" s="207"/>
      <c r="X515" s="225" t="s">
        <v>1228</v>
      </c>
      <c r="Y515" s="225" t="s">
        <v>1229</v>
      </c>
      <c r="Z515" s="225" t="s">
        <v>1230</v>
      </c>
    </row>
    <row r="516" spans="1:26" ht="43.5" x14ac:dyDescent="0.35">
      <c r="A516" s="203" t="s">
        <v>1601</v>
      </c>
      <c r="B516" s="203" t="s">
        <v>1149</v>
      </c>
      <c r="C516" s="203" t="s">
        <v>1928</v>
      </c>
      <c r="D516" s="243">
        <v>80141902</v>
      </c>
      <c r="E516" s="216" t="s">
        <v>1603</v>
      </c>
      <c r="F516" s="228" t="s">
        <v>772</v>
      </c>
      <c r="G516" s="188" t="s">
        <v>77</v>
      </c>
      <c r="H516" s="205" t="s">
        <v>78</v>
      </c>
      <c r="I516" s="217">
        <v>1</v>
      </c>
      <c r="J516" s="187" t="s">
        <v>1186</v>
      </c>
      <c r="K516" s="218">
        <v>1250000</v>
      </c>
      <c r="L516" s="219">
        <v>0.19</v>
      </c>
      <c r="M516" s="218">
        <v>237500</v>
      </c>
      <c r="N516" s="218">
        <v>1487500</v>
      </c>
      <c r="O516" s="203" t="s">
        <v>791</v>
      </c>
      <c r="P516" s="203" t="s">
        <v>89</v>
      </c>
      <c r="Q516" s="220">
        <v>1487500</v>
      </c>
      <c r="R516" s="220">
        <v>0</v>
      </c>
      <c r="S516" s="220">
        <v>0</v>
      </c>
      <c r="T516" s="220">
        <v>0</v>
      </c>
      <c r="U516" s="203" t="s">
        <v>804</v>
      </c>
      <c r="V516" s="204"/>
      <c r="W516" s="207"/>
      <c r="X516" s="225" t="s">
        <v>1867</v>
      </c>
      <c r="Y516" s="225" t="s">
        <v>1876</v>
      </c>
      <c r="Z516" s="225"/>
    </row>
    <row r="517" spans="1:26" ht="43.5" x14ac:dyDescent="0.35">
      <c r="A517" s="203" t="s">
        <v>1601</v>
      </c>
      <c r="B517" s="203" t="s">
        <v>1149</v>
      </c>
      <c r="C517" s="203" t="s">
        <v>1928</v>
      </c>
      <c r="D517" s="243">
        <v>80141902</v>
      </c>
      <c r="E517" s="216" t="s">
        <v>1603</v>
      </c>
      <c r="F517" s="228" t="s">
        <v>1607</v>
      </c>
      <c r="G517" s="188" t="s">
        <v>72</v>
      </c>
      <c r="H517" s="205" t="s">
        <v>73</v>
      </c>
      <c r="I517" s="217">
        <v>1</v>
      </c>
      <c r="J517" s="187" t="s">
        <v>1186</v>
      </c>
      <c r="K517" s="218">
        <v>1250000</v>
      </c>
      <c r="L517" s="219">
        <v>0.19</v>
      </c>
      <c r="M517" s="218">
        <v>237500</v>
      </c>
      <c r="N517" s="218">
        <v>1487500</v>
      </c>
      <c r="O517" s="203" t="s">
        <v>791</v>
      </c>
      <c r="P517" s="203" t="s">
        <v>89</v>
      </c>
      <c r="Q517" s="220">
        <v>1487500</v>
      </c>
      <c r="R517" s="220">
        <v>0</v>
      </c>
      <c r="S517" s="220">
        <v>0</v>
      </c>
      <c r="T517" s="220">
        <v>0</v>
      </c>
      <c r="U517" s="203" t="s">
        <v>804</v>
      </c>
      <c r="V517" s="204"/>
      <c r="W517" s="207"/>
      <c r="X517" s="225" t="s">
        <v>1867</v>
      </c>
      <c r="Y517" s="225" t="s">
        <v>1876</v>
      </c>
      <c r="Z517" s="225"/>
    </row>
    <row r="518" spans="1:26" ht="58" x14ac:dyDescent="0.35">
      <c r="A518" s="203" t="s">
        <v>1601</v>
      </c>
      <c r="B518" s="203" t="s">
        <v>1149</v>
      </c>
      <c r="C518" s="203" t="s">
        <v>1928</v>
      </c>
      <c r="D518" s="243">
        <v>72101511</v>
      </c>
      <c r="E518" s="216" t="s">
        <v>1007</v>
      </c>
      <c r="F518" s="228" t="s">
        <v>1929</v>
      </c>
      <c r="G518" s="188" t="s">
        <v>67</v>
      </c>
      <c r="H518" s="205" t="s">
        <v>68</v>
      </c>
      <c r="I518" s="217">
        <v>1</v>
      </c>
      <c r="J518" s="187" t="s">
        <v>940</v>
      </c>
      <c r="K518" s="218">
        <v>28400000</v>
      </c>
      <c r="L518" s="219">
        <v>0.19</v>
      </c>
      <c r="M518" s="218">
        <v>5396000</v>
      </c>
      <c r="N518" s="218">
        <v>33796000</v>
      </c>
      <c r="O518" s="203" t="s">
        <v>791</v>
      </c>
      <c r="P518" s="203" t="s">
        <v>89</v>
      </c>
      <c r="Q518" s="220">
        <v>33796000</v>
      </c>
      <c r="R518" s="220">
        <v>0</v>
      </c>
      <c r="S518" s="220">
        <v>0</v>
      </c>
      <c r="T518" s="220">
        <v>0</v>
      </c>
      <c r="U518" s="203" t="s">
        <v>804</v>
      </c>
      <c r="V518" s="204"/>
      <c r="W518" s="207"/>
      <c r="X518" s="225" t="s">
        <v>1070</v>
      </c>
      <c r="Y518" s="225" t="s">
        <v>1071</v>
      </c>
      <c r="Z518" s="225"/>
    </row>
    <row r="519" spans="1:26" ht="87" x14ac:dyDescent="0.35">
      <c r="A519" s="203" t="s">
        <v>1601</v>
      </c>
      <c r="B519" s="203" t="s">
        <v>1149</v>
      </c>
      <c r="C519" s="203" t="s">
        <v>1928</v>
      </c>
      <c r="D519" s="243">
        <v>72101511</v>
      </c>
      <c r="E519" s="216" t="s">
        <v>1007</v>
      </c>
      <c r="F519" s="228" t="s">
        <v>789</v>
      </c>
      <c r="G519" s="188" t="s">
        <v>68</v>
      </c>
      <c r="H519" s="205" t="s">
        <v>69</v>
      </c>
      <c r="I519" s="217">
        <v>12</v>
      </c>
      <c r="J519" s="187" t="s">
        <v>940</v>
      </c>
      <c r="K519" s="218">
        <v>4350000</v>
      </c>
      <c r="L519" s="219">
        <v>0.19</v>
      </c>
      <c r="M519" s="218">
        <v>826500</v>
      </c>
      <c r="N519" s="218">
        <v>5176500</v>
      </c>
      <c r="O519" s="203" t="s">
        <v>791</v>
      </c>
      <c r="P519" s="203" t="s">
        <v>89</v>
      </c>
      <c r="Q519" s="220">
        <v>5176500</v>
      </c>
      <c r="R519" s="220">
        <v>0</v>
      </c>
      <c r="S519" s="220">
        <v>0</v>
      </c>
      <c r="T519" s="220">
        <v>0</v>
      </c>
      <c r="U519" s="203" t="s">
        <v>804</v>
      </c>
      <c r="V519" s="204"/>
      <c r="W519" s="207"/>
      <c r="X519" s="204" t="s">
        <v>1005</v>
      </c>
      <c r="Y519" s="204" t="s">
        <v>1014</v>
      </c>
      <c r="Z519" s="225"/>
    </row>
    <row r="520" spans="1:26" ht="43.5" x14ac:dyDescent="0.35">
      <c r="A520" s="203" t="s">
        <v>1601</v>
      </c>
      <c r="B520" s="203" t="s">
        <v>1149</v>
      </c>
      <c r="C520" s="203" t="s">
        <v>1928</v>
      </c>
      <c r="D520" s="243">
        <v>72151302</v>
      </c>
      <c r="E520" s="216" t="s">
        <v>1734</v>
      </c>
      <c r="F520" s="228" t="s">
        <v>1930</v>
      </c>
      <c r="G520" s="188" t="s">
        <v>68</v>
      </c>
      <c r="H520" s="205" t="s">
        <v>69</v>
      </c>
      <c r="I520" s="217">
        <v>1</v>
      </c>
      <c r="J520" s="187" t="s">
        <v>940</v>
      </c>
      <c r="K520" s="218">
        <v>12000000</v>
      </c>
      <c r="L520" s="219">
        <v>0.19</v>
      </c>
      <c r="M520" s="218">
        <v>2280000</v>
      </c>
      <c r="N520" s="218">
        <v>14280000</v>
      </c>
      <c r="O520" s="203" t="s">
        <v>791</v>
      </c>
      <c r="P520" s="203" t="s">
        <v>89</v>
      </c>
      <c r="Q520" s="220">
        <v>14280000</v>
      </c>
      <c r="R520" s="220">
        <v>0</v>
      </c>
      <c r="S520" s="220">
        <v>0</v>
      </c>
      <c r="T520" s="220">
        <v>0</v>
      </c>
      <c r="U520" s="203" t="s">
        <v>804</v>
      </c>
      <c r="V520" s="204"/>
      <c r="W520" s="207"/>
      <c r="X520" s="204" t="s">
        <v>1618</v>
      </c>
      <c r="Y520" s="204" t="s">
        <v>1618</v>
      </c>
      <c r="Z520" s="225"/>
    </row>
    <row r="521" spans="1:26" ht="58" x14ac:dyDescent="0.35">
      <c r="A521" s="203" t="s">
        <v>1601</v>
      </c>
      <c r="B521" s="203" t="s">
        <v>1149</v>
      </c>
      <c r="C521" s="203" t="s">
        <v>1928</v>
      </c>
      <c r="D521" s="243">
        <v>52161505</v>
      </c>
      <c r="E521" s="216" t="s">
        <v>1698</v>
      </c>
      <c r="F521" s="228" t="s">
        <v>1931</v>
      </c>
      <c r="G521" s="188" t="s">
        <v>69</v>
      </c>
      <c r="H521" s="205" t="s">
        <v>70</v>
      </c>
      <c r="I521" s="217">
        <v>1</v>
      </c>
      <c r="J521" s="187" t="s">
        <v>940</v>
      </c>
      <c r="K521" s="218">
        <v>3000000</v>
      </c>
      <c r="L521" s="219">
        <v>0.19</v>
      </c>
      <c r="M521" s="218">
        <v>570000</v>
      </c>
      <c r="N521" s="218">
        <v>3570000</v>
      </c>
      <c r="O521" s="203" t="s">
        <v>791</v>
      </c>
      <c r="P521" s="203" t="s">
        <v>89</v>
      </c>
      <c r="Q521" s="220">
        <v>3570000</v>
      </c>
      <c r="R521" s="220">
        <v>0</v>
      </c>
      <c r="S521" s="220">
        <v>0</v>
      </c>
      <c r="T521" s="220">
        <v>0</v>
      </c>
      <c r="U521" s="203" t="s">
        <v>804</v>
      </c>
      <c r="V521" s="204"/>
      <c r="W521" s="207"/>
      <c r="X521" s="225" t="s">
        <v>1070</v>
      </c>
      <c r="Y521" s="225" t="s">
        <v>1071</v>
      </c>
      <c r="Z521" s="225"/>
    </row>
    <row r="522" spans="1:26" ht="29.5" thickBot="1" x14ac:dyDescent="0.4">
      <c r="A522" s="245" t="s">
        <v>1601</v>
      </c>
      <c r="B522" s="245" t="s">
        <v>1149</v>
      </c>
      <c r="C522" s="245" t="s">
        <v>1928</v>
      </c>
      <c r="D522" s="246">
        <v>72154028</v>
      </c>
      <c r="E522" s="247" t="s">
        <v>1012</v>
      </c>
      <c r="F522" s="247" t="s">
        <v>1932</v>
      </c>
      <c r="G522" s="199" t="s">
        <v>77</v>
      </c>
      <c r="H522" s="199" t="s">
        <v>78</v>
      </c>
      <c r="I522" s="246">
        <v>1</v>
      </c>
      <c r="J522" s="199" t="s">
        <v>940</v>
      </c>
      <c r="K522" s="248">
        <v>7000000</v>
      </c>
      <c r="L522" s="249">
        <v>0.19</v>
      </c>
      <c r="M522" s="248">
        <v>1330000</v>
      </c>
      <c r="N522" s="248">
        <v>8330000</v>
      </c>
      <c r="O522" s="245" t="s">
        <v>791</v>
      </c>
      <c r="P522" s="245" t="s">
        <v>89</v>
      </c>
      <c r="Q522" s="248">
        <v>8330000</v>
      </c>
      <c r="R522" s="250">
        <v>0</v>
      </c>
      <c r="S522" s="250">
        <v>0</v>
      </c>
      <c r="T522" s="250">
        <v>0</v>
      </c>
      <c r="U522" s="203" t="s">
        <v>804</v>
      </c>
      <c r="V522" s="247"/>
      <c r="W522" s="251"/>
      <c r="X522" s="252" t="s">
        <v>1618</v>
      </c>
      <c r="Y522" s="252" t="s">
        <v>1618</v>
      </c>
      <c r="Z522" s="253"/>
    </row>
    <row r="523" spans="1:26" ht="15" thickTop="1" x14ac:dyDescent="0.35">
      <c r="A523" s="254" t="s">
        <v>1933</v>
      </c>
      <c r="B523" s="255">
        <v>511</v>
      </c>
      <c r="C523" s="256">
        <v>511</v>
      </c>
      <c r="D523" s="257"/>
      <c r="E523" s="257"/>
      <c r="F523" s="258"/>
      <c r="G523" s="256">
        <v>511</v>
      </c>
      <c r="H523" s="256">
        <v>511</v>
      </c>
      <c r="I523" s="256">
        <v>511</v>
      </c>
      <c r="J523" s="259">
        <v>511</v>
      </c>
      <c r="K523" s="260">
        <v>264441416699.2312</v>
      </c>
      <c r="L523" s="261"/>
      <c r="M523" s="260">
        <v>44994337707.394844</v>
      </c>
      <c r="N523" s="260">
        <v>309972421865.85938</v>
      </c>
      <c r="O523" s="262"/>
      <c r="P523" s="262"/>
      <c r="Q523" s="260">
        <v>98114561721.034058</v>
      </c>
      <c r="R523" s="260">
        <v>94218615577.689926</v>
      </c>
      <c r="S523" s="260">
        <v>72658078229.28595</v>
      </c>
      <c r="T523" s="260">
        <v>39644162276.400002</v>
      </c>
      <c r="U523" s="262"/>
      <c r="V523" s="263"/>
      <c r="W523" s="264">
        <v>64622828485.161163</v>
      </c>
      <c r="X523" s="259">
        <v>511</v>
      </c>
      <c r="Y523" s="259">
        <v>511</v>
      </c>
      <c r="Z523" s="265"/>
    </row>
  </sheetData>
  <sheetProtection formatCells="0" formatColumns="0" formatRows="0" insertColumns="0" insertRows="0" insertHyperlinks="0" deleteColumns="0" deleteRows="0" sort="0" autoFilter="0" pivotTables="0"/>
  <protectedRanges>
    <protectedRange sqref="B15:L15 B12:I14 K12:L14 B16:I16 K16:L16 B17:L38 J522 A89:L396 A12:A38 A399:L494 A397:E398 G397:L398 A496:L521 A495:E495 G495:L495" name="Rango1"/>
    <protectedRange sqref="Q140:T141 Q138:Q139 Q89:S89 Q143:S144 Q142 Q50 Q101:T104 Q124:S124 Q145:Q147 P43 Q132:T132 Q90:Q100 Q129:Q131 Q137:S137 Q133:Q136 Q105:Q123 O336:Q442 R336:T522 O89:P286 O287:T335 Z424:Z425 Z429 O445:Q478 O443:P444 R110:T110 Q125:R125 Q128:R128 Q152:T153 Q150:R151 Q157:T157 Q156:R156 Q159:T159 Q158:R158 Q160:R160 Q177:T235 Q173:R176 R238:T238 Q236:R237 Q240:T240 R239 Q244:T245 Q241:R242 Q255:T255 Q254:R254 Q257:T258 Q256:R256 Q261:T261 Q260:R260 Q264:T264 Q262:R263 Q265:R266 Q126:S126 Q155:T155 Q154:S154 Q243:S243 R249:T249 Q246:S246 Q253:T253 R250:S250 Q127:T127 Q238:Q239 R247:S248 R251:T252 Q247:Q252 Q259:S259 V447:W448 Z447:Z448 V449:Z453 W454:Z455 V465:W468 Z465:Z468 V469:Z471 V472:W473 Z472:Z473 O481:Q493 O479:P480 V474:Z478 V479:W485 O495:Q521 O494:P494 V516:W521 Z516:Z521 Q267:T286 Q148:T149 Q161:T172 X43:Z43 V423:Z423 V418:W422 V426:Z428 V424:W425 V429:W429 V456:Z464 V486:Z487 V490:Z493 V488:W489 V494:W494 V495:Z515 V430:Z446 V89:Z417 O13:T38 V13:Z38 U13:U522 O12:Z12" name="Rango2"/>
    <protectedRange sqref="J12:J14 J16 A39:L58" name="Rango1_1"/>
    <protectedRange sqref="A59:L78" name="Rango1_2"/>
    <protectedRange sqref="Q61:Q63 Q65:Q78 O59:P78 Q59:T60 Q64:T64 T85 T89 T124 T126 T137 T143:T144 T154 T243 T246:T248 T250 T259 V59:Z78" name="Rango2_2"/>
    <protectedRange sqref="A79:L84" name="Rango1_3"/>
    <protectedRange sqref="Q79 Q84:R84 Q83 O79:P84 Q81:T82 Q80:R80 V79:Z84" name="Rango2_3"/>
    <protectedRange sqref="A85:L88" name="Rango1_4"/>
    <protectedRange sqref="Q85:S85 Q88:T88 Q86:Q87 O85:P88 V85:Z88" name="Rango2_4"/>
    <protectedRange sqref="F397:F398" name="Rango1_5"/>
    <protectedRange sqref="X418:Z422" name="Rango2_9"/>
    <protectedRange sqref="X424:Y425" name="Rango2_10"/>
    <protectedRange sqref="X429:Y429" name="Rango2_11"/>
    <protectedRange sqref="X447:Y448" name="Rango2_13"/>
    <protectedRange sqref="V454:V455" name="Rango2_16"/>
    <protectedRange sqref="X465:Y468" name="Rango2_18"/>
    <protectedRange sqref="X472:Y473" name="Rango2_20"/>
    <protectedRange sqref="X479:Z485" name="Rango2_22"/>
    <protectedRange sqref="F495" name="Rango1_6"/>
    <protectedRange sqref="X488:Z489" name="Rango2_23"/>
    <protectedRange sqref="X494:Z494" name="Rango2_24"/>
    <protectedRange sqref="X516:Y518 X521:Y522 X519:X520" name="Rango2_28"/>
  </protectedRanges>
  <autoFilter ref="A11:S414" xr:uid="{4A8A54E6-0E3C-4D28-A4A6-20A8902E70B4}"/>
  <mergeCells count="20">
    <mergeCell ref="R6:S10"/>
    <mergeCell ref="T6:U10"/>
    <mergeCell ref="H6:H10"/>
    <mergeCell ref="X6:Y10"/>
    <mergeCell ref="Z6:AA10"/>
    <mergeCell ref="E4:E5"/>
    <mergeCell ref="A1:A3"/>
    <mergeCell ref="B1:AA3"/>
    <mergeCell ref="A4:A5"/>
    <mergeCell ref="A6:A10"/>
    <mergeCell ref="B6:B10"/>
    <mergeCell ref="V6:W10"/>
    <mergeCell ref="L6:M10"/>
    <mergeCell ref="K6:K10"/>
    <mergeCell ref="I6:J10"/>
    <mergeCell ref="F6:G10"/>
    <mergeCell ref="E6:E10"/>
    <mergeCell ref="C6:D10"/>
    <mergeCell ref="N6:O10"/>
    <mergeCell ref="P6:Q10"/>
  </mergeCells>
  <conditionalFormatting sqref="G4">
    <cfRule type="cellIs" dxfId="127" priority="16" operator="lessThanOrEqual">
      <formula>#REF!</formula>
    </cfRule>
  </conditionalFormatting>
  <conditionalFormatting sqref="H6">
    <cfRule type="cellIs" dxfId="126" priority="14" operator="greaterThanOrEqual">
      <formula>#REF!</formula>
    </cfRule>
    <cfRule type="cellIs" dxfId="125" priority="15" operator="lessThanOrEqual">
      <formula>#REF!</formula>
    </cfRule>
    <cfRule type="cellIs" dxfId="124" priority="17" operator="between">
      <formula>#REF!</formula>
      <formula>#REF!</formula>
    </cfRule>
  </conditionalFormatting>
  <conditionalFormatting sqref="N6">
    <cfRule type="cellIs" dxfId="123" priority="10" operator="greaterThanOrEqual">
      <formula>$G$5</formula>
    </cfRule>
    <cfRule type="cellIs" dxfId="122" priority="11" operator="lessThanOrEqual">
      <formula>$G$4</formula>
    </cfRule>
    <cfRule type="cellIs" dxfId="121" priority="12" operator="between">
      <formula>$G$5</formula>
      <formula>$G$4</formula>
    </cfRule>
  </conditionalFormatting>
  <conditionalFormatting sqref="R6">
    <cfRule type="cellIs" dxfId="120" priority="7" operator="greaterThanOrEqual">
      <formula>$G$5</formula>
    </cfRule>
    <cfRule type="cellIs" dxfId="119" priority="8" operator="lessThanOrEqual">
      <formula>$G$4</formula>
    </cfRule>
    <cfRule type="cellIs" dxfId="118" priority="9" operator="between">
      <formula>$G$5</formula>
      <formula>$G$4</formula>
    </cfRule>
  </conditionalFormatting>
  <conditionalFormatting sqref="V6">
    <cfRule type="cellIs" dxfId="117" priority="4" operator="greaterThanOrEqual">
      <formula>$G$5</formula>
    </cfRule>
    <cfRule type="cellIs" dxfId="116" priority="5" operator="lessThanOrEqual">
      <formula>$G$4</formula>
    </cfRule>
    <cfRule type="cellIs" dxfId="115" priority="6" operator="between">
      <formula>$G$5</formula>
      <formula>$G$4</formula>
    </cfRule>
  </conditionalFormatting>
  <conditionalFormatting sqref="Z6">
    <cfRule type="cellIs" dxfId="114" priority="1" operator="greaterThanOrEqual">
      <formula>$G$5</formula>
    </cfRule>
    <cfRule type="cellIs" dxfId="113" priority="2" operator="lessThanOrEqual">
      <formula>$G$4</formula>
    </cfRule>
    <cfRule type="cellIs" dxfId="112" priority="3" operator="between">
      <formula>$G$5</formula>
      <formula>$G$4</formula>
    </cfRule>
  </conditionalFormatting>
  <dataValidations count="9">
    <dataValidation type="whole" operator="greaterThanOrEqual" allowBlank="1" showInputMessage="1" showErrorMessage="1" errorTitle="DURACIÓN EN DÍAS" error="SOLO VALORES NUMÉRICOS" sqref="I12:I522" xr:uid="{5A1ACD3A-D87A-42A9-ACCF-A30EF52FB021}">
      <formula1>1</formula1>
    </dataValidation>
    <dataValidation operator="greaterThanOrEqual" allowBlank="1" showInputMessage="1" showErrorMessage="1" errorTitle="VALOR" error="SOLO VALORES NUMÉRICOS" sqref="N34:N39 M12:N33 M34 M40:N97 M106:N521 Q479:Q480 Q494" xr:uid="{1937C1A9-2E6E-41B4-944B-0C476E5C9FB5}"/>
    <dataValidation type="list" allowBlank="1" showInputMessage="1" showErrorMessage="1" errorTitle="VIGENCIA FUTURA" error="ELIJA ÚNICAMENTE SO O NO" sqref="O12:O522" xr:uid="{781B4F7A-6418-45C2-BA45-BF9753D97036}">
      <formula1>"SI,NO"</formula1>
    </dataValidation>
    <dataValidation type="textLength" operator="greaterThan" allowBlank="1" showInputMessage="1" showErrorMessage="1" sqref="V12:V522 X519:X520" xr:uid="{173D1AE5-27D7-440F-8F72-EA591156B66F}">
      <formula1>1</formula1>
    </dataValidation>
    <dataValidation type="textLength" allowBlank="1" showInputMessage="1" showErrorMessage="1" sqref="U12:U522" xr:uid="{C133A928-6F98-4C1C-9161-3F842F774AD8}">
      <formula1>0</formula1>
      <formula2>100000000</formula2>
    </dataValidation>
    <dataValidation type="whole" operator="greaterThan" allowBlank="1" showInputMessage="1" showErrorMessage="1" sqref="W12:W522" xr:uid="{E3B3752F-F6A0-4EB4-8191-85F4B57F0D96}">
      <formula1>1</formula1>
    </dataValidation>
    <dataValidation type="decimal" allowBlank="1" showInputMessage="1" showErrorMessage="1" sqref="L12:L522" xr:uid="{43DC1FF2-6A88-463D-A273-1FF695282310}">
      <formula1>0</formula1>
      <formula2>1</formula2>
    </dataValidation>
    <dataValidation type="whole" allowBlank="1" showInputMessage="1" showErrorMessage="1" sqref="D12:D522" xr:uid="{97E3011D-F9FE-45ED-A386-BCFF2695FAB8}">
      <formula1>0</formula1>
      <formula2>99999999</formula2>
    </dataValidation>
    <dataValidation type="whole" operator="greaterThanOrEqual" allowBlank="1" showInputMessage="1" showErrorMessage="1" errorTitle="VALOR" error="SOLO VALORES NUMÉRICOS" sqref="K12:K522" xr:uid="{2B2DC838-8305-472C-B8FC-A9F78C67F01B}">
      <formula1>0</formula1>
    </dataValidation>
  </dataValidations>
  <hyperlinks>
    <hyperlink ref="D11" location="'CODIGOS UNSPSC'!A1" display="Códigos UNSPSC" xr:uid="{481E8D39-CEAE-4D88-8B26-E3464AB41D34}"/>
  </hyperlinks>
  <pageMargins left="0.7" right="0.7" top="0.75" bottom="0.75" header="0.3" footer="0.3"/>
  <pageSetup scale="11" orientation="portrait" r:id="rId1"/>
  <headerFooter>
    <oddFooter>&amp;C_x000D_&amp;1#&amp;"Calibri"&amp;10&amp;K008000 DOCUMENTO PÚBLICO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8991-7053-443F-94A9-40E339ACADE8}">
  <dimension ref="A1:AH103"/>
  <sheetViews>
    <sheetView showGridLines="0" view="pageBreakPreview" zoomScale="50" zoomScaleNormal="10" zoomScaleSheetLayoutView="50" zoomScalePageLayoutView="48" workbookViewId="0">
      <selection activeCell="H14" sqref="H14:H15"/>
    </sheetView>
  </sheetViews>
  <sheetFormatPr baseColWidth="10" defaultColWidth="12.54296875" defaultRowHeight="15" customHeight="1" x14ac:dyDescent="0.35"/>
  <cols>
    <col min="1" max="1" width="7.26953125" style="1" customWidth="1"/>
    <col min="2" max="2" width="37.81640625" style="1" customWidth="1"/>
    <col min="3" max="3" width="54.1796875" style="1" customWidth="1"/>
    <col min="4"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x14ac:dyDescent="0.35">
      <c r="A1" s="407"/>
      <c r="B1" s="408"/>
      <c r="C1" s="409"/>
      <c r="D1" s="463" t="s">
        <v>812</v>
      </c>
      <c r="E1" s="463"/>
      <c r="F1" s="463"/>
      <c r="G1" s="463"/>
      <c r="H1" s="463"/>
      <c r="I1" s="463"/>
      <c r="J1" s="463"/>
      <c r="K1" s="463"/>
      <c r="L1" s="463"/>
      <c r="M1" s="463"/>
      <c r="N1" s="463"/>
      <c r="O1" s="463"/>
      <c r="P1" s="463"/>
      <c r="Q1" s="463"/>
      <c r="R1" s="463"/>
      <c r="S1" s="463"/>
      <c r="T1" s="463"/>
      <c r="U1" s="463"/>
      <c r="V1" s="463"/>
      <c r="W1" s="463"/>
      <c r="X1" s="463"/>
      <c r="Y1" s="463"/>
      <c r="Z1" s="463"/>
      <c r="AA1" s="463"/>
      <c r="AB1" s="463"/>
      <c r="AC1" s="463"/>
      <c r="AD1" s="463"/>
      <c r="AE1" s="463"/>
      <c r="AF1" s="463"/>
      <c r="AG1" s="463"/>
      <c r="AH1" s="463"/>
    </row>
    <row r="2" spans="1:34" s="56" customFormat="1" ht="20.149999999999999" customHeight="1" x14ac:dyDescent="0.35">
      <c r="A2" s="410"/>
      <c r="B2" s="411"/>
      <c r="C2" s="412"/>
      <c r="D2" s="463"/>
      <c r="E2" s="463"/>
      <c r="F2" s="463"/>
      <c r="G2" s="463"/>
      <c r="H2" s="463"/>
      <c r="I2" s="463"/>
      <c r="J2" s="463"/>
      <c r="K2" s="463"/>
      <c r="L2" s="463"/>
      <c r="M2" s="463"/>
      <c r="N2" s="463"/>
      <c r="O2" s="463"/>
      <c r="P2" s="463"/>
      <c r="Q2" s="463"/>
      <c r="R2" s="463"/>
      <c r="S2" s="463"/>
      <c r="T2" s="463"/>
      <c r="U2" s="463"/>
      <c r="V2" s="463"/>
      <c r="W2" s="463"/>
      <c r="X2" s="463"/>
      <c r="Y2" s="463"/>
      <c r="Z2" s="463"/>
      <c r="AA2" s="463"/>
      <c r="AB2" s="463"/>
      <c r="AC2" s="463"/>
      <c r="AD2" s="463"/>
      <c r="AE2" s="463"/>
      <c r="AF2" s="463"/>
      <c r="AG2" s="463"/>
      <c r="AH2" s="463"/>
    </row>
    <row r="3" spans="1:34" s="56" customFormat="1" ht="60" customHeight="1" thickBot="1" x14ac:dyDescent="0.4">
      <c r="A3" s="413"/>
      <c r="B3" s="414"/>
      <c r="C3" s="415"/>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row>
    <row r="4" spans="1:34" s="56" customFormat="1" ht="60" hidden="1" customHeight="1" thickBot="1" x14ac:dyDescent="0.4">
      <c r="A4" s="405" t="s">
        <v>34</v>
      </c>
      <c r="B4" s="8" t="s">
        <v>35</v>
      </c>
      <c r="C4" s="10">
        <v>0.7</v>
      </c>
      <c r="D4" s="10"/>
      <c r="E4" s="10"/>
      <c r="F4" s="9"/>
      <c r="G4" s="405"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405"/>
      <c r="B5" s="8" t="s">
        <v>37</v>
      </c>
      <c r="C5" s="11">
        <v>0.9</v>
      </c>
      <c r="D5" s="11"/>
      <c r="E5" s="11"/>
      <c r="F5" s="11">
        <v>1</v>
      </c>
      <c r="G5" s="405"/>
      <c r="H5" s="8" t="s">
        <v>37</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548" t="s">
        <v>38</v>
      </c>
      <c r="B6" s="548"/>
      <c r="C6" s="513" t="s">
        <v>120</v>
      </c>
      <c r="D6" s="513"/>
      <c r="E6" s="549" t="s">
        <v>40</v>
      </c>
      <c r="F6" s="549"/>
      <c r="G6" s="515">
        <f>+P15+P17+P19+P21</f>
        <v>1</v>
      </c>
      <c r="H6" s="549" t="s">
        <v>41</v>
      </c>
      <c r="I6" s="549"/>
      <c r="J6" s="601">
        <f>+P14+P16+P18+P20</f>
        <v>1</v>
      </c>
      <c r="K6" s="554" t="s">
        <v>42</v>
      </c>
      <c r="L6" s="555"/>
      <c r="M6" s="443">
        <v>0.95</v>
      </c>
      <c r="N6" s="586" t="s">
        <v>158</v>
      </c>
      <c r="O6" s="587"/>
      <c r="P6" s="429">
        <f>(SUM(X14,X16,X18,X20)/SUM(X15,X17,X19,X21)/M6)</f>
        <v>1.0526315789473684</v>
      </c>
      <c r="Q6" s="430"/>
      <c r="R6" s="560" t="s">
        <v>159</v>
      </c>
      <c r="S6" s="561"/>
      <c r="T6" s="561"/>
      <c r="U6" s="562"/>
      <c r="V6" s="428">
        <f>SUM(AD14,AD16,AD18,AD20)/SUM(AD15,AD17,AD19,AD21)/M6</f>
        <v>1.0526315789473684</v>
      </c>
      <c r="W6" s="429"/>
      <c r="X6" s="429"/>
      <c r="Y6" s="430"/>
      <c r="Z6" s="607" t="s">
        <v>45</v>
      </c>
      <c r="AA6" s="608"/>
      <c r="AB6" s="608"/>
      <c r="AC6" s="608"/>
      <c r="AD6" s="608"/>
      <c r="AE6" s="608"/>
      <c r="AF6" s="608"/>
      <c r="AG6" s="608"/>
    </row>
    <row r="7" spans="1:34" ht="15" hidden="1" customHeight="1" x14ac:dyDescent="0.35">
      <c r="A7" s="548"/>
      <c r="B7" s="548"/>
      <c r="C7" s="513"/>
      <c r="D7" s="513"/>
      <c r="E7" s="549"/>
      <c r="F7" s="549"/>
      <c r="G7" s="516"/>
      <c r="H7" s="549"/>
      <c r="I7" s="549"/>
      <c r="J7" s="602"/>
      <c r="K7" s="556"/>
      <c r="L7" s="557"/>
      <c r="M7" s="444"/>
      <c r="N7" s="586"/>
      <c r="O7" s="587"/>
      <c r="P7" s="432"/>
      <c r="Q7" s="433"/>
      <c r="R7" s="563"/>
      <c r="S7" s="564"/>
      <c r="T7" s="564"/>
      <c r="U7" s="565"/>
      <c r="V7" s="431"/>
      <c r="W7" s="432"/>
      <c r="X7" s="432"/>
      <c r="Y7" s="433"/>
      <c r="Z7" s="609"/>
      <c r="AA7" s="610"/>
      <c r="AB7" s="610"/>
      <c r="AC7" s="610"/>
      <c r="AD7" s="610"/>
      <c r="AE7" s="610"/>
      <c r="AF7" s="610"/>
      <c r="AG7" s="610"/>
    </row>
    <row r="8" spans="1:34" ht="25.4" hidden="1" customHeight="1" x14ac:dyDescent="0.35">
      <c r="A8" s="548"/>
      <c r="B8" s="548"/>
      <c r="C8" s="513"/>
      <c r="D8" s="513"/>
      <c r="E8" s="549"/>
      <c r="F8" s="549"/>
      <c r="G8" s="516"/>
      <c r="H8" s="549"/>
      <c r="I8" s="549"/>
      <c r="J8" s="602"/>
      <c r="K8" s="556"/>
      <c r="L8" s="557"/>
      <c r="M8" s="444"/>
      <c r="N8" s="586"/>
      <c r="O8" s="587"/>
      <c r="P8" s="432"/>
      <c r="Q8" s="433"/>
      <c r="R8" s="563"/>
      <c r="S8" s="564"/>
      <c r="T8" s="564"/>
      <c r="U8" s="565"/>
      <c r="V8" s="431"/>
      <c r="W8" s="432"/>
      <c r="X8" s="432"/>
      <c r="Y8" s="433"/>
      <c r="Z8" s="609"/>
      <c r="AA8" s="610"/>
      <c r="AB8" s="610"/>
      <c r="AC8" s="610"/>
      <c r="AD8" s="610"/>
      <c r="AE8" s="610"/>
      <c r="AF8" s="610"/>
      <c r="AG8" s="610"/>
    </row>
    <row r="9" spans="1:34" ht="25.4" hidden="1" customHeight="1" thickBot="1" x14ac:dyDescent="0.4">
      <c r="A9" s="548"/>
      <c r="B9" s="548"/>
      <c r="C9" s="513"/>
      <c r="D9" s="513"/>
      <c r="E9" s="549"/>
      <c r="F9" s="549"/>
      <c r="G9" s="516"/>
      <c r="H9" s="549"/>
      <c r="I9" s="549"/>
      <c r="J9" s="602"/>
      <c r="K9" s="556"/>
      <c r="L9" s="557"/>
      <c r="M9" s="444"/>
      <c r="N9" s="586"/>
      <c r="O9" s="587"/>
      <c r="P9" s="432"/>
      <c r="Q9" s="433"/>
      <c r="R9" s="563"/>
      <c r="S9" s="564"/>
      <c r="T9" s="564"/>
      <c r="U9" s="565"/>
      <c r="V9" s="431"/>
      <c r="W9" s="432"/>
      <c r="X9" s="432"/>
      <c r="Y9" s="433"/>
      <c r="Z9" s="609"/>
      <c r="AA9" s="610"/>
      <c r="AB9" s="610"/>
      <c r="AC9" s="610"/>
      <c r="AD9" s="610"/>
      <c r="AE9" s="610"/>
      <c r="AF9" s="610"/>
      <c r="AG9" s="610"/>
    </row>
    <row r="10" spans="1:34" ht="15" hidden="1" customHeight="1" thickBot="1" x14ac:dyDescent="0.4">
      <c r="A10" s="548"/>
      <c r="B10" s="548"/>
      <c r="C10" s="513"/>
      <c r="D10" s="513"/>
      <c r="E10" s="549"/>
      <c r="F10" s="549"/>
      <c r="G10" s="550"/>
      <c r="H10" s="549"/>
      <c r="I10" s="549"/>
      <c r="J10" s="603"/>
      <c r="K10" s="558"/>
      <c r="L10" s="559"/>
      <c r="M10" s="445"/>
      <c r="N10" s="586"/>
      <c r="O10" s="587"/>
      <c r="P10" s="435"/>
      <c r="Q10" s="436"/>
      <c r="R10" s="566"/>
      <c r="S10" s="567"/>
      <c r="T10" s="567"/>
      <c r="U10" s="568"/>
      <c r="V10" s="434"/>
      <c r="W10" s="435"/>
      <c r="X10" s="435"/>
      <c r="Y10" s="436"/>
      <c r="Z10" s="611"/>
      <c r="AA10" s="612"/>
      <c r="AB10" s="612"/>
      <c r="AC10" s="612"/>
      <c r="AD10" s="612"/>
      <c r="AE10" s="612"/>
      <c r="AF10" s="612"/>
      <c r="AG10" s="612"/>
    </row>
    <row r="11" spans="1:34" s="12" customFormat="1" ht="40.4" customHeight="1" thickBot="1" x14ac:dyDescent="0.4">
      <c r="A11" s="390" t="s">
        <v>47</v>
      </c>
      <c r="B11" s="390"/>
      <c r="C11" s="390"/>
      <c r="D11" s="390"/>
      <c r="E11" s="390"/>
      <c r="F11" s="391"/>
      <c r="G11" s="392" t="s">
        <v>820</v>
      </c>
      <c r="H11" s="393"/>
      <c r="I11" s="393"/>
      <c r="J11" s="393"/>
      <c r="K11" s="393"/>
      <c r="L11" s="393"/>
      <c r="M11" s="393"/>
      <c r="N11" s="393"/>
      <c r="O11" s="604" t="s">
        <v>48</v>
      </c>
      <c r="P11" s="605"/>
      <c r="Q11" s="605"/>
      <c r="R11" s="605"/>
      <c r="S11" s="605"/>
      <c r="T11" s="605"/>
      <c r="U11" s="605"/>
      <c r="V11" s="605"/>
      <c r="W11" s="605"/>
      <c r="X11" s="605"/>
      <c r="Y11" s="605"/>
      <c r="Z11" s="605"/>
      <c r="AA11" s="605"/>
      <c r="AB11" s="605"/>
      <c r="AC11" s="605"/>
      <c r="AD11" s="606"/>
      <c r="AE11" s="604" t="s">
        <v>49</v>
      </c>
      <c r="AF11" s="605"/>
      <c r="AG11" s="605"/>
      <c r="AH11" s="605"/>
    </row>
    <row r="12" spans="1:34" ht="39" customHeight="1" x14ac:dyDescent="0.35">
      <c r="A12" s="395" t="s">
        <v>50</v>
      </c>
      <c r="B12" s="397" t="s">
        <v>51</v>
      </c>
      <c r="C12" s="397" t="s">
        <v>52</v>
      </c>
      <c r="D12" s="397" t="s">
        <v>53</v>
      </c>
      <c r="E12" s="397" t="s">
        <v>54</v>
      </c>
      <c r="F12" s="397" t="s">
        <v>30</v>
      </c>
      <c r="G12" s="397" t="s">
        <v>55</v>
      </c>
      <c r="H12" s="397" t="s">
        <v>160</v>
      </c>
      <c r="I12" s="397" t="s">
        <v>58</v>
      </c>
      <c r="J12" s="397" t="s">
        <v>59</v>
      </c>
      <c r="K12" s="397" t="s">
        <v>60</v>
      </c>
      <c r="L12" s="397" t="s">
        <v>61</v>
      </c>
      <c r="M12" s="397" t="s">
        <v>62</v>
      </c>
      <c r="N12" s="397" t="s">
        <v>63</v>
      </c>
      <c r="O12" s="633" t="s">
        <v>64</v>
      </c>
      <c r="P12" s="634" t="s">
        <v>65</v>
      </c>
      <c r="Q12" s="635" t="s">
        <v>66</v>
      </c>
      <c r="R12" s="620" t="s">
        <v>67</v>
      </c>
      <c r="S12" s="618" t="s">
        <v>68</v>
      </c>
      <c r="T12" s="616" t="s">
        <v>69</v>
      </c>
      <c r="U12" s="622" t="s">
        <v>70</v>
      </c>
      <c r="V12" s="624" t="s">
        <v>71</v>
      </c>
      <c r="W12" s="622" t="s">
        <v>72</v>
      </c>
      <c r="X12" s="616" t="s">
        <v>72</v>
      </c>
      <c r="Y12" s="618" t="s">
        <v>74</v>
      </c>
      <c r="Z12" s="620" t="s">
        <v>75</v>
      </c>
      <c r="AA12" s="618" t="s">
        <v>76</v>
      </c>
      <c r="AB12" s="616" t="s">
        <v>77</v>
      </c>
      <c r="AC12" s="622" t="s">
        <v>78</v>
      </c>
      <c r="AD12" s="613" t="s">
        <v>79</v>
      </c>
      <c r="AE12" s="615" t="s">
        <v>80</v>
      </c>
      <c r="AF12" s="615" t="s">
        <v>81</v>
      </c>
      <c r="AG12" s="615" t="s">
        <v>82</v>
      </c>
      <c r="AH12" s="615" t="s">
        <v>83</v>
      </c>
    </row>
    <row r="13" spans="1:34" ht="60" customHeight="1" thickBot="1" x14ac:dyDescent="0.4">
      <c r="A13" s="396"/>
      <c r="B13" s="396"/>
      <c r="C13" s="396"/>
      <c r="D13" s="396"/>
      <c r="E13" s="396"/>
      <c r="F13" s="396"/>
      <c r="G13" s="396"/>
      <c r="H13" s="396"/>
      <c r="I13" s="396"/>
      <c r="J13" s="396"/>
      <c r="K13" s="396"/>
      <c r="L13" s="396"/>
      <c r="M13" s="396"/>
      <c r="N13" s="396"/>
      <c r="O13" s="633"/>
      <c r="P13" s="634"/>
      <c r="Q13" s="635"/>
      <c r="R13" s="621"/>
      <c r="S13" s="619"/>
      <c r="T13" s="617"/>
      <c r="U13" s="623"/>
      <c r="V13" s="625"/>
      <c r="W13" s="623"/>
      <c r="X13" s="617"/>
      <c r="Y13" s="619"/>
      <c r="Z13" s="621"/>
      <c r="AA13" s="619"/>
      <c r="AB13" s="617"/>
      <c r="AC13" s="623"/>
      <c r="AD13" s="614"/>
      <c r="AE13" s="615"/>
      <c r="AF13" s="615"/>
      <c r="AG13" s="615"/>
      <c r="AH13" s="615"/>
    </row>
    <row r="14" spans="1:34" ht="40.4" customHeight="1" thickBot="1" x14ac:dyDescent="0.4">
      <c r="A14" s="384">
        <v>1</v>
      </c>
      <c r="B14" s="384" t="s">
        <v>510</v>
      </c>
      <c r="C14" s="384" t="s">
        <v>830</v>
      </c>
      <c r="D14" s="384" t="s">
        <v>118</v>
      </c>
      <c r="E14" s="384" t="s">
        <v>119</v>
      </c>
      <c r="F14" s="382"/>
      <c r="G14" s="384" t="s">
        <v>120</v>
      </c>
      <c r="H14" s="626" t="s">
        <v>1934</v>
      </c>
      <c r="I14" s="384" t="s">
        <v>615</v>
      </c>
      <c r="J14" s="374" t="s">
        <v>616</v>
      </c>
      <c r="K14" s="374" t="s">
        <v>152</v>
      </c>
      <c r="L14" s="374" t="s">
        <v>520</v>
      </c>
      <c r="M14" s="377">
        <v>45658</v>
      </c>
      <c r="N14" s="377">
        <v>46022</v>
      </c>
      <c r="O14" s="60" t="s">
        <v>91</v>
      </c>
      <c r="P14" s="53">
        <f>+(P15*Q14)</f>
        <v>0.25</v>
      </c>
      <c r="Q14" s="66">
        <f t="shared" ref="Q14:Q21" si="0">SUM(R14:AD14)</f>
        <v>1</v>
      </c>
      <c r="R14" s="43"/>
      <c r="S14" s="43"/>
      <c r="T14" s="43"/>
      <c r="U14" s="43"/>
      <c r="V14" s="43"/>
      <c r="W14" s="43"/>
      <c r="X14" s="43">
        <v>0.5</v>
      </c>
      <c r="Y14" s="43"/>
      <c r="Z14" s="44"/>
      <c r="AA14" s="44"/>
      <c r="AB14" s="44"/>
      <c r="AC14" s="44"/>
      <c r="AD14" s="44">
        <v>0.5</v>
      </c>
      <c r="AE14" s="539" t="s">
        <v>166</v>
      </c>
      <c r="AF14" s="539" t="s">
        <v>167</v>
      </c>
      <c r="AG14" s="539" t="s">
        <v>168</v>
      </c>
      <c r="AH14" s="539" t="s">
        <v>169</v>
      </c>
    </row>
    <row r="15" spans="1:34" ht="37.4" customHeight="1" thickBot="1" x14ac:dyDescent="0.4">
      <c r="A15" s="385"/>
      <c r="B15" s="385"/>
      <c r="C15" s="385"/>
      <c r="D15" s="385"/>
      <c r="E15" s="385"/>
      <c r="F15" s="399"/>
      <c r="G15" s="385"/>
      <c r="H15" s="627"/>
      <c r="I15" s="385"/>
      <c r="J15" s="375"/>
      <c r="K15" s="375"/>
      <c r="L15" s="375"/>
      <c r="M15" s="375"/>
      <c r="N15" s="375"/>
      <c r="O15" s="60" t="s">
        <v>96</v>
      </c>
      <c r="P15" s="52">
        <f>100%/4</f>
        <v>0.25</v>
      </c>
      <c r="Q15" s="66">
        <f t="shared" si="0"/>
        <v>1</v>
      </c>
      <c r="R15" s="42"/>
      <c r="S15" s="42"/>
      <c r="T15" s="42"/>
      <c r="U15" s="42"/>
      <c r="V15" s="42"/>
      <c r="W15" s="42"/>
      <c r="X15" s="42">
        <v>0.5</v>
      </c>
      <c r="Y15" s="42"/>
      <c r="Z15" s="42"/>
      <c r="AA15" s="42"/>
      <c r="AB15" s="42"/>
      <c r="AC15" s="42"/>
      <c r="AD15" s="42">
        <v>0.5</v>
      </c>
      <c r="AE15" s="540"/>
      <c r="AF15" s="540"/>
      <c r="AG15" s="540"/>
      <c r="AH15" s="540"/>
    </row>
    <row r="16" spans="1:34" ht="37.4" customHeight="1" thickBot="1" x14ac:dyDescent="0.4">
      <c r="A16" s="384">
        <v>2</v>
      </c>
      <c r="B16" s="384" t="s">
        <v>510</v>
      </c>
      <c r="C16" s="384" t="s">
        <v>830</v>
      </c>
      <c r="D16" s="384" t="s">
        <v>118</v>
      </c>
      <c r="E16" s="384" t="s">
        <v>119</v>
      </c>
      <c r="F16" s="382"/>
      <c r="G16" s="384" t="s">
        <v>120</v>
      </c>
      <c r="H16" s="384" t="s">
        <v>170</v>
      </c>
      <c r="I16" s="384" t="s">
        <v>617</v>
      </c>
      <c r="J16" s="374" t="s">
        <v>616</v>
      </c>
      <c r="K16" s="374" t="s">
        <v>171</v>
      </c>
      <c r="L16" s="374" t="s">
        <v>525</v>
      </c>
      <c r="M16" s="377">
        <v>45658</v>
      </c>
      <c r="N16" s="377">
        <v>46022</v>
      </c>
      <c r="O16" s="60" t="s">
        <v>91</v>
      </c>
      <c r="P16" s="53">
        <f>+(P17*Q16)</f>
        <v>0.25</v>
      </c>
      <c r="Q16" s="66">
        <f t="shared" si="0"/>
        <v>1</v>
      </c>
      <c r="R16" s="43"/>
      <c r="S16" s="43"/>
      <c r="T16" s="43"/>
      <c r="U16" s="43"/>
      <c r="V16" s="43"/>
      <c r="W16" s="43"/>
      <c r="X16" s="43">
        <v>0.5</v>
      </c>
      <c r="Y16" s="43"/>
      <c r="Z16" s="44"/>
      <c r="AA16" s="44"/>
      <c r="AB16" s="44"/>
      <c r="AC16" s="44"/>
      <c r="AD16" s="44">
        <v>0.5</v>
      </c>
      <c r="AE16" s="480"/>
      <c r="AF16" s="539" t="s">
        <v>172</v>
      </c>
      <c r="AG16" s="628"/>
      <c r="AH16" s="539" t="s">
        <v>173</v>
      </c>
    </row>
    <row r="17" spans="1:34" ht="37.4" customHeight="1" thickBot="1" x14ac:dyDescent="0.4">
      <c r="A17" s="385"/>
      <c r="B17" s="385"/>
      <c r="C17" s="385"/>
      <c r="D17" s="385"/>
      <c r="E17" s="385"/>
      <c r="F17" s="383"/>
      <c r="G17" s="385"/>
      <c r="H17" s="385"/>
      <c r="I17" s="385"/>
      <c r="J17" s="375"/>
      <c r="K17" s="375"/>
      <c r="L17" s="375"/>
      <c r="M17" s="375"/>
      <c r="N17" s="375"/>
      <c r="O17" s="60" t="s">
        <v>96</v>
      </c>
      <c r="P17" s="52">
        <f>100%/4</f>
        <v>0.25</v>
      </c>
      <c r="Q17" s="66">
        <f t="shared" si="0"/>
        <v>1</v>
      </c>
      <c r="R17" s="42"/>
      <c r="S17" s="42"/>
      <c r="T17" s="42"/>
      <c r="U17" s="42"/>
      <c r="V17" s="42"/>
      <c r="W17" s="42"/>
      <c r="X17" s="42">
        <v>0.5</v>
      </c>
      <c r="Y17" s="42"/>
      <c r="Z17" s="42"/>
      <c r="AA17" s="42"/>
      <c r="AB17" s="42"/>
      <c r="AC17" s="42"/>
      <c r="AD17" s="42">
        <v>0.5</v>
      </c>
      <c r="AE17" s="481"/>
      <c r="AF17" s="540"/>
      <c r="AG17" s="629"/>
      <c r="AH17" s="540"/>
    </row>
    <row r="18" spans="1:34" ht="37.4" customHeight="1" thickBot="1" x14ac:dyDescent="0.4">
      <c r="A18" s="384">
        <v>3</v>
      </c>
      <c r="B18" s="384" t="s">
        <v>510</v>
      </c>
      <c r="C18" s="384" t="s">
        <v>830</v>
      </c>
      <c r="D18" s="384" t="s">
        <v>118</v>
      </c>
      <c r="E18" s="384" t="s">
        <v>119</v>
      </c>
      <c r="F18" s="382"/>
      <c r="G18" s="384" t="s">
        <v>120</v>
      </c>
      <c r="H18" s="384" t="s">
        <v>618</v>
      </c>
      <c r="I18" s="384" t="s">
        <v>619</v>
      </c>
      <c r="J18" s="374" t="s">
        <v>616</v>
      </c>
      <c r="K18" s="384" t="s">
        <v>176</v>
      </c>
      <c r="L18" s="374" t="s">
        <v>525</v>
      </c>
      <c r="M18" s="377">
        <v>45658</v>
      </c>
      <c r="N18" s="377">
        <v>46022</v>
      </c>
      <c r="O18" s="60" t="s">
        <v>91</v>
      </c>
      <c r="P18" s="53">
        <f>+(P19*Q18)</f>
        <v>0.25</v>
      </c>
      <c r="Q18" s="66">
        <f t="shared" si="0"/>
        <v>1</v>
      </c>
      <c r="R18" s="43"/>
      <c r="S18" s="43"/>
      <c r="T18" s="43"/>
      <c r="U18" s="43"/>
      <c r="V18" s="43"/>
      <c r="W18" s="43"/>
      <c r="X18" s="43">
        <v>0.5</v>
      </c>
      <c r="Y18" s="43"/>
      <c r="Z18" s="44"/>
      <c r="AA18" s="44"/>
      <c r="AB18" s="44"/>
      <c r="AC18" s="44"/>
      <c r="AD18" s="44">
        <v>0.5</v>
      </c>
      <c r="AE18" s="480"/>
      <c r="AF18" s="539" t="s">
        <v>174</v>
      </c>
      <c r="AG18" s="628"/>
      <c r="AH18" s="628" t="s">
        <v>175</v>
      </c>
    </row>
    <row r="19" spans="1:34" ht="37.4" customHeight="1" thickBot="1" x14ac:dyDescent="0.4">
      <c r="A19" s="385"/>
      <c r="B19" s="385"/>
      <c r="C19" s="385"/>
      <c r="D19" s="385"/>
      <c r="E19" s="385"/>
      <c r="F19" s="383"/>
      <c r="G19" s="385"/>
      <c r="H19" s="385"/>
      <c r="I19" s="385"/>
      <c r="J19" s="375"/>
      <c r="K19" s="385"/>
      <c r="L19" s="375"/>
      <c r="M19" s="375"/>
      <c r="N19" s="375"/>
      <c r="O19" s="60" t="s">
        <v>96</v>
      </c>
      <c r="P19" s="52">
        <f>100%/4</f>
        <v>0.25</v>
      </c>
      <c r="Q19" s="66">
        <f t="shared" si="0"/>
        <v>1</v>
      </c>
      <c r="R19" s="42"/>
      <c r="S19" s="42"/>
      <c r="T19" s="42"/>
      <c r="U19" s="42"/>
      <c r="V19" s="42"/>
      <c r="W19" s="42"/>
      <c r="X19" s="42">
        <v>0.5</v>
      </c>
      <c r="Y19" s="42"/>
      <c r="Z19" s="42"/>
      <c r="AA19" s="42"/>
      <c r="AB19" s="42"/>
      <c r="AC19" s="42"/>
      <c r="AD19" s="42">
        <v>0.5</v>
      </c>
      <c r="AE19" s="481"/>
      <c r="AF19" s="540"/>
      <c r="AG19" s="629"/>
      <c r="AH19" s="629"/>
    </row>
    <row r="20" spans="1:34" ht="37.4" customHeight="1" thickBot="1" x14ac:dyDescent="0.4">
      <c r="A20" s="384">
        <v>4</v>
      </c>
      <c r="B20" s="384" t="s">
        <v>510</v>
      </c>
      <c r="C20" s="384" t="s">
        <v>830</v>
      </c>
      <c r="D20" s="384" t="s">
        <v>118</v>
      </c>
      <c r="E20" s="384" t="s">
        <v>119</v>
      </c>
      <c r="F20" s="382"/>
      <c r="G20" s="384" t="s">
        <v>120</v>
      </c>
      <c r="H20" s="384" t="s">
        <v>161</v>
      </c>
      <c r="I20" s="384" t="s">
        <v>162</v>
      </c>
      <c r="J20" s="384" t="s">
        <v>616</v>
      </c>
      <c r="K20" s="384" t="s">
        <v>620</v>
      </c>
      <c r="L20" s="374" t="s">
        <v>525</v>
      </c>
      <c r="M20" s="377">
        <v>45658</v>
      </c>
      <c r="N20" s="377">
        <v>46022</v>
      </c>
      <c r="O20" s="60" t="s">
        <v>91</v>
      </c>
      <c r="P20" s="53">
        <f>+(P21*Q20)</f>
        <v>0.25</v>
      </c>
      <c r="Q20" s="66">
        <f t="shared" si="0"/>
        <v>1</v>
      </c>
      <c r="R20" s="43"/>
      <c r="S20" s="43"/>
      <c r="T20" s="43"/>
      <c r="U20" s="43"/>
      <c r="V20" s="43"/>
      <c r="W20" s="43"/>
      <c r="X20" s="43"/>
      <c r="Y20" s="43"/>
      <c r="Z20" s="44"/>
      <c r="AA20" s="44"/>
      <c r="AB20" s="44"/>
      <c r="AC20" s="44"/>
      <c r="AD20" s="44">
        <v>1</v>
      </c>
      <c r="AE20" s="539" t="s">
        <v>178</v>
      </c>
      <c r="AF20" s="539" t="s">
        <v>179</v>
      </c>
      <c r="AG20" s="628" t="s">
        <v>180</v>
      </c>
      <c r="AH20" s="628" t="s">
        <v>181</v>
      </c>
    </row>
    <row r="21" spans="1:34" ht="37.4" customHeight="1" x14ac:dyDescent="0.35">
      <c r="A21" s="385"/>
      <c r="B21" s="385"/>
      <c r="C21" s="385"/>
      <c r="D21" s="385"/>
      <c r="E21" s="385"/>
      <c r="F21" s="383"/>
      <c r="G21" s="630"/>
      <c r="H21" s="630"/>
      <c r="I21" s="630"/>
      <c r="J21" s="630"/>
      <c r="K21" s="630"/>
      <c r="L21" s="375"/>
      <c r="M21" s="632"/>
      <c r="N21" s="632"/>
      <c r="O21" s="60" t="s">
        <v>96</v>
      </c>
      <c r="P21" s="52">
        <f>100%/4</f>
        <v>0.25</v>
      </c>
      <c r="Q21" s="66">
        <f t="shared" si="0"/>
        <v>1</v>
      </c>
      <c r="R21" s="42"/>
      <c r="S21" s="42"/>
      <c r="T21" s="42"/>
      <c r="U21" s="42"/>
      <c r="V21" s="42"/>
      <c r="W21" s="42"/>
      <c r="X21" s="42"/>
      <c r="Y21" s="42"/>
      <c r="Z21" s="42"/>
      <c r="AA21" s="42"/>
      <c r="AB21" s="42"/>
      <c r="AC21" s="42"/>
      <c r="AD21" s="42">
        <v>1</v>
      </c>
      <c r="AE21" s="540"/>
      <c r="AF21" s="540"/>
      <c r="AG21" s="629"/>
      <c r="AH21" s="629"/>
    </row>
    <row r="23" spans="1:34" s="13" customFormat="1" ht="30" hidden="1" customHeight="1" x14ac:dyDescent="0.35">
      <c r="D23" s="379" t="s">
        <v>42</v>
      </c>
      <c r="E23" s="379"/>
      <c r="F23" s="21">
        <v>1</v>
      </c>
      <c r="H23" s="631" t="s">
        <v>130</v>
      </c>
      <c r="I23" s="22" t="s">
        <v>131</v>
      </c>
      <c r="J23" s="54" t="e">
        <f>SUM(O23:AC23)</f>
        <v>#REF!</v>
      </c>
      <c r="K23" s="33"/>
      <c r="L23" s="33"/>
      <c r="M23" s="33"/>
      <c r="N23" s="33"/>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1"/>
    </row>
    <row r="24" spans="1:34" s="13" customFormat="1" ht="30" hidden="1" customHeight="1" x14ac:dyDescent="0.35">
      <c r="D24" s="379"/>
      <c r="E24" s="379"/>
      <c r="F24" s="21"/>
      <c r="H24" s="546"/>
      <c r="I24" s="15" t="s">
        <v>132</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2"/>
    </row>
    <row r="25" spans="1:34" s="13" customFormat="1" ht="30" hidden="1" customHeight="1" x14ac:dyDescent="0.35">
      <c r="H25" s="546"/>
      <c r="I25" s="15" t="s">
        <v>133</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2"/>
    </row>
    <row r="26" spans="1:34" s="13" customFormat="1" ht="30" hidden="1" customHeight="1" thickBot="1" x14ac:dyDescent="0.4">
      <c r="H26" s="547"/>
      <c r="I26" s="18" t="s">
        <v>134</v>
      </c>
      <c r="J26" s="19"/>
      <c r="K26" s="35"/>
      <c r="L26" s="35"/>
      <c r="M26" s="35"/>
      <c r="N26" s="35"/>
      <c r="O26" s="35"/>
      <c r="P26" s="38"/>
      <c r="Q26" s="35"/>
      <c r="R26" s="35"/>
      <c r="S26" s="28"/>
      <c r="T26" s="29"/>
      <c r="U26" s="29"/>
      <c r="V26" s="29"/>
      <c r="W26" s="29"/>
      <c r="X26" s="29"/>
      <c r="Y26" s="29"/>
      <c r="Z26" s="29"/>
      <c r="AA26" s="29" t="e">
        <f>+O25+AA25</f>
        <v>#REF!</v>
      </c>
      <c r="AB26" s="40"/>
      <c r="AC26" s="29"/>
      <c r="AD26" s="62"/>
    </row>
    <row r="27" spans="1:34" s="13" customFormat="1" ht="30" hidden="1" customHeight="1" x14ac:dyDescent="0.35">
      <c r="H27" s="545" t="s">
        <v>135</v>
      </c>
      <c r="I27" s="15" t="s">
        <v>136</v>
      </c>
      <c r="J27" s="23" t="e">
        <f>SUM(O27:AC27)</f>
        <v>#REF!</v>
      </c>
      <c r="K27" s="34"/>
      <c r="L27" s="34"/>
      <c r="M27" s="34"/>
      <c r="N27" s="34"/>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1"/>
    </row>
    <row r="28" spans="1:34" s="13" customFormat="1" ht="30" hidden="1" customHeight="1" x14ac:dyDescent="0.35">
      <c r="H28" s="546"/>
      <c r="I28" s="15" t="s">
        <v>137</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1"/>
    </row>
    <row r="29" spans="1:34" s="13" customFormat="1" ht="30" hidden="1" customHeight="1" x14ac:dyDescent="0.35">
      <c r="H29" s="546"/>
      <c r="I29" s="15" t="s">
        <v>138</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2"/>
    </row>
    <row r="30" spans="1:34" s="13" customFormat="1" ht="30" hidden="1" customHeight="1" thickBot="1" x14ac:dyDescent="0.4">
      <c r="H30" s="547"/>
      <c r="I30" s="20" t="s">
        <v>139</v>
      </c>
      <c r="J30" s="19"/>
      <c r="K30" s="35"/>
      <c r="L30" s="35"/>
      <c r="M30" s="35"/>
      <c r="N30" s="35"/>
      <c r="O30" s="35"/>
      <c r="P30" s="38"/>
      <c r="Q30" s="35"/>
      <c r="R30" s="35"/>
      <c r="S30" s="28"/>
      <c r="T30" s="29"/>
      <c r="U30" s="29"/>
      <c r="V30" s="29"/>
      <c r="W30" s="29"/>
      <c r="X30" s="29"/>
      <c r="Y30" s="29"/>
      <c r="Z30" s="29"/>
      <c r="AA30" s="29" t="e">
        <f>+O29+AA29</f>
        <v>#REF!</v>
      </c>
      <c r="AB30" s="40"/>
      <c r="AC30" s="41"/>
      <c r="AD30" s="62"/>
    </row>
    <row r="31" spans="1:34" ht="30" hidden="1" customHeight="1" x14ac:dyDescent="0.35">
      <c r="H31" s="24"/>
      <c r="I31" s="380" t="s">
        <v>140</v>
      </c>
      <c r="J31" s="380"/>
      <c r="K31" s="46"/>
      <c r="L31" s="46"/>
      <c r="M31" s="46"/>
      <c r="N31" s="46"/>
      <c r="O31" s="47" t="e">
        <f>+(#REF!+#REF!+#REF!+#REF!+#REF!+#REF!+#REF!+O23)/(#REF!+#REF!+#REF!+#REF!+#REF!+#REF!+#REF!+O27)</f>
        <v>#REF!</v>
      </c>
      <c r="P31" s="48" t="e">
        <f>+(#REF!+#REF!+#REF!+#REF!+#REF!+#REF!+#REF!+O23+P23)/(#REF!+#REF!+#REF!+#REF!+#REF!+#REF!+#REF!+O27+P27)</f>
        <v>#REF!</v>
      </c>
      <c r="Q31" s="46" t="e">
        <f>+(#REF!+#REF!+#REF!+#REF!+#REF!+#REF!+#REF!+O23+P23+Q23)/(#REF!+#REF!+#REF!+#REF!+#REF!+#REF!+#REF!+O27+P27+Q27)</f>
        <v>#REF!</v>
      </c>
      <c r="R31" s="46" t="e">
        <f>+(#REF!+#REF!+#REF!+#REF!+#REF!+#REF!+#REF!+O23+P23+Q23+R23)/(#REF!+#REF!+#REF!+#REF!+#REF!+#REF!+#REF!+O27+P27+Q27+R27)</f>
        <v>#REF!</v>
      </c>
      <c r="S31" s="47" t="e">
        <f>+(#REF!+#REF!+#REF!+#REF!+#REF!+#REF!+#REF!+O23+P23+Q23+R23+S23)/(#REF!+#REF!+#REF!+#REF!+#REF!+#REF!+#REF!+O27+P27+Q27+R27+S27)</f>
        <v>#REF!</v>
      </c>
      <c r="T31" s="46" t="e">
        <f>+(#REF!+#REF!+#REF!+#REF!+#REF!+#REF!+#REF!+O23+P23+Q23+R23+S23+T23)/(#REF!+#REF!+#REF!+#REF!+#REF!+#REF!+#REF!+O27+P27+Q27+R27+S27+T27)</f>
        <v>#REF!</v>
      </c>
      <c r="U31" s="46" t="e">
        <f>+(#REF!+#REF!+#REF!+#REF!+#REF!+#REF!+#REF!+O23+P23+Q23+R23+S23+T23+U23)/(#REF!+#REF!+#REF!+#REF!+#REF!+#REF!+#REF!+O27+P27+Q27+R27+S27+T27+U27)</f>
        <v>#REF!</v>
      </c>
      <c r="V31" s="46" t="e">
        <f>+(#REF!+#REF!+#REF!+#REF!+#REF!+#REF!+#REF!+O23+P23+Q23+R23+S23+T23+U23+V23)/(#REF!+#REF!+#REF!+#REF!+#REF!+#REF!+#REF!+O27+P27+Q27+R27+S27+T27+U27+V27)</f>
        <v>#REF!</v>
      </c>
      <c r="W31" s="47" t="e">
        <f>+(#REF!+#REF!+#REF!+#REF!+#REF!+#REF!+#REF!+O23+P23+Q23+R23+S23+T23+U23+V23+W23)/(#REF!+#REF!+#REF!+#REF!+#REF!+#REF!+#REF!+O27+P27+Q27+R27+S27+T27+U27+V27+W27)</f>
        <v>#REF!</v>
      </c>
      <c r="X31" s="46" t="e">
        <f>+(#REF!+#REF!+#REF!+#REF!+#REF!+#REF!+#REF!+O23+P23+Q23+R23+S23+T23+U23+V23+W23+X23)/(#REF!+#REF!+#REF!+#REF!+#REF!+#REF!+#REF!+O27+P27+Q27+R27+S27+T27+U27+V27+W27+X27)</f>
        <v>#REF!</v>
      </c>
      <c r="Y31" s="46" t="e">
        <f>+(#REF!+#REF!+#REF!+#REF!+#REF!+#REF!+#REF!+O23+P23+Q23+R23+S23+T23+U23+V23+W23+X23+Y23)/(#REF!+#REF!+#REF!+#REF!+#REF!+#REF!+#REF!+O27+P27+Q27+R27+S27+T27+U27+V27+W27+X27+Y27)</f>
        <v>#REF!</v>
      </c>
      <c r="Z31" s="46" t="e">
        <f>+(#REF!+#REF!+#REF!+#REF!+#REF!+#REF!+#REF!+O23+P23+Q23+R23+S23+T23+U23+V23+W23+X23+Y23+Z23)/(#REF!+#REF!+#REF!+#REF!+#REF!+#REF!+#REF!+O27+P27+Q27+R27+S27+T27+U27+V27+W27+X27+Y27+Z27)</f>
        <v>#REF!</v>
      </c>
      <c r="AA31" s="47" t="e">
        <f>+(#REF!+#REF!+#REF!+#REF!+#REF!+#REF!+#REF!+O23+P23+Q23+R23+S23+T23+U23+V23+W23+X23+Y23+Z23+AA23)/(#REF!+#REF!+#REF!+#REF!+#REF!+#REF!+#REF!+O27+P27+Q27+R27+S27+T27+U27+V27+W27+X27+Y27+Z27+AA27)</f>
        <v>#REF!</v>
      </c>
      <c r="AB31" s="48" t="e">
        <f>+(#REF!+#REF!+#REF!+#REF!+#REF!+#REF!+#REF!+O23+P23+Q23+R23+S23+T23+U23+V23+W23+X23+Y23+Z23+AA23+AB23)/(#REF!+#REF!+#REF!+#REF!+#REF!+#REF!+#REF!+O27+P27+Q27+R27+S27+T27+U27+V27+W27+X27+Y27+Z27+AA27+AB27)</f>
        <v>#REF!</v>
      </c>
      <c r="AC31" s="46" t="e">
        <f>+(#REF!+#REF!+#REF!+#REF!+#REF!+#REF!+#REF!+O23+P23+Q23+R23+S23+T23+U23+V23+W23+X23+Y23+Z23+AA23+AB23+AC23)/(#REF!+#REF!+#REF!+#REF!+#REF!+#REF!+#REF!+O27+P27+Q27+R27+S27+T27+U27+V27+W27+X27+Y27+Z27+AA27+AB27+AC27)</f>
        <v>#REF!</v>
      </c>
      <c r="AD31" s="63"/>
    </row>
    <row r="32" spans="1:34" ht="30" hidden="1" customHeight="1" x14ac:dyDescent="0.35">
      <c r="H32" s="24"/>
      <c r="I32" s="381" t="s">
        <v>141</v>
      </c>
      <c r="J32" s="381"/>
      <c r="K32" s="47"/>
      <c r="L32" s="47"/>
      <c r="M32" s="47"/>
      <c r="N32" s="47"/>
      <c r="O32" s="47" t="e">
        <f>+(#REF!+#REF!+#REF!+#REF!+#REF!+#REF!+#REF!+O23)/$F$23</f>
        <v>#REF!</v>
      </c>
      <c r="P32" s="49" t="e">
        <f>+(#REF!+#REF!+#REF!+#REF!+#REF!+#REF!+#REF!+O23+P23)/$F$23</f>
        <v>#REF!</v>
      </c>
      <c r="Q32" s="47" t="e">
        <f>+(#REF!+#REF!+#REF!+#REF!+#REF!+#REF!+#REF!+O23+P23+Q23)/$F$23</f>
        <v>#REF!</v>
      </c>
      <c r="R32" s="47" t="e">
        <f>+(#REF!+#REF!+#REF!+#REF!+#REF!+#REF!+#REF!+O23+P23+Q23+R23)/$F$23</f>
        <v>#REF!</v>
      </c>
      <c r="S32" s="47" t="e">
        <f>+(#REF!+#REF!+#REF!+#REF!+#REF!+#REF!+#REF!+O23+P23+Q23+R23+S23)/$F$23</f>
        <v>#REF!</v>
      </c>
      <c r="T32" s="47" t="e">
        <f>+(#REF!+#REF!+#REF!+#REF!+#REF!+#REF!+#REF!+O23+P23+Q23+R23+S23+T23)/$F$23</f>
        <v>#REF!</v>
      </c>
      <c r="U32" s="47" t="e">
        <f>+(#REF!+#REF!+#REF!+#REF!+#REF!+#REF!+#REF!+O23+P23+Q23+R23+S23+T23+U23)/$F$23</f>
        <v>#REF!</v>
      </c>
      <c r="V32" s="47" t="e">
        <f>+(#REF!+#REF!+#REF!+#REF!+#REF!+#REF!+#REF!+O23+P23+Q23+R23+S23+T23+U23+V23)/$F$23</f>
        <v>#REF!</v>
      </c>
      <c r="W32" s="47" t="e">
        <f>+(#REF!+#REF!+#REF!+#REF!+#REF!+#REF!+#REF!+O23+P23+Q23+R23+S23+T23+U23+V23+W23)/$F$23</f>
        <v>#REF!</v>
      </c>
      <c r="X32" s="47" t="e">
        <f>+(#REF!+#REF!+#REF!+#REF!+#REF!+#REF!+#REF!+O23+P23+Q23+R23+S23+T23+U23+V23+W23+X23)/$F$23</f>
        <v>#REF!</v>
      </c>
      <c r="Y32" s="47" t="e">
        <f>+(#REF!+#REF!+#REF!+#REF!+#REF!+#REF!+#REF!+O23+P23+Q23+R23+S23+T23+U23+V23+W23+X23+Y23)/$F$23</f>
        <v>#REF!</v>
      </c>
      <c r="Z32" s="47" t="e">
        <f>+(#REF!+#REF!+#REF!+#REF!+#REF!+#REF!+#REF!+O23+P23+Q23+R23+S23+T23+U23+V23+W23+X23+Y23+Z23)/$F$23</f>
        <v>#REF!</v>
      </c>
      <c r="AA32" s="47" t="e">
        <f>+(#REF!+#REF!+#REF!+#REF!+#REF!+#REF!+#REF!+O23+P23+Q23+R23+S23+T23+U23+V23+W23+X23+Y23+Z23+AA23)/$F$23</f>
        <v>#REF!</v>
      </c>
      <c r="AB32" s="49" t="e">
        <f>+(#REF!+#REF!+#REF!+#REF!+#REF!+#REF!+#REF!+O23+P23+Q23+R23+S23+T23+U23+V23+W23+X23+Y23+Z23+AA23+AB23)/$F$23</f>
        <v>#REF!</v>
      </c>
      <c r="AC32" s="47" t="e">
        <f>+(#REF!+#REF!+#REF!+#REF!+#REF!+#REF!+#REF!+O23+P23+Q23+R23+S23+T23+U23+V23+W23+X23+Y23+Z23+AA23+AB23+AC23)/$F$23</f>
        <v>#REF!</v>
      </c>
      <c r="AD32" s="64"/>
    </row>
    <row r="33" spans="2:30" ht="30" hidden="1" customHeight="1" x14ac:dyDescent="0.35">
      <c r="I33" s="380" t="s">
        <v>142</v>
      </c>
      <c r="J33" s="380"/>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65"/>
    </row>
    <row r="34" spans="2:30" ht="30" hidden="1" customHeight="1" x14ac:dyDescent="0.35">
      <c r="I34" s="381" t="s">
        <v>143</v>
      </c>
      <c r="J34" s="381"/>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65"/>
    </row>
    <row r="35" spans="2:30" ht="30" hidden="1" customHeight="1" x14ac:dyDescent="0.35">
      <c r="I35" s="380" t="s">
        <v>144</v>
      </c>
      <c r="J35" s="380"/>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65"/>
    </row>
    <row r="36" spans="2:30" ht="30" hidden="1" customHeight="1" x14ac:dyDescent="0.35">
      <c r="I36" s="380" t="s">
        <v>145</v>
      </c>
      <c r="J36" s="380"/>
      <c r="K36" s="50"/>
      <c r="L36" s="50"/>
      <c r="M36" s="50"/>
      <c r="N36" s="50"/>
      <c r="O36" s="47" t="e">
        <f>+(#REF!+O24)/$F$23</f>
        <v>#REF!</v>
      </c>
      <c r="P36" s="51"/>
      <c r="Q36" s="50"/>
      <c r="R36" s="50"/>
      <c r="S36" s="50"/>
      <c r="T36" s="50"/>
      <c r="U36" s="50"/>
      <c r="V36" s="50"/>
      <c r="W36" s="50"/>
      <c r="X36" s="50"/>
      <c r="Y36" s="50"/>
      <c r="Z36" s="50"/>
      <c r="AA36" s="47" t="e">
        <f>+(+#REF!+O24+S24+W24+AA24)/$F$23</f>
        <v>#REF!</v>
      </c>
      <c r="AB36" s="51"/>
      <c r="AC36" s="50"/>
      <c r="AD36" s="65"/>
    </row>
    <row r="37" spans="2:30" ht="15" hidden="1" customHeight="1" x14ac:dyDescent="0.35"/>
    <row r="38" spans="2:30" ht="35.15" hidden="1" customHeight="1" x14ac:dyDescent="0.35">
      <c r="H38" s="573" t="s">
        <v>146</v>
      </c>
      <c r="I38" s="573"/>
      <c r="J38" s="30" t="e">
        <f>+#REF!</f>
        <v>#REF!</v>
      </c>
      <c r="K38" s="32"/>
      <c r="L38" s="32"/>
      <c r="M38" s="32"/>
      <c r="N38" s="32"/>
    </row>
    <row r="39" spans="2:30" ht="35.15" hidden="1" customHeight="1" thickBot="1" x14ac:dyDescent="0.4">
      <c r="H39" s="573" t="s">
        <v>147</v>
      </c>
      <c r="I39" s="573"/>
      <c r="J39" s="25">
        <f>+F23</f>
        <v>1</v>
      </c>
      <c r="K39" s="32"/>
      <c r="L39" s="32"/>
      <c r="M39" s="32"/>
      <c r="N39" s="32"/>
    </row>
    <row r="40" spans="2:30" ht="35.15" hidden="1" customHeight="1" thickBot="1" x14ac:dyDescent="0.4">
      <c r="H40" s="573" t="s">
        <v>148</v>
      </c>
      <c r="I40" s="573"/>
      <c r="J40" s="31" t="e">
        <f>+J38/J39</f>
        <v>#REF!</v>
      </c>
      <c r="K40" s="32"/>
      <c r="L40" s="32"/>
      <c r="M40" s="32"/>
      <c r="N40" s="32"/>
    </row>
    <row r="41" spans="2:30" ht="15" hidden="1" customHeight="1" x14ac:dyDescent="0.35">
      <c r="K41" s="32"/>
      <c r="L41" s="32"/>
      <c r="M41" s="32"/>
      <c r="N41" s="32"/>
    </row>
    <row r="42" spans="2:30" ht="15" hidden="1" customHeight="1" x14ac:dyDescent="0.35">
      <c r="B42" s="371" t="s">
        <v>51</v>
      </c>
      <c r="C42" s="371" t="s">
        <v>52</v>
      </c>
      <c r="D42" s="371" t="s">
        <v>53</v>
      </c>
      <c r="E42" s="371" t="s">
        <v>54</v>
      </c>
      <c r="F42" s="371" t="s">
        <v>30</v>
      </c>
      <c r="G42" s="373" t="s">
        <v>55</v>
      </c>
      <c r="M42" s="373" t="s">
        <v>509</v>
      </c>
      <c r="N42" s="32"/>
    </row>
    <row r="43" spans="2:30" ht="15" hidden="1" customHeight="1" x14ac:dyDescent="0.35">
      <c r="B43" s="372"/>
      <c r="C43" s="372"/>
      <c r="D43" s="372"/>
      <c r="E43" s="372"/>
      <c r="F43" s="372"/>
      <c r="G43" s="372"/>
      <c r="M43" s="372"/>
      <c r="N43" s="32"/>
    </row>
    <row r="44" spans="2:30" ht="15" hidden="1" customHeight="1" x14ac:dyDescent="0.35">
      <c r="B44" s="1" t="s">
        <v>510</v>
      </c>
      <c r="C44" s="13" t="s">
        <v>829</v>
      </c>
      <c r="D44" s="1" t="s">
        <v>118</v>
      </c>
      <c r="E44" s="1" t="s">
        <v>119</v>
      </c>
      <c r="F44" s="1" t="s">
        <v>512</v>
      </c>
      <c r="G44" s="1" t="s">
        <v>513</v>
      </c>
      <c r="M44" s="13" t="s">
        <v>514</v>
      </c>
    </row>
    <row r="45" spans="2:30" ht="15" hidden="1" customHeight="1" x14ac:dyDescent="0.35">
      <c r="B45" s="1" t="s">
        <v>515</v>
      </c>
      <c r="C45" s="13" t="s">
        <v>830</v>
      </c>
      <c r="D45" s="1" t="s">
        <v>254</v>
      </c>
      <c r="E45" s="1" t="s">
        <v>517</v>
      </c>
      <c r="F45" s="1" t="s">
        <v>518</v>
      </c>
      <c r="G45" s="1" t="s">
        <v>519</v>
      </c>
      <c r="M45" s="13" t="s">
        <v>520</v>
      </c>
    </row>
    <row r="46" spans="2:30" ht="15" hidden="1" customHeight="1" x14ac:dyDescent="0.35">
      <c r="B46" s="1" t="s">
        <v>521</v>
      </c>
      <c r="C46" s="13" t="s">
        <v>826</v>
      </c>
      <c r="D46" s="1" t="s">
        <v>84</v>
      </c>
      <c r="E46" s="1" t="s">
        <v>255</v>
      </c>
      <c r="F46" s="1" t="s">
        <v>523</v>
      </c>
      <c r="G46" s="1" t="s">
        <v>524</v>
      </c>
      <c r="M46" s="13" t="s">
        <v>525</v>
      </c>
    </row>
    <row r="47" spans="2:30" ht="15" hidden="1" customHeight="1" x14ac:dyDescent="0.35">
      <c r="B47" s="1" t="s">
        <v>526</v>
      </c>
      <c r="C47" s="13" t="s">
        <v>827</v>
      </c>
      <c r="D47" s="1" t="s">
        <v>157</v>
      </c>
      <c r="E47" s="1" t="s">
        <v>528</v>
      </c>
      <c r="F47" s="1" t="s">
        <v>529</v>
      </c>
      <c r="G47" s="1" t="s">
        <v>530</v>
      </c>
    </row>
    <row r="48" spans="2:30" ht="15" hidden="1" customHeight="1" x14ac:dyDescent="0.35">
      <c r="B48" s="1" t="s">
        <v>531</v>
      </c>
      <c r="C48" s="13" t="s">
        <v>828</v>
      </c>
      <c r="D48" s="1" t="s">
        <v>533</v>
      </c>
      <c r="E48" s="1" t="s">
        <v>534</v>
      </c>
      <c r="F48" s="1" t="s">
        <v>535</v>
      </c>
      <c r="G48" s="1" t="s">
        <v>536</v>
      </c>
    </row>
    <row r="49" spans="2:7" ht="15" hidden="1" customHeight="1" x14ac:dyDescent="0.35">
      <c r="B49" s="1" t="s">
        <v>537</v>
      </c>
      <c r="C49" s="13" t="s">
        <v>825</v>
      </c>
      <c r="D49" s="1" t="s">
        <v>539</v>
      </c>
      <c r="E49" s="1" t="s">
        <v>150</v>
      </c>
      <c r="F49" s="1" t="s">
        <v>244</v>
      </c>
      <c r="G49" s="1" t="s">
        <v>384</v>
      </c>
    </row>
    <row r="50" spans="2:7" ht="15" hidden="1" customHeight="1" x14ac:dyDescent="0.35">
      <c r="B50" s="1" t="s">
        <v>540</v>
      </c>
      <c r="C50" s="13" t="s">
        <v>823</v>
      </c>
      <c r="D50" s="1" t="s">
        <v>542</v>
      </c>
      <c r="E50" s="1" t="s">
        <v>112</v>
      </c>
      <c r="F50" s="1" t="s">
        <v>543</v>
      </c>
      <c r="G50" s="1" t="s">
        <v>544</v>
      </c>
    </row>
    <row r="51" spans="2:7" ht="15" hidden="1" customHeight="1" x14ac:dyDescent="0.35">
      <c r="B51" s="1" t="s">
        <v>545</v>
      </c>
      <c r="C51" s="13" t="s">
        <v>821</v>
      </c>
      <c r="E51" s="1" t="s">
        <v>451</v>
      </c>
      <c r="F51" s="1" t="s">
        <v>547</v>
      </c>
      <c r="G51" s="1" t="s">
        <v>426</v>
      </c>
    </row>
    <row r="52" spans="2:7" ht="15" hidden="1" customHeight="1" x14ac:dyDescent="0.35">
      <c r="C52" s="13" t="s">
        <v>822</v>
      </c>
      <c r="E52" s="1" t="s">
        <v>123</v>
      </c>
      <c r="F52" s="1" t="s">
        <v>549</v>
      </c>
      <c r="G52" s="1" t="s">
        <v>97</v>
      </c>
    </row>
    <row r="53" spans="2:7" ht="15" hidden="1" customHeight="1" x14ac:dyDescent="0.35">
      <c r="C53" s="13" t="s">
        <v>824</v>
      </c>
      <c r="E53" s="1" t="s">
        <v>551</v>
      </c>
      <c r="F53" s="1" t="s">
        <v>552</v>
      </c>
      <c r="G53" s="1" t="s">
        <v>120</v>
      </c>
    </row>
    <row r="54" spans="2:7" ht="15" hidden="1" customHeight="1" x14ac:dyDescent="0.35">
      <c r="E54" s="1" t="s">
        <v>85</v>
      </c>
      <c r="F54" s="1" t="s">
        <v>553</v>
      </c>
      <c r="G54" s="1" t="s">
        <v>108</v>
      </c>
    </row>
    <row r="55" spans="2:7" ht="15" hidden="1" customHeight="1" x14ac:dyDescent="0.35">
      <c r="E55" s="1" t="s">
        <v>554</v>
      </c>
      <c r="F55" s="1" t="s">
        <v>555</v>
      </c>
      <c r="G55" s="1" t="s">
        <v>556</v>
      </c>
    </row>
    <row r="56" spans="2:7" ht="15" hidden="1" customHeight="1" x14ac:dyDescent="0.35">
      <c r="E56" s="1" t="s">
        <v>154</v>
      </c>
      <c r="G56" s="1" t="s">
        <v>557</v>
      </c>
    </row>
    <row r="57" spans="2:7" ht="15" hidden="1" customHeight="1" x14ac:dyDescent="0.35">
      <c r="E57" s="1" t="s">
        <v>558</v>
      </c>
      <c r="G57" s="1" t="s">
        <v>559</v>
      </c>
    </row>
    <row r="58" spans="2:7" ht="15" hidden="1" customHeight="1" x14ac:dyDescent="0.35">
      <c r="E58" s="1" t="s">
        <v>560</v>
      </c>
      <c r="G58" s="1" t="s">
        <v>561</v>
      </c>
    </row>
    <row r="59" spans="2:7" ht="15" hidden="1" customHeight="1" x14ac:dyDescent="0.35">
      <c r="E59" s="1" t="s">
        <v>107</v>
      </c>
      <c r="G59" s="1" t="s">
        <v>562</v>
      </c>
    </row>
    <row r="60" spans="2:7" ht="15" hidden="1" customHeight="1" x14ac:dyDescent="0.35">
      <c r="E60" s="1" t="s">
        <v>563</v>
      </c>
      <c r="G60" s="1" t="s">
        <v>564</v>
      </c>
    </row>
    <row r="61" spans="2:7" ht="15" hidden="1" customHeight="1" x14ac:dyDescent="0.35">
      <c r="E61" s="1" t="s">
        <v>565</v>
      </c>
      <c r="G61" s="1" t="s">
        <v>566</v>
      </c>
    </row>
    <row r="62" spans="2:7" ht="15" hidden="1" customHeight="1" x14ac:dyDescent="0.35">
      <c r="E62" s="1" t="s">
        <v>567</v>
      </c>
      <c r="G62" s="1" t="s">
        <v>568</v>
      </c>
    </row>
    <row r="63" spans="2:7" ht="15" hidden="1" customHeight="1" x14ac:dyDescent="0.35">
      <c r="G63" s="1" t="s">
        <v>569</v>
      </c>
    </row>
    <row r="64" spans="2:7" ht="15" hidden="1" customHeight="1" x14ac:dyDescent="0.35">
      <c r="G64" s="1" t="s">
        <v>570</v>
      </c>
    </row>
    <row r="65" spans="7:7" ht="15" hidden="1" customHeight="1" x14ac:dyDescent="0.35">
      <c r="G65" s="1" t="s">
        <v>571</v>
      </c>
    </row>
    <row r="66" spans="7:7" ht="15" hidden="1" customHeight="1" x14ac:dyDescent="0.35">
      <c r="G66" s="1" t="s">
        <v>572</v>
      </c>
    </row>
    <row r="67" spans="7:7" ht="15" hidden="1" customHeight="1" x14ac:dyDescent="0.35">
      <c r="G67" s="1" t="s">
        <v>573</v>
      </c>
    </row>
    <row r="68" spans="7:7" ht="15" hidden="1" customHeight="1" x14ac:dyDescent="0.35">
      <c r="G68" s="1" t="s">
        <v>574</v>
      </c>
    </row>
    <row r="69" spans="7:7" ht="15" hidden="1" customHeight="1" x14ac:dyDescent="0.35">
      <c r="G69" s="1" t="s">
        <v>575</v>
      </c>
    </row>
    <row r="70" spans="7:7" ht="15" hidden="1" customHeight="1" x14ac:dyDescent="0.35">
      <c r="G70" s="1" t="s">
        <v>576</v>
      </c>
    </row>
    <row r="71" spans="7:7" ht="15" hidden="1" customHeight="1" x14ac:dyDescent="0.35">
      <c r="G71" s="1" t="s">
        <v>577</v>
      </c>
    </row>
    <row r="72" spans="7:7" ht="15" hidden="1" customHeight="1" x14ac:dyDescent="0.35">
      <c r="G72" s="1" t="s">
        <v>578</v>
      </c>
    </row>
    <row r="73" spans="7:7" ht="15" hidden="1" customHeight="1" x14ac:dyDescent="0.35">
      <c r="G73" s="1" t="s">
        <v>579</v>
      </c>
    </row>
    <row r="74" spans="7:7" ht="15" hidden="1" customHeight="1" x14ac:dyDescent="0.35">
      <c r="G74" s="1" t="s">
        <v>580</v>
      </c>
    </row>
    <row r="75" spans="7:7" ht="15" hidden="1" customHeight="1" x14ac:dyDescent="0.35">
      <c r="G75" s="1" t="s">
        <v>581</v>
      </c>
    </row>
    <row r="76" spans="7:7" ht="15" hidden="1" customHeight="1" x14ac:dyDescent="0.35">
      <c r="G76" s="1" t="s">
        <v>582</v>
      </c>
    </row>
    <row r="77" spans="7:7" ht="15" hidden="1" customHeight="1" x14ac:dyDescent="0.35">
      <c r="G77" s="1" t="s">
        <v>124</v>
      </c>
    </row>
    <row r="78" spans="7:7" ht="15" hidden="1" customHeight="1" x14ac:dyDescent="0.35">
      <c r="G78" s="1" t="s">
        <v>583</v>
      </c>
    </row>
    <row r="79" spans="7:7" ht="15" hidden="1" customHeight="1" x14ac:dyDescent="0.35">
      <c r="G79" s="1" t="s">
        <v>584</v>
      </c>
    </row>
    <row r="80" spans="7:7" ht="15" hidden="1" customHeight="1" x14ac:dyDescent="0.35">
      <c r="G80" s="1" t="s">
        <v>585</v>
      </c>
    </row>
    <row r="81" spans="7:7" ht="15" hidden="1" customHeight="1" x14ac:dyDescent="0.35">
      <c r="G81" s="1" t="s">
        <v>586</v>
      </c>
    </row>
    <row r="82" spans="7:7" ht="15" hidden="1" customHeight="1" x14ac:dyDescent="0.35">
      <c r="G82" s="1" t="s">
        <v>87</v>
      </c>
    </row>
    <row r="83" spans="7:7" ht="15" hidden="1" customHeight="1" x14ac:dyDescent="0.35">
      <c r="G83" s="1" t="s">
        <v>587</v>
      </c>
    </row>
    <row r="84" spans="7:7" ht="15" hidden="1" customHeight="1" x14ac:dyDescent="0.35">
      <c r="G84" s="1" t="s">
        <v>588</v>
      </c>
    </row>
    <row r="85" spans="7:7" ht="15" hidden="1" customHeight="1" x14ac:dyDescent="0.35">
      <c r="G85" s="1" t="s">
        <v>261</v>
      </c>
    </row>
    <row r="86" spans="7:7" ht="15" hidden="1" customHeight="1" x14ac:dyDescent="0.35">
      <c r="G86" s="1" t="s">
        <v>589</v>
      </c>
    </row>
    <row r="87" spans="7:7" ht="15" hidden="1" customHeight="1" x14ac:dyDescent="0.35">
      <c r="G87" s="1" t="s">
        <v>590</v>
      </c>
    </row>
    <row r="88" spans="7:7" ht="15" hidden="1" customHeight="1" x14ac:dyDescent="0.35">
      <c r="G88" s="1" t="s">
        <v>591</v>
      </c>
    </row>
    <row r="89" spans="7:7" ht="15" hidden="1" customHeight="1" x14ac:dyDescent="0.35">
      <c r="G89" s="1" t="s">
        <v>592</v>
      </c>
    </row>
    <row r="90" spans="7:7" ht="15" hidden="1" customHeight="1" x14ac:dyDescent="0.35">
      <c r="G90" s="1" t="s">
        <v>593</v>
      </c>
    </row>
    <row r="91" spans="7:7" ht="15" hidden="1" customHeight="1" x14ac:dyDescent="0.35">
      <c r="G91" s="1" t="s">
        <v>594</v>
      </c>
    </row>
    <row r="92" spans="7:7" ht="15" hidden="1" customHeight="1" x14ac:dyDescent="0.35">
      <c r="G92" s="1" t="s">
        <v>595</v>
      </c>
    </row>
    <row r="93" spans="7:7" ht="15" hidden="1" customHeight="1" x14ac:dyDescent="0.35">
      <c r="G93" s="1" t="s">
        <v>596</v>
      </c>
    </row>
    <row r="94" spans="7:7" ht="15" hidden="1" customHeight="1" x14ac:dyDescent="0.35">
      <c r="G94" s="1" t="s">
        <v>597</v>
      </c>
    </row>
    <row r="95" spans="7:7" ht="15" hidden="1" customHeight="1" x14ac:dyDescent="0.35">
      <c r="G95" s="1" t="s">
        <v>259</v>
      </c>
    </row>
    <row r="96" spans="7:7" ht="15" hidden="1" customHeight="1" x14ac:dyDescent="0.35">
      <c r="G96" s="1" t="s">
        <v>39</v>
      </c>
    </row>
    <row r="97" spans="7:7" ht="15" hidden="1" customHeight="1" x14ac:dyDescent="0.35">
      <c r="G97" s="1" t="s">
        <v>153</v>
      </c>
    </row>
    <row r="98" spans="7:7" ht="15" hidden="1" customHeight="1" x14ac:dyDescent="0.35">
      <c r="G98" s="1" t="s">
        <v>598</v>
      </c>
    </row>
    <row r="99" spans="7:7" ht="15" hidden="1" customHeight="1" x14ac:dyDescent="0.35">
      <c r="G99" s="1" t="s">
        <v>599</v>
      </c>
    </row>
    <row r="100" spans="7:7" ht="15" hidden="1" customHeight="1" x14ac:dyDescent="0.35">
      <c r="G100" s="1" t="s">
        <v>600</v>
      </c>
    </row>
    <row r="101" spans="7:7" ht="15" hidden="1" customHeight="1" x14ac:dyDescent="0.35">
      <c r="G101" s="1" t="s">
        <v>601</v>
      </c>
    </row>
    <row r="102" spans="7:7" ht="15" hidden="1" customHeight="1" x14ac:dyDescent="0.35">
      <c r="G102" s="1" t="s">
        <v>602</v>
      </c>
    </row>
    <row r="103" spans="7:7" ht="15" hidden="1" customHeight="1" x14ac:dyDescent="0.35">
      <c r="G103" s="1" t="s">
        <v>603</v>
      </c>
    </row>
  </sheetData>
  <sheetProtection formatCells="0" formatColumns="0" formatRows="0" insertColumns="0" insertRows="0" insertHyperlinks="0" deleteColumns="0" deleteRows="0" sort="0" autoFilter="0" pivotTables="0"/>
  <mergeCells count="147">
    <mergeCell ref="I36:J36"/>
    <mergeCell ref="H38:I38"/>
    <mergeCell ref="H39:I39"/>
    <mergeCell ref="H40:I40"/>
    <mergeCell ref="N6:O10"/>
    <mergeCell ref="P6:Q10"/>
    <mergeCell ref="H27:H30"/>
    <mergeCell ref="I31:J31"/>
    <mergeCell ref="I32:J32"/>
    <mergeCell ref="I33:J33"/>
    <mergeCell ref="I34:J34"/>
    <mergeCell ref="I35:J35"/>
    <mergeCell ref="O12:O13"/>
    <mergeCell ref="P12:P13"/>
    <mergeCell ref="Q12:Q13"/>
    <mergeCell ref="D23:E23"/>
    <mergeCell ref="H23:H26"/>
    <mergeCell ref="D24:E24"/>
    <mergeCell ref="AE20:AE21"/>
    <mergeCell ref="AF20:AF21"/>
    <mergeCell ref="AG20:AG21"/>
    <mergeCell ref="AH20:AH21"/>
    <mergeCell ref="I20:I21"/>
    <mergeCell ref="J20:J21"/>
    <mergeCell ref="K20:K21"/>
    <mergeCell ref="L20:L21"/>
    <mergeCell ref="M20:M21"/>
    <mergeCell ref="N20:N21"/>
    <mergeCell ref="A20:A21"/>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AH16:AH17"/>
    <mergeCell ref="A18:A19"/>
    <mergeCell ref="B18:B19"/>
    <mergeCell ref="C18:C19"/>
    <mergeCell ref="D18:D19"/>
    <mergeCell ref="E18:E19"/>
    <mergeCell ref="I16:I17"/>
    <mergeCell ref="J16:J17"/>
    <mergeCell ref="K16:K17"/>
    <mergeCell ref="L16:L17"/>
    <mergeCell ref="M16:M17"/>
    <mergeCell ref="N16:N17"/>
    <mergeCell ref="AG18:AG19"/>
    <mergeCell ref="AH18:AH19"/>
    <mergeCell ref="M18:M19"/>
    <mergeCell ref="N18:N19"/>
    <mergeCell ref="AE18:AE19"/>
    <mergeCell ref="AF18:AF19"/>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F14:F15"/>
    <mergeCell ref="G14:G15"/>
    <mergeCell ref="H14:H15"/>
    <mergeCell ref="I14:I15"/>
    <mergeCell ref="J14:J15"/>
    <mergeCell ref="K14:K15"/>
    <mergeCell ref="AE16:AE17"/>
    <mergeCell ref="AF16:AF17"/>
    <mergeCell ref="AG16:AG17"/>
    <mergeCell ref="AD12:AD13"/>
    <mergeCell ref="AE12:AE13"/>
    <mergeCell ref="AF12:AF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R6:U10"/>
    <mergeCell ref="V6:Y10"/>
    <mergeCell ref="G12:G13"/>
    <mergeCell ref="H12:H13"/>
    <mergeCell ref="I12:I13"/>
    <mergeCell ref="J12:J13"/>
    <mergeCell ref="K12:K13"/>
    <mergeCell ref="L12:L13"/>
    <mergeCell ref="A12:A13"/>
    <mergeCell ref="B12:B13"/>
    <mergeCell ref="C12:C13"/>
    <mergeCell ref="D12:D13"/>
    <mergeCell ref="E12:E13"/>
    <mergeCell ref="F12:F13"/>
    <mergeCell ref="B42:B43"/>
    <mergeCell ref="C42:C43"/>
    <mergeCell ref="D42:D43"/>
    <mergeCell ref="E42:E43"/>
    <mergeCell ref="F42:F43"/>
    <mergeCell ref="G42:G43"/>
    <mergeCell ref="M42:M43"/>
    <mergeCell ref="A1:C3"/>
    <mergeCell ref="D1:AH3"/>
    <mergeCell ref="A4:A5"/>
    <mergeCell ref="G4:G5"/>
    <mergeCell ref="A6:B10"/>
    <mergeCell ref="C6:D10"/>
    <mergeCell ref="E6:F10"/>
    <mergeCell ref="G6:G10"/>
    <mergeCell ref="H6:I10"/>
    <mergeCell ref="J6:J10"/>
    <mergeCell ref="A11:F11"/>
    <mergeCell ref="G11:N11"/>
    <mergeCell ref="O11:AD11"/>
    <mergeCell ref="AE11:AH11"/>
    <mergeCell ref="Z6:AG10"/>
    <mergeCell ref="K6:L10"/>
    <mergeCell ref="M6:M10"/>
  </mergeCells>
  <conditionalFormatting sqref="I4">
    <cfRule type="cellIs" dxfId="111" priority="16" operator="lessThanOrEqual">
      <formula>$C$4</formula>
    </cfRule>
  </conditionalFormatting>
  <conditionalFormatting sqref="J6">
    <cfRule type="cellIs" dxfId="110" priority="17" operator="greaterThanOrEqual">
      <formula>$C$5</formula>
    </cfRule>
    <cfRule type="cellIs" dxfId="109" priority="18" operator="lessThanOrEqual">
      <formula>$C$4</formula>
    </cfRule>
    <cfRule type="cellIs" dxfId="108" priority="19" operator="between">
      <formula>$C$5</formula>
      <formula>$C$4</formula>
    </cfRule>
  </conditionalFormatting>
  <conditionalFormatting sqref="P6">
    <cfRule type="cellIs" dxfId="107" priority="13" operator="greaterThanOrEqual">
      <formula>$I$5</formula>
    </cfRule>
    <cfRule type="cellIs" dxfId="106" priority="14" operator="lessThanOrEqual">
      <formula>$I$4</formula>
    </cfRule>
    <cfRule type="cellIs" dxfId="105" priority="15" operator="between">
      <formula>$I$5</formula>
      <formula>$I$4</formula>
    </cfRule>
  </conditionalFormatting>
  <conditionalFormatting sqref="Q14:Q21">
    <cfRule type="cellIs" dxfId="104" priority="10" operator="greaterThanOrEqual">
      <formula>$C$5</formula>
    </cfRule>
    <cfRule type="cellIs" dxfId="103" priority="11" operator="lessThanOrEqual">
      <formula>$C$4</formula>
    </cfRule>
    <cfRule type="cellIs" dxfId="102" priority="12" operator="between">
      <formula>$C$5</formula>
      <formula>$C$4</formula>
    </cfRule>
  </conditionalFormatting>
  <conditionalFormatting sqref="S31:S34 W31:W34 O31:O36 AA31:AA36 K32:N32 P32:R32 T32:V32 X32:Z32 AB32:AD32 J40">
    <cfRule type="cellIs" dxfId="101" priority="20" operator="greaterThanOrEqual">
      <formula>$D$9</formula>
    </cfRule>
    <cfRule type="cellIs" dxfId="100" priority="21" operator="lessThanOrEqual">
      <formula>$C$6</formula>
    </cfRule>
    <cfRule type="cellIs" dxfId="99" priority="22" operator="between">
      <formula>$C$6</formula>
      <formula>$D$9</formula>
    </cfRule>
  </conditionalFormatting>
  <conditionalFormatting sqref="V6">
    <cfRule type="cellIs" dxfId="98" priority="7" operator="greaterThanOrEqual">
      <formula>$I$5</formula>
    </cfRule>
    <cfRule type="cellIs" dxfId="97" priority="8" operator="lessThanOrEqual">
      <formula>$I$4</formula>
    </cfRule>
    <cfRule type="cellIs" dxfId="96" priority="9" operator="between">
      <formula>$I$5</formula>
      <formula>$I$4</formula>
    </cfRule>
  </conditionalFormatting>
  <dataValidations count="10">
    <dataValidation type="decimal" allowBlank="1" showInputMessage="1" showErrorMessage="1" prompt="valor porcentual de la activida - Indique el peso porcentual de la actividad dentro del proyecto" sqref="P14 P16 P18 P20" xr:uid="{07DF923D-4BB0-4395-AE9F-CC4F09E8F845}">
      <formula1>0</formula1>
      <formula2>1</formula2>
    </dataValidation>
    <dataValidation type="decimal" allowBlank="1" showInputMessage="1" showErrorMessage="1" prompt="campo calculado  - indica el % de avance  que aporta la activadad a todo el proyecto" sqref="P19 P17 P15 P21" xr:uid="{14AEF5D2-97C4-4623-B848-84B3A1025B00}">
      <formula1>0</formula1>
      <formula2>1</formula2>
    </dataValidation>
    <dataValidation type="decimal" allowBlank="1" showInputMessage="1" showErrorMessage="1" prompt="% de avance en la actividad - indique el % programado de avance durante esta semana_x000a_" sqref="R14:AD21" xr:uid="{2A6A181D-2139-4997-B630-373AD7942437}">
      <formula1>0</formula1>
      <formula2>1</formula2>
    </dataValidation>
    <dataValidation allowBlank="1" showErrorMessage="1" sqref="Q14:Q21" xr:uid="{0DFCBA36-AC2F-47FC-9A73-3E4423964CFA}"/>
    <dataValidation type="list" allowBlank="1" showInputMessage="1" showErrorMessage="1" sqref="B14:B21" xr:uid="{1440E5A4-3D85-4719-9DB8-831524C670FE}">
      <formula1>$B$44:$B$51</formula1>
    </dataValidation>
    <dataValidation type="list" allowBlank="1" showInputMessage="1" showErrorMessage="1" sqref="C14:C21" xr:uid="{0CE98EF0-D339-4893-A536-8C0AB5488318}">
      <formula1>$C$44:$C$53</formula1>
    </dataValidation>
    <dataValidation type="list" allowBlank="1" showInputMessage="1" showErrorMessage="1" sqref="D14:D21" xr:uid="{2B6577D5-883C-46EC-9695-12C2FB524307}">
      <formula1>$D$44:$D$50</formula1>
    </dataValidation>
    <dataValidation type="list" allowBlank="1" showInputMessage="1" showErrorMessage="1" sqref="E14:E21" xr:uid="{78471A17-1766-47E9-BCF2-69EC7E58D7D1}">
      <formula1>$E$44:$E$62</formula1>
    </dataValidation>
    <dataValidation type="list" allowBlank="1" showInputMessage="1" showErrorMessage="1" sqref="G14:G21" xr:uid="{179F8CFC-96CF-4DD0-90CC-4061D1B9A98A}">
      <formula1>$G$44:$G$103</formula1>
    </dataValidation>
    <dataValidation type="list" allowBlank="1" showInputMessage="1" showErrorMessage="1" sqref="L14:L20" xr:uid="{00ABEEFB-0924-45A8-9DCC-C7967EF42D35}">
      <formula1>$L$44:$L$46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7" ma:contentTypeDescription="Crear nuevo documento." ma:contentTypeScope="" ma:versionID="0984d22420d0ffe286666c0938a44761">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874e34f794ae785297270ed16b6074ea"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e088b56-7797-45fb-887d-01e35945cbb8}" ma:internalName="TaxCatchAll" ma:showField="CatchAllData" ma:web="e6cd777c-5c62-468f-8590-df061bf39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f692e2-7f23-4b51-918d-31b649eae9bb">
      <Terms xmlns="http://schemas.microsoft.com/office/infopath/2007/PartnerControls"/>
    </lcf76f155ced4ddcb4097134ff3c332f>
    <TaxCatchAll xmlns="e6cd777c-5c62-468f-8590-df061bf39fc1" xsi:nil="true"/>
    <SharedWithUsers xmlns="e6cd777c-5c62-468f-8590-df061bf39fc1">
      <UserInfo>
        <DisplayName>NATALIA GOMEZ</DisplayName>
        <AccountId>10</AccountId>
        <AccountType/>
      </UserInfo>
      <UserInfo>
        <DisplayName>JASON ARMANDO REYES</DisplayName>
        <AccountId>18</AccountId>
        <AccountType/>
      </UserInfo>
    </SharedWithUsers>
  </documentManagement>
</p:properties>
</file>

<file path=customXml/itemProps1.xml><?xml version="1.0" encoding="utf-8"?>
<ds:datastoreItem xmlns:ds="http://schemas.openxmlformats.org/officeDocument/2006/customXml" ds:itemID="{517C027B-CA08-4A2D-9F02-677C7EA941BC}">
  <ds:schemaRefs>
    <ds:schemaRef ds:uri="http://schemas.microsoft.com/sharepoint/v3/contenttype/forms"/>
  </ds:schemaRefs>
</ds:datastoreItem>
</file>

<file path=customXml/itemProps2.xml><?xml version="1.0" encoding="utf-8"?>
<ds:datastoreItem xmlns:ds="http://schemas.openxmlformats.org/officeDocument/2006/customXml" ds:itemID="{B3B8FA49-51A8-42AC-87CA-AC49EC7403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692e2-7f23-4b51-918d-31b649eae9bb"/>
    <ds:schemaRef ds:uri="e6cd777c-5c62-468f-8590-df061bf39f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943B97-CD7A-42ED-8C75-1A37F9160914}">
  <ds:schemaRefs>
    <ds:schemaRef ds:uri="http://purl.org/dc/elements/1.1/"/>
    <ds:schemaRef ds:uri="http://schemas.microsoft.com/office/2006/documentManagement/types"/>
    <ds:schemaRef ds:uri="http://purl.org/dc/terms/"/>
    <ds:schemaRef ds:uri="http://www.w3.org/XML/1998/namespace"/>
    <ds:schemaRef ds:uri="http://purl.org/dc/dcmitype/"/>
    <ds:schemaRef ds:uri="http://schemas.openxmlformats.org/package/2006/metadata/core-properties"/>
    <ds:schemaRef ds:uri="http://schemas.microsoft.com/office/2006/metadata/properties"/>
    <ds:schemaRef ds:uri="http://schemas.microsoft.com/office/infopath/2007/PartnerControls"/>
    <ds:schemaRef ds:uri="e6cd777c-5c62-468f-8590-df061bf39fc1"/>
    <ds:schemaRef ds:uri="c8f692e2-7f23-4b51-918d-31b649eae9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15</vt:i4>
      </vt:variant>
    </vt:vector>
  </HeadingPairs>
  <TitlesOfParts>
    <vt:vector size="32" baseType="lpstr">
      <vt:lpstr>INICIO</vt:lpstr>
      <vt:lpstr>EJECUCIÓN</vt:lpstr>
      <vt:lpstr>TABLERO DE CONTROL</vt:lpstr>
      <vt:lpstr>EJECUCIÓN I TRIM</vt:lpstr>
      <vt:lpstr>01. SECTORIAL</vt:lpstr>
      <vt:lpstr>01. INSTITUCIONAL</vt:lpstr>
      <vt:lpstr>02. PINAR</vt:lpstr>
      <vt:lpstr>03. PAA</vt:lpstr>
      <vt:lpstr>06. PETH</vt:lpstr>
      <vt:lpstr>07. PIC</vt:lpstr>
      <vt:lpstr>08. PII</vt:lpstr>
      <vt:lpstr>09. PSST</vt:lpstr>
      <vt:lpstr>10 PAAC</vt:lpstr>
      <vt:lpstr>10.PETI</vt:lpstr>
      <vt:lpstr>12. PTRSPI</vt:lpstr>
      <vt:lpstr>Hoja1</vt:lpstr>
      <vt:lpstr>13.PSPI</vt:lpstr>
      <vt:lpstr>'01. INSTITUCIONAL'!Área_de_impresión</vt:lpstr>
      <vt:lpstr>'01. SECTORIAL'!Área_de_impresión</vt:lpstr>
      <vt:lpstr>'02. PINAR'!Área_de_impresión</vt:lpstr>
      <vt:lpstr>'03. PAA'!Área_de_impresión</vt:lpstr>
      <vt:lpstr>'06. PETH'!Área_de_impresión</vt:lpstr>
      <vt:lpstr>'07. PIC'!Área_de_impresión</vt:lpstr>
      <vt:lpstr>'08. PII'!Área_de_impresión</vt:lpstr>
      <vt:lpstr>'09. PSST'!Área_de_impresión</vt:lpstr>
      <vt:lpstr>'10 PAAC'!Área_de_impresión</vt:lpstr>
      <vt:lpstr>'10.PETI'!Área_de_impresión</vt:lpstr>
      <vt:lpstr>INICIO!Área_de_impresión</vt:lpstr>
      <vt:lpstr>'TABLERO DE CONTROL'!Área_de_impresión</vt:lpstr>
      <vt:lpstr>fuente</vt:lpstr>
      <vt:lpstr>inversión</vt:lpstr>
      <vt:lpstr>objetivo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Yaneth Diaz ariza</dc:creator>
  <cp:keywords/>
  <dc:description/>
  <cp:lastModifiedBy>Jason Reyes</cp:lastModifiedBy>
  <cp:revision/>
  <dcterms:created xsi:type="dcterms:W3CDTF">2017-07-17T22:09:40Z</dcterms:created>
  <dcterms:modified xsi:type="dcterms:W3CDTF">2025-08-25T22:08:08Z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y fmtid="{D5CDD505-2E9C-101B-9397-08002B2CF9AE}" pid="3" name="MSIP_Label_4d7dcfcf-2f13-416d-bd85-85e5cda1e908_Enabled">
    <vt:lpwstr>true</vt:lpwstr>
  </property>
  <property fmtid="{D5CDD505-2E9C-101B-9397-08002B2CF9AE}" pid="4" name="MSIP_Label_4d7dcfcf-2f13-416d-bd85-85e5cda1e908_SetDate">
    <vt:lpwstr>2023-01-31T01:19:19Z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c0ec5559-fd95-4dfc-98a7-4f38b6a791dd</vt:lpwstr>
  </property>
  <property fmtid="{D5CDD505-2E9C-101B-9397-08002B2CF9AE}" pid="9" name="MSIP_Label_4d7dcfcf-2f13-416d-bd85-85e5cda1e908_ContentBits">
    <vt:lpwstr>2</vt:lpwstr>
  </property>
  <property fmtid="{D5CDD505-2E9C-101B-9397-08002B2CF9AE}" pid="10" name="MediaServiceImageTags">
    <vt:lpwstr/>
  </property>
</Properties>
</file>