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laprevisora-my.sharepoint.com/personal/jason_reyes_previsora_gov_co/Documents/Backup Jason/2024/01. ENERO/"/>
    </mc:Choice>
  </mc:AlternateContent>
  <xr:revisionPtr revIDLastSave="91" documentId="8_{1477047D-5E3C-4C71-BB31-E970DA8DE57E}" xr6:coauthVersionLast="47" xr6:coauthVersionMax="47" xr10:uidLastSave="{FEDD3F3E-7E37-41CA-AC43-62B1A6EFCA94}"/>
  <bookViews>
    <workbookView xWindow="-110" yWindow="-110" windowWidth="19420" windowHeight="10420" tabRatio="727" xr2:uid="{00000000-000D-0000-FFFF-FFFF00000000}"/>
  </bookViews>
  <sheets>
    <sheet name="INICIO" sheetId="18" r:id="rId1"/>
    <sheet name="EJECUCIÓN" sheetId="22" state="hidden" r:id="rId2"/>
    <sheet name="TABLERO DE CONTROL" sheetId="21" state="hidden" r:id="rId3"/>
    <sheet name="01. SECTORIAL" sheetId="2" r:id="rId4"/>
    <sheet name="01. INSTITUCIONAL" sheetId="13" r:id="rId5"/>
    <sheet name="02. PINAR" sheetId="12" r:id="rId6"/>
    <sheet name="03. PAA" sheetId="15" r:id="rId7"/>
    <sheet name="06. PETH" sheetId="16" r:id="rId8"/>
    <sheet name="07. PIC" sheetId="9" r:id="rId9"/>
    <sheet name="08. PII" sheetId="19" r:id="rId10"/>
    <sheet name="09. PSST" sheetId="7" r:id="rId11"/>
    <sheet name="10 PAAC" sheetId="17" r:id="rId12"/>
    <sheet name="11.PETI" sheetId="4" r:id="rId13"/>
    <sheet name="12. PTRSPI" sheetId="6" r:id="rId14"/>
    <sheet name="Hoja1" sheetId="3" state="hidden" r:id="rId15"/>
    <sheet name="13.PSPI" sheetId="8" r:id="rId16"/>
  </sheets>
  <externalReferences>
    <externalReference r:id="rId17"/>
    <externalReference r:id="rId18"/>
    <externalReference r:id="rId19"/>
    <externalReference r:id="rId20"/>
    <externalReference r:id="rId21"/>
    <externalReference r:id="rId22"/>
    <externalReference r:id="rId23"/>
  </externalReferences>
  <definedNames>
    <definedName name="_xlnm._FilterDatabase" localSheetId="4" hidden="1">'01. INSTITUCIONAL'!$D$12:$I$51</definedName>
    <definedName name="_xlnm._FilterDatabase" localSheetId="3" hidden="1">'01. SECTORIAL'!$A$12:$AH$29</definedName>
    <definedName name="_xlnm._FilterDatabase" localSheetId="5" hidden="1">'02. PINAR'!$A$13:$AI$13</definedName>
    <definedName name="_xlnm._FilterDatabase" localSheetId="6" hidden="1">'03. PAA'!$A$11:$S$414</definedName>
    <definedName name="_xlnm._FilterDatabase" localSheetId="8" hidden="1">'07. PIC'!$A$13:$AO$13</definedName>
    <definedName name="_xlnm._FilterDatabase" localSheetId="10" hidden="1">'09. PSST'!$A$1:$AK$111</definedName>
    <definedName name="_xlnm._FilterDatabase" localSheetId="11" hidden="1">'10 PAAC'!$C$39:$AF$89</definedName>
    <definedName name="_xlnm._FilterDatabase" localSheetId="15" hidden="1">'13.PSPI'!$A$13:$AH$21</definedName>
    <definedName name="Acciones_Categoría_3">'[1]Ponderaciones y parámetros'!$K$6:$N$6</definedName>
    <definedName name="Admin">[2]TABLA!$Q$2:$Q$3</definedName>
    <definedName name="Agricultura" localSheetId="0">[2]TABLA!#REF!</definedName>
    <definedName name="Agricultura" localSheetId="2">[2]TABLA!#REF!</definedName>
    <definedName name="Agricultura">[2]TABLA!#REF!</definedName>
    <definedName name="Agricultura_y_Desarrollo_Rural" localSheetId="0">[2]TABLA!#REF!</definedName>
    <definedName name="Agricultura_y_Desarrollo_Rural" localSheetId="2">[2]TABLA!#REF!</definedName>
    <definedName name="Agricultura_y_Desarrollo_Rural">[2]TABLA!#REF!</definedName>
    <definedName name="Ambiental">'[2]Tablas instituciones'!$D$2:$D$9</definedName>
    <definedName name="ambiente" localSheetId="0">[2]TABLA!#REF!</definedName>
    <definedName name="ambiente" localSheetId="2">[2]TABLA!#REF!</definedName>
    <definedName name="ambiente">[2]TABLA!#REF!</definedName>
    <definedName name="Ambiente_y_Desarrollo_Sostenible" localSheetId="0">[2]TABLA!#REF!</definedName>
    <definedName name="Ambiente_y_Desarrollo_Sostenible" localSheetId="2">[2]TABLA!#REF!</definedName>
    <definedName name="Ambiente_y_Desarrollo_Sostenible">[2]TABLA!#REF!</definedName>
    <definedName name="_xlnm.Print_Area" localSheetId="4">'01. INSTITUCIONAL'!$A$1:$AK$52</definedName>
    <definedName name="_xlnm.Print_Area" localSheetId="3">'01. SECTORIAL'!$A$1:$AH$34</definedName>
    <definedName name="_xlnm.Print_Area" localSheetId="5">'02. PINAR'!$A$1:$O$26</definedName>
    <definedName name="_xlnm.Print_Area" localSheetId="6">'03. PAA'!$A$1:$S$415</definedName>
    <definedName name="_xlnm.Print_Area" localSheetId="7">'06. PETH'!$A$1:$N$22</definedName>
    <definedName name="_xlnm.Print_Area" localSheetId="8">'07. PIC'!$A$1:$AP$47</definedName>
    <definedName name="_xlnm.Print_Area" localSheetId="9">'08. PII'!$A$1:$O$26</definedName>
    <definedName name="_xlnm.Print_Area" localSheetId="10">'09. PSST'!$A$1:$Q$116</definedName>
    <definedName name="_xlnm.Print_Area" localSheetId="11">'10 PAAC'!$A$1:$AF$152</definedName>
    <definedName name="_xlnm.Print_Area" localSheetId="12">'11.PETI'!$A$1:$AJ$35</definedName>
    <definedName name="_xlnm.Print_Area" localSheetId="0">INICIO!$A$1:$MS$80</definedName>
    <definedName name="_xlnm.Print_Area" localSheetId="2">'TABLERO DE CONTROL'!$A$1:$EI$77</definedName>
    <definedName name="Ciencia__Tecnología_e_innovación" localSheetId="0">[2]TABLA!#REF!</definedName>
    <definedName name="Ciencia__Tecnología_e_innovación" localSheetId="2">[2]TABLA!#REF!</definedName>
    <definedName name="Ciencia__Tecnología_e_innovación">[2]TABLA!#REF!</definedName>
    <definedName name="clases1">[3]TABLA!$G$2:$G$5</definedName>
    <definedName name="Comercio__Industria_y_Turismo" localSheetId="0">[2]TABLA!#REF!</definedName>
    <definedName name="Comercio__Industria_y_Turismo" localSheetId="2">[2]TABLA!#REF!</definedName>
    <definedName name="Comercio__Industria_y_Turismo">[2]TABLA!#REF!</definedName>
    <definedName name="fuente">Hoja1!$C$4:$C$6</definedName>
    <definedName name="inversión">Hoja1!$F$4:$F$11</definedName>
    <definedName name="nindicador">[4]FICHA_DEL_INDICADOR!$AN$60:$AQ$60</definedName>
    <definedName name="nivel">[2]TABLA!$C$2:$C$3</definedName>
    <definedName name="Nombre" localSheetId="0">#REF!</definedName>
    <definedName name="Nombre" localSheetId="2">#REF!</definedName>
    <definedName name="Nombre">#REF!</definedName>
    <definedName name="objetivo">Hoja1!$I$4:$I$13</definedName>
    <definedName name="PF" localSheetId="0">#REF!</definedName>
    <definedName name="PF" localSheetId="2">#REF!</definedName>
    <definedName name="PF">#REF!</definedName>
    <definedName name="Simulador">[1]Listas!$B$2:$B$4</definedName>
    <definedName name="Tipo_acumulación">[5]Hoja2!$D$8:$D$10</definedName>
    <definedName name="Tipo_indicador">[5]Hoja2!$A$8:$A$10</definedName>
    <definedName name="Tipos">[2]TABLA!$G$2:$G$4</definedName>
    <definedName name="vice">'[6]referencia 2018'!$A$1:$A$8</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5" i="15" l="1"/>
  <c r="I415" i="15"/>
  <c r="S49" i="13" l="1"/>
  <c r="R49" i="13"/>
  <c r="S48" i="13"/>
  <c r="R48" i="13"/>
  <c r="S39" i="13"/>
  <c r="R39" i="13"/>
  <c r="R38" i="13" s="1"/>
  <c r="S38" i="13"/>
  <c r="S41" i="13"/>
  <c r="R41" i="13"/>
  <c r="S40" i="13"/>
  <c r="S43" i="13"/>
  <c r="R43" i="13"/>
  <c r="S42" i="13"/>
  <c r="S45" i="13"/>
  <c r="R45" i="13"/>
  <c r="S44" i="13"/>
  <c r="S47" i="13"/>
  <c r="R47" i="13"/>
  <c r="S46" i="13"/>
  <c r="S37" i="13"/>
  <c r="R37" i="13"/>
  <c r="S36" i="13"/>
  <c r="S32" i="13"/>
  <c r="R33" i="13"/>
  <c r="S33" i="13"/>
  <c r="S31" i="13"/>
  <c r="R31" i="13"/>
  <c r="S30" i="13"/>
  <c r="S27" i="13"/>
  <c r="R27" i="13"/>
  <c r="S26" i="13"/>
  <c r="S29" i="13"/>
  <c r="R29" i="13"/>
  <c r="S28" i="13"/>
  <c r="S17" i="13"/>
  <c r="R17" i="13"/>
  <c r="S16" i="13"/>
  <c r="S25" i="13"/>
  <c r="R25" i="13"/>
  <c r="S24" i="13"/>
  <c r="R36" i="13" l="1"/>
  <c r="R44" i="13"/>
  <c r="R40" i="13"/>
  <c r="R42" i="13"/>
  <c r="R46" i="13"/>
  <c r="R32" i="13"/>
  <c r="R26" i="13"/>
  <c r="R30" i="13"/>
  <c r="R28" i="13"/>
  <c r="R16" i="13"/>
  <c r="R24" i="13"/>
  <c r="Q23" i="2"/>
  <c r="P23" i="2"/>
  <c r="Q22" i="2"/>
  <c r="P22" i="2" s="1"/>
  <c r="AG6" i="8" l="1"/>
  <c r="V6" i="16"/>
  <c r="P6" i="6"/>
  <c r="AG6" i="2"/>
  <c r="P31" i="2"/>
  <c r="P29" i="2"/>
  <c r="P27" i="2"/>
  <c r="P25" i="2"/>
  <c r="P21" i="2"/>
  <c r="P19" i="2"/>
  <c r="P17" i="2"/>
  <c r="P15" i="2"/>
  <c r="AD14" i="9"/>
  <c r="G6" i="2" l="1"/>
  <c r="T24" i="7"/>
  <c r="Q30" i="2"/>
  <c r="P30" i="2" s="1"/>
  <c r="Q31" i="2"/>
  <c r="H6" i="15"/>
  <c r="AG7" i="22" s="1"/>
  <c r="R6" i="15"/>
  <c r="AI7" i="22" s="1"/>
  <c r="N6" i="15"/>
  <c r="AH7" i="22" s="1"/>
  <c r="AK13" i="22"/>
  <c r="AK7" i="22"/>
  <c r="AJ7" i="22"/>
  <c r="AJ6" i="7" l="1"/>
  <c r="AK10" i="22" s="1"/>
  <c r="AG6" i="7"/>
  <c r="AJ10" i="22" s="1"/>
  <c r="AD6" i="8"/>
  <c r="AJ14" i="22" s="1"/>
  <c r="AK14" i="22"/>
  <c r="AE6" i="12"/>
  <c r="AJ5" i="22" s="1"/>
  <c r="AF6" i="4"/>
  <c r="AJ12" i="22" s="1"/>
  <c r="AD6" i="2"/>
  <c r="AJ3" i="22" s="1"/>
  <c r="O6" i="2" l="1"/>
  <c r="S111" i="7"/>
  <c r="S109" i="7"/>
  <c r="S107" i="7"/>
  <c r="S105" i="7"/>
  <c r="S103" i="7"/>
  <c r="S101" i="7"/>
  <c r="S99" i="7"/>
  <c r="S97" i="7"/>
  <c r="S95" i="7"/>
  <c r="S93" i="7"/>
  <c r="S91" i="7"/>
  <c r="S89" i="7"/>
  <c r="S87" i="7"/>
  <c r="S85" i="7"/>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AD18" i="9"/>
  <c r="X18" i="9" s="1"/>
  <c r="P6" i="16"/>
  <c r="AI6" i="22" s="1"/>
  <c r="V6" i="2"/>
  <c r="AI3" i="22" s="1"/>
  <c r="AI6" i="4"/>
  <c r="AK12" i="22" s="1"/>
  <c r="Q6" i="4"/>
  <c r="AH12" i="22" s="1"/>
  <c r="X6" i="4"/>
  <c r="AI12" i="22" s="1"/>
  <c r="AD22" i="9"/>
  <c r="AD16" i="9"/>
  <c r="X16" i="9"/>
  <c r="AD28" i="9"/>
  <c r="X28" i="9" s="1"/>
  <c r="AD26" i="9"/>
  <c r="X26" i="9" s="1"/>
  <c r="AD20" i="9"/>
  <c r="Q25" i="12"/>
  <c r="X29" i="9"/>
  <c r="X27" i="9"/>
  <c r="X21" i="9"/>
  <c r="X19" i="9"/>
  <c r="X17" i="9"/>
  <c r="X20" i="9"/>
  <c r="R16" i="19"/>
  <c r="O6" i="19"/>
  <c r="AI9" i="22" s="1"/>
  <c r="R6" i="7"/>
  <c r="AH10" i="22" s="1"/>
  <c r="Y6" i="7"/>
  <c r="AI10" i="22" s="1"/>
  <c r="V6" i="8"/>
  <c r="AI14" i="22" s="1"/>
  <c r="Q20" i="2"/>
  <c r="T84" i="17"/>
  <c r="R14" i="19"/>
  <c r="Q14" i="19" s="1"/>
  <c r="W6" i="12"/>
  <c r="AI5" i="22" s="1"/>
  <c r="O6" i="8"/>
  <c r="AH14" i="22" s="1"/>
  <c r="Q21" i="8"/>
  <c r="P21" i="8"/>
  <c r="Q20" i="8"/>
  <c r="P20" i="8" s="1"/>
  <c r="Q19" i="8"/>
  <c r="P19" i="8"/>
  <c r="Q18" i="8"/>
  <c r="Q17" i="8"/>
  <c r="P17" i="8"/>
  <c r="Q16" i="8"/>
  <c r="P16" i="8" s="1"/>
  <c r="P15" i="8"/>
  <c r="G6" i="8"/>
  <c r="V6" i="19"/>
  <c r="AK9" i="22" s="1"/>
  <c r="R25" i="19"/>
  <c r="Q25" i="19"/>
  <c r="R24" i="19"/>
  <c r="R23" i="19"/>
  <c r="Q23" i="19"/>
  <c r="R22" i="19"/>
  <c r="R21" i="19"/>
  <c r="Q21" i="19"/>
  <c r="R20" i="19"/>
  <c r="Q20" i="19" s="1"/>
  <c r="R19" i="19"/>
  <c r="Q19" i="19"/>
  <c r="R18" i="19"/>
  <c r="R17" i="19"/>
  <c r="Q17" i="19"/>
  <c r="Q15" i="19"/>
  <c r="R15" i="19"/>
  <c r="AN78" i="17"/>
  <c r="AN40" i="17"/>
  <c r="AC40" i="17"/>
  <c r="AM40" i="17" s="1"/>
  <c r="Z40" i="17"/>
  <c r="AK40" i="17" s="1"/>
  <c r="W40" i="17"/>
  <c r="AI40" i="17"/>
  <c r="AL40" i="17"/>
  <c r="X40" i="17"/>
  <c r="AJ40" i="17" s="1"/>
  <c r="S50" i="17"/>
  <c r="S52" i="17" s="1"/>
  <c r="S88" i="17"/>
  <c r="S86" i="17"/>
  <c r="S84" i="17"/>
  <c r="S82" i="17"/>
  <c r="S80" i="17"/>
  <c r="S78" i="17"/>
  <c r="S76" i="17"/>
  <c r="S74" i="17"/>
  <c r="S72" i="17"/>
  <c r="S70" i="17"/>
  <c r="S68" i="17"/>
  <c r="S66" i="17"/>
  <c r="S64" i="17"/>
  <c r="P6" i="12"/>
  <c r="AH5" i="22" s="1"/>
  <c r="P18" i="8" l="1"/>
  <c r="Z84" i="17"/>
  <c r="AK84" i="17" s="1"/>
  <c r="AC84" i="17"/>
  <c r="AM84" i="17" s="1"/>
  <c r="AD84" i="17"/>
  <c r="AN84" i="17" s="1"/>
  <c r="W84" i="17"/>
  <c r="Z64" i="17"/>
  <c r="AK64" i="17" s="1"/>
  <c r="W64" i="17"/>
  <c r="AI64" i="17" s="1"/>
  <c r="AA78" i="17"/>
  <c r="AL78" i="17" s="1"/>
  <c r="X64" i="17"/>
  <c r="AJ64" i="17" s="1"/>
  <c r="Q24" i="19"/>
  <c r="F6" i="19"/>
  <c r="Q18" i="19"/>
  <c r="Q22" i="19"/>
  <c r="XFD9" i="21"/>
  <c r="AH3" i="22"/>
  <c r="G6" i="7"/>
  <c r="AI84" i="17"/>
  <c r="Q16" i="19"/>
  <c r="I6" i="19" s="1"/>
  <c r="AG9" i="22" s="1"/>
  <c r="S54" i="17"/>
  <c r="S56" i="17" s="1"/>
  <c r="S58" i="17" s="1"/>
  <c r="S60" i="17" s="1"/>
  <c r="S62" i="17" s="1"/>
  <c r="AA64" i="17"/>
  <c r="AL64" i="17" s="1"/>
  <c r="AA84" i="17"/>
  <c r="AL84" i="17" s="1"/>
  <c r="AC64" i="17"/>
  <c r="AM64" i="17" s="1"/>
  <c r="Z78" i="17"/>
  <c r="AK78" i="17" s="1"/>
  <c r="AD64" i="17"/>
  <c r="AN64" i="17" s="1"/>
  <c r="AC78" i="17"/>
  <c r="AM78" i="17" s="1"/>
  <c r="W78" i="17"/>
  <c r="AI78" i="17" s="1"/>
  <c r="X78" i="17"/>
  <c r="AJ78" i="17" s="1"/>
  <c r="X84" i="17"/>
  <c r="AJ84" i="17" s="1"/>
  <c r="T30" i="7"/>
  <c r="AH6" i="12"/>
  <c r="AK5" i="22" s="1"/>
  <c r="AA48" i="17" l="1"/>
  <c r="AL48" i="17" s="1"/>
  <c r="AL90" i="17" s="1"/>
  <c r="W48" i="17"/>
  <c r="AD48" i="17"/>
  <c r="AN48" i="17" s="1"/>
  <c r="AN90" i="17" s="1"/>
  <c r="AC48" i="17"/>
  <c r="AM48" i="17" s="1"/>
  <c r="AM90" i="17" s="1"/>
  <c r="X48" i="17"/>
  <c r="AJ48" i="17" s="1"/>
  <c r="AJ90" i="17" s="1"/>
  <c r="Z48" i="17"/>
  <c r="AK48" i="17" s="1"/>
  <c r="AK90" i="17" s="1"/>
  <c r="AK3" i="22"/>
  <c r="R23" i="4"/>
  <c r="R21" i="4"/>
  <c r="R19" i="4"/>
  <c r="R17" i="4"/>
  <c r="R15" i="4"/>
  <c r="R14" i="4" s="1"/>
  <c r="Q19" i="6"/>
  <c r="P19" i="6"/>
  <c r="Q18" i="6"/>
  <c r="P18" i="6" s="1"/>
  <c r="Q17" i="6"/>
  <c r="P17" i="6"/>
  <c r="Q16" i="6"/>
  <c r="P16" i="6" s="1"/>
  <c r="P15" i="6"/>
  <c r="G6" i="6"/>
  <c r="S23" i="4"/>
  <c r="S22" i="4"/>
  <c r="S21" i="4"/>
  <c r="S20" i="4"/>
  <c r="S19" i="4"/>
  <c r="S18" i="4"/>
  <c r="R18" i="4" s="1"/>
  <c r="S17" i="4"/>
  <c r="S16" i="4"/>
  <c r="T111" i="7"/>
  <c r="T110" i="7"/>
  <c r="S110" i="7" s="1"/>
  <c r="T109" i="7"/>
  <c r="T108" i="7"/>
  <c r="S108" i="7" s="1"/>
  <c r="T107" i="7"/>
  <c r="T106" i="7"/>
  <c r="S106" i="7" s="1"/>
  <c r="T105" i="7"/>
  <c r="T104" i="7"/>
  <c r="T103" i="7"/>
  <c r="T102" i="7"/>
  <c r="T101" i="7"/>
  <c r="T100" i="7"/>
  <c r="T99" i="7"/>
  <c r="T98" i="7"/>
  <c r="T97" i="7"/>
  <c r="T96" i="7"/>
  <c r="S96" i="7" s="1"/>
  <c r="T95" i="7"/>
  <c r="T94" i="7"/>
  <c r="S94" i="7" s="1"/>
  <c r="T93" i="7"/>
  <c r="T92" i="7"/>
  <c r="T91" i="7"/>
  <c r="T90" i="7"/>
  <c r="T89" i="7"/>
  <c r="T88" i="7"/>
  <c r="S88" i="7" s="1"/>
  <c r="T87" i="7"/>
  <c r="T86" i="7"/>
  <c r="T85" i="7"/>
  <c r="T84" i="7"/>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W29" i="9"/>
  <c r="W28" i="9"/>
  <c r="W27" i="9"/>
  <c r="W26" i="9"/>
  <c r="X25" i="9"/>
  <c r="AD24" i="9" s="1"/>
  <c r="P6" i="9" s="1"/>
  <c r="AI8" i="22" s="1"/>
  <c r="W25" i="9"/>
  <c r="W23" i="9"/>
  <c r="X22" i="9"/>
  <c r="W22" i="9" s="1"/>
  <c r="W21" i="9"/>
  <c r="W20" i="9"/>
  <c r="W19" i="9"/>
  <c r="W17" i="9"/>
  <c r="W16" i="9"/>
  <c r="W15" i="9"/>
  <c r="G6" i="9" s="1"/>
  <c r="AK6" i="22"/>
  <c r="G6" i="16"/>
  <c r="Q21" i="16"/>
  <c r="P21" i="16"/>
  <c r="Q20" i="16"/>
  <c r="P20" i="16" s="1"/>
  <c r="Q19" i="16"/>
  <c r="P19" i="16"/>
  <c r="Q18" i="16"/>
  <c r="P18" i="16" s="1"/>
  <c r="Q17" i="16"/>
  <c r="P17" i="16"/>
  <c r="Q16" i="16"/>
  <c r="P16" i="16" s="1"/>
  <c r="P15" i="16"/>
  <c r="J39" i="16"/>
  <c r="J38" i="16"/>
  <c r="J40" i="16" s="1"/>
  <c r="Q15" i="16"/>
  <c r="Q14" i="16"/>
  <c r="P14" i="16" s="1"/>
  <c r="R25" i="12"/>
  <c r="R24" i="12"/>
  <c r="Q24" i="12" s="1"/>
  <c r="R23" i="12"/>
  <c r="Q23" i="12"/>
  <c r="R22" i="12"/>
  <c r="R21" i="12"/>
  <c r="Q21" i="12"/>
  <c r="O27" i="12" s="1"/>
  <c r="R20" i="12"/>
  <c r="Q20" i="12" s="1"/>
  <c r="R19" i="12"/>
  <c r="Q19" i="12"/>
  <c r="R18" i="12"/>
  <c r="Q18" i="12" s="1"/>
  <c r="R17" i="12"/>
  <c r="Q17" i="12"/>
  <c r="R16" i="12"/>
  <c r="Q15" i="12"/>
  <c r="S51" i="13"/>
  <c r="R51" i="13"/>
  <c r="S50" i="13"/>
  <c r="S23" i="13"/>
  <c r="R23" i="13"/>
  <c r="S22" i="13"/>
  <c r="S21" i="13"/>
  <c r="R21" i="13"/>
  <c r="S20" i="13"/>
  <c r="S19" i="13"/>
  <c r="R19" i="13"/>
  <c r="S18" i="13"/>
  <c r="R15" i="13"/>
  <c r="S15" i="13"/>
  <c r="S14" i="13"/>
  <c r="J43" i="12"/>
  <c r="J44" i="12" s="1"/>
  <c r="J42" i="12"/>
  <c r="R15" i="12"/>
  <c r="R14" i="12"/>
  <c r="J45" i="9"/>
  <c r="J44" i="9"/>
  <c r="AH30" i="9"/>
  <c r="X15" i="9"/>
  <c r="J39" i="8"/>
  <c r="J38" i="8"/>
  <c r="Q15" i="8"/>
  <c r="Q14" i="8"/>
  <c r="T15" i="7"/>
  <c r="T14" i="7"/>
  <c r="J37" i="6"/>
  <c r="J36" i="6"/>
  <c r="Q15" i="6"/>
  <c r="Q14" i="6"/>
  <c r="P14" i="6" s="1"/>
  <c r="J33" i="4"/>
  <c r="J32" i="4"/>
  <c r="S15" i="4"/>
  <c r="S14" i="4"/>
  <c r="Q16" i="2"/>
  <c r="Q17" i="2"/>
  <c r="Q18" i="2"/>
  <c r="P18" i="2" s="1"/>
  <c r="Q19" i="2"/>
  <c r="Q21" i="2"/>
  <c r="Q24" i="2"/>
  <c r="Q25" i="2"/>
  <c r="Q26" i="2"/>
  <c r="Q27" i="2"/>
  <c r="Q28" i="2"/>
  <c r="Q29" i="2"/>
  <c r="Q14" i="2"/>
  <c r="P14" i="2" s="1"/>
  <c r="Q15" i="2"/>
  <c r="P20" i="2"/>
  <c r="R22" i="4" l="1"/>
  <c r="R16" i="4"/>
  <c r="R50" i="13"/>
  <c r="AI48" i="17"/>
  <c r="AI90" i="17" s="1"/>
  <c r="AN91" i="17"/>
  <c r="R20" i="13"/>
  <c r="G6" i="13"/>
  <c r="R18" i="13"/>
  <c r="R22" i="13"/>
  <c r="J6" i="6"/>
  <c r="AG13" i="22" s="1"/>
  <c r="J6" i="16"/>
  <c r="AG6" i="22" s="1"/>
  <c r="P26" i="2"/>
  <c r="P16" i="2"/>
  <c r="P24" i="2"/>
  <c r="X24" i="9"/>
  <c r="W24" i="9" s="1"/>
  <c r="AL91" i="17"/>
  <c r="S92" i="7"/>
  <c r="S42" i="7"/>
  <c r="S46" i="7"/>
  <c r="S86" i="7"/>
  <c r="S100" i="7"/>
  <c r="S104" i="7"/>
  <c r="S50" i="7"/>
  <c r="S54" i="7"/>
  <c r="S68" i="7"/>
  <c r="S84" i="7"/>
  <c r="S98" i="7"/>
  <c r="S102" i="7"/>
  <c r="S90" i="7"/>
  <c r="Q22" i="12"/>
  <c r="Q16" i="12"/>
  <c r="G6" i="4"/>
  <c r="R20" i="4"/>
  <c r="X27" i="8"/>
  <c r="AA28" i="8" s="1"/>
  <c r="R23" i="8"/>
  <c r="X23" i="8"/>
  <c r="AA24" i="8" s="1"/>
  <c r="R27" i="8"/>
  <c r="AC27" i="8"/>
  <c r="P14" i="8"/>
  <c r="J40" i="8"/>
  <c r="J38" i="6"/>
  <c r="AB25" i="6"/>
  <c r="X21" i="6"/>
  <c r="AA22" i="6" s="1"/>
  <c r="AC25" i="6"/>
  <c r="X25" i="6"/>
  <c r="AA26" i="6" s="1"/>
  <c r="AA31" i="6" s="1"/>
  <c r="R25" i="6"/>
  <c r="R21" i="6"/>
  <c r="J6" i="4"/>
  <c r="AG12" i="22" s="1"/>
  <c r="J34" i="4"/>
  <c r="S14" i="7"/>
  <c r="W18" i="9"/>
  <c r="AH33" i="9"/>
  <c r="AJ33" i="9"/>
  <c r="AE33" i="9"/>
  <c r="AH34" i="9" s="1"/>
  <c r="AH39" i="9" s="1"/>
  <c r="Y33" i="9"/>
  <c r="J46" i="9"/>
  <c r="AC27" i="16"/>
  <c r="AC23" i="16"/>
  <c r="R23" i="16"/>
  <c r="X23" i="16"/>
  <c r="AA24" i="16" s="1"/>
  <c r="X27" i="16"/>
  <c r="AA28" i="16" s="1"/>
  <c r="AA33"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U27" i="12"/>
  <c r="X28" i="12" s="1"/>
  <c r="AD31" i="12"/>
  <c r="AA27" i="12"/>
  <c r="Y31" i="12"/>
  <c r="AB32" i="12" s="1"/>
  <c r="G6" i="12"/>
  <c r="S31" i="12"/>
  <c r="P27" i="12"/>
  <c r="P28" i="12" s="1"/>
  <c r="P40" i="12" s="1"/>
  <c r="V27" i="12"/>
  <c r="T31" i="12"/>
  <c r="Z31" i="12"/>
  <c r="W27" i="12"/>
  <c r="O31" i="12"/>
  <c r="J31" i="12" s="1"/>
  <c r="R27" i="12"/>
  <c r="X27" i="12"/>
  <c r="AD27" i="12"/>
  <c r="P31" i="12"/>
  <c r="P32" i="12" s="1"/>
  <c r="P33" i="12" s="1"/>
  <c r="V31" i="12"/>
  <c r="AB31" i="12"/>
  <c r="S27" i="12"/>
  <c r="Y27" i="12"/>
  <c r="AB28" i="12" s="1"/>
  <c r="Q31" i="12"/>
  <c r="T32" i="12" s="1"/>
  <c r="W31" i="12"/>
  <c r="AC31" i="12"/>
  <c r="AB27" i="12"/>
  <c r="Q27" i="12"/>
  <c r="T28" i="12" s="1"/>
  <c r="AB29" i="12" s="1"/>
  <c r="AC27" i="12"/>
  <c r="U31" i="12"/>
  <c r="X32" i="12" s="1"/>
  <c r="AA31" i="12"/>
  <c r="Q14" i="12"/>
  <c r="J6" i="12" s="1"/>
  <c r="AG5" i="22" s="1"/>
  <c r="J27" i="12"/>
  <c r="T27" i="12"/>
  <c r="Z27" i="12"/>
  <c r="R31" i="12"/>
  <c r="X31" i="12"/>
  <c r="R14" i="13"/>
  <c r="O36" i="12"/>
  <c r="Z33" i="9"/>
  <c r="AF33" i="9"/>
  <c r="O33" i="9"/>
  <c r="J33" i="9" s="1"/>
  <c r="AA33" i="9"/>
  <c r="AD34" i="9" s="1"/>
  <c r="AG33" i="9"/>
  <c r="V30" i="9"/>
  <c r="V33" i="9"/>
  <c r="V34" i="9" s="1"/>
  <c r="V35" i="9" s="1"/>
  <c r="AB33" i="9"/>
  <c r="Z30" i="9"/>
  <c r="W33" i="9"/>
  <c r="Z34" i="9" s="1"/>
  <c r="AC33" i="9"/>
  <c r="AI33" i="9"/>
  <c r="AD30" i="9"/>
  <c r="X33" i="9"/>
  <c r="AD33" i="9"/>
  <c r="S23" i="8"/>
  <c r="Y23" i="8"/>
  <c r="S27" i="8"/>
  <c r="Y27" i="8"/>
  <c r="N23" i="8"/>
  <c r="T23" i="8"/>
  <c r="W24" i="8" s="1"/>
  <c r="Z23" i="8"/>
  <c r="N27" i="8"/>
  <c r="J27" i="8" s="1"/>
  <c r="T27" i="8"/>
  <c r="W28" i="8" s="1"/>
  <c r="Z27" i="8"/>
  <c r="O23" i="8"/>
  <c r="O24" i="8" s="1"/>
  <c r="U23" i="8"/>
  <c r="AA23" i="8"/>
  <c r="O27" i="8"/>
  <c r="O28" i="8" s="1"/>
  <c r="O29" i="8" s="1"/>
  <c r="U27" i="8"/>
  <c r="AA27" i="8"/>
  <c r="P23" i="8"/>
  <c r="S24" i="8" s="1"/>
  <c r="V23" i="8"/>
  <c r="AB23" i="8"/>
  <c r="P27" i="8"/>
  <c r="S28" i="8" s="1"/>
  <c r="V27" i="8"/>
  <c r="AB27" i="8"/>
  <c r="Q23" i="8"/>
  <c r="W23" i="8"/>
  <c r="AC23" i="8"/>
  <c r="Q27" i="8"/>
  <c r="W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J6" i="8" l="1"/>
  <c r="AG14" i="22" s="1"/>
  <c r="I6" i="2"/>
  <c r="AJ91" i="17"/>
  <c r="AJ92" i="17" s="1"/>
  <c r="AI11" i="22" s="1"/>
  <c r="AL92" i="17"/>
  <c r="AJ11" i="22" s="1"/>
  <c r="AN92" i="17"/>
  <c r="AK11" i="22" s="1"/>
  <c r="AI6" i="13"/>
  <c r="AK4" i="22" s="1"/>
  <c r="X6" i="13"/>
  <c r="AI4" i="22" s="1"/>
  <c r="AI2" i="22" s="1"/>
  <c r="AF6" i="13"/>
  <c r="AJ4" i="22" s="1"/>
  <c r="AJ2" i="22" s="1"/>
  <c r="J6" i="7"/>
  <c r="AG10" i="22" s="1"/>
  <c r="AA33" i="8"/>
  <c r="Q6" i="13"/>
  <c r="AH4" i="22" s="1"/>
  <c r="AH2" i="22" s="1"/>
  <c r="K6" i="13"/>
  <c r="AG4" i="22" s="1"/>
  <c r="X37" i="12"/>
  <c r="AA29" i="8"/>
  <c r="AA30" i="8" s="1"/>
  <c r="W31" i="6"/>
  <c r="J25" i="6"/>
  <c r="AA27" i="6"/>
  <c r="AC27" i="4"/>
  <c r="AH35" i="9"/>
  <c r="AH36" i="9" s="1"/>
  <c r="AD39" i="9"/>
  <c r="J27" i="16"/>
  <c r="AA29" i="16"/>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A30" i="16"/>
  <c r="AB33" i="12"/>
  <c r="AB34" i="12" s="1"/>
  <c r="R35" i="12"/>
  <c r="AB37" i="12"/>
  <c r="P38" i="12"/>
  <c r="Q36" i="12"/>
  <c r="P36" i="12"/>
  <c r="X38" i="12"/>
  <c r="R36" i="12"/>
  <c r="W36" i="12"/>
  <c r="P29" i="12"/>
  <c r="AB30" i="12" s="1"/>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38" i="9"/>
  <c r="AA38" i="9"/>
  <c r="O38" i="9"/>
  <c r="AE37" i="9"/>
  <c r="Y37" i="9"/>
  <c r="AB37" i="9"/>
  <c r="AH38" i="9"/>
  <c r="AB38" i="9"/>
  <c r="AF37" i="9"/>
  <c r="AF38" i="9"/>
  <c r="Z38" i="9"/>
  <c r="AJ37" i="9"/>
  <c r="AD37" i="9"/>
  <c r="X37" i="9"/>
  <c r="AA37" i="9"/>
  <c r="AE38" i="9"/>
  <c r="Y38" i="9"/>
  <c r="AI37" i="9"/>
  <c r="AC37" i="9"/>
  <c r="W37" i="9"/>
  <c r="AJ38" i="9"/>
  <c r="AD38" i="9"/>
  <c r="X38" i="9"/>
  <c r="AH37" i="9"/>
  <c r="V37" i="9"/>
  <c r="AI38" i="9"/>
  <c r="AC38" i="9"/>
  <c r="W38" i="9"/>
  <c r="AG37" i="9"/>
  <c r="O37" i="9"/>
  <c r="V38" i="9"/>
  <c r="Z37" i="9"/>
  <c r="AH31" i="9"/>
  <c r="Z39" i="9"/>
  <c r="V41" i="9"/>
  <c r="Z40" i="9"/>
  <c r="AH40" i="9"/>
  <c r="V31" i="9"/>
  <c r="AD40" i="9"/>
  <c r="V39" i="9"/>
  <c r="AH42" i="9"/>
  <c r="V42" i="9"/>
  <c r="V40" i="9"/>
  <c r="AH41" i="9"/>
  <c r="W33" i="8"/>
  <c r="AA25" i="8"/>
  <c r="S33" i="8"/>
  <c r="O35" i="8"/>
  <c r="AA34" i="8"/>
  <c r="O25" i="8"/>
  <c r="W34" i="8"/>
  <c r="O33" i="8"/>
  <c r="AA36" i="8"/>
  <c r="S34" i="8"/>
  <c r="O36" i="8"/>
  <c r="O34" i="8"/>
  <c r="AA35" i="8"/>
  <c r="Z32" i="8"/>
  <c r="T32" i="8"/>
  <c r="N32" i="8"/>
  <c r="X31" i="8"/>
  <c r="R31" i="8"/>
  <c r="U32" i="8"/>
  <c r="S31" i="8"/>
  <c r="Y32" i="8"/>
  <c r="S32" i="8"/>
  <c r="AC31" i="8"/>
  <c r="W31" i="8"/>
  <c r="Q31" i="8"/>
  <c r="O32" i="8"/>
  <c r="X32" i="8"/>
  <c r="R32" i="8"/>
  <c r="AB31" i="8"/>
  <c r="V31" i="8"/>
  <c r="P31" i="8"/>
  <c r="AA32" i="8"/>
  <c r="AC32" i="8"/>
  <c r="W32" i="8"/>
  <c r="Q32" i="8"/>
  <c r="AA31" i="8"/>
  <c r="U31" i="8"/>
  <c r="O31" i="8"/>
  <c r="AB32" i="8"/>
  <c r="V32" i="8"/>
  <c r="P32" i="8"/>
  <c r="Z31" i="8"/>
  <c r="T31" i="8"/>
  <c r="N31" i="8"/>
  <c r="J23" i="8"/>
  <c r="Y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A28" i="6"/>
  <c r="AC24" i="4"/>
  <c r="Q29" i="4"/>
  <c r="AC28" i="4"/>
  <c r="AC29" i="4"/>
  <c r="Y28" i="4"/>
  <c r="Q27" i="4"/>
  <c r="Q28" i="4"/>
  <c r="AC30" i="4"/>
  <c r="U28" i="4"/>
  <c r="Q30" i="4"/>
  <c r="Y27" i="4"/>
  <c r="AB26" i="4"/>
  <c r="V26" i="4"/>
  <c r="P26" i="4"/>
  <c r="Z25" i="4"/>
  <c r="T25" i="4"/>
  <c r="AA26" i="4"/>
  <c r="U26" i="4"/>
  <c r="AE25" i="4"/>
  <c r="Y25" i="4"/>
  <c r="S25" i="4"/>
  <c r="AD26" i="4"/>
  <c r="AB25" i="4"/>
  <c r="P25" i="4"/>
  <c r="AC26" i="4"/>
  <c r="W26" i="4"/>
  <c r="Q26" i="4"/>
  <c r="AA25" i="4"/>
  <c r="U25" i="4"/>
  <c r="Z26" i="4"/>
  <c r="T26" i="4"/>
  <c r="AD25" i="4"/>
  <c r="X25" i="4"/>
  <c r="R25" i="4"/>
  <c r="X26" i="4"/>
  <c r="R26" i="4"/>
  <c r="V25" i="4"/>
  <c r="AE26" i="4"/>
  <c r="Y26" i="4"/>
  <c r="S26" i="4"/>
  <c r="AC25" i="4"/>
  <c r="W25" i="4"/>
  <c r="Q25" i="4"/>
  <c r="U27" i="4"/>
  <c r="AO92" i="17" l="1"/>
  <c r="AG11" i="22" s="1"/>
  <c r="AK2" i="22"/>
  <c r="AH32" i="9"/>
  <c r="AA26" i="16"/>
  <c r="AA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tc={0F348147-FB7B-4BF5-94E6-A1B58052DDCC}</author>
    <author>LINA YHICEDT DUARTE KLINGER</author>
    <author>tc={30FA5701-58F3-4774-BC43-073D48C0E948}</author>
    <author>tc={DE3FD828-6395-4315-B312-7290C6A49C41}</author>
    <author>tc={B8EAD5FA-6F6E-498B-B120-FBEBC901D530}</author>
    <author>tc={EFB06182-FD3A-44B3-9628-755EC369AA54}</author>
  </authors>
  <commentList>
    <comment ref="G28" authorId="0" shapeId="0" xr:uid="{0F348147-FB7B-4BF5-94E6-A1B58052DDCC}">
      <text>
        <t>[Comentario encadenado]
Su versión de Excel le permite leer este comentario encadenado; sin embargo, las ediciones que se apliquen se quitarán si el archivo se abre en una versión más reciente de Excel. Más información: https://go.microsoft.com/fwlink/?linkid=870924
Comentario:
    Audatex?</t>
      </text>
    </comment>
    <comment ref="I28" authorId="1" shapeId="0" xr:uid="{A7CBF077-A7EC-4591-ADD5-ADDDDC306325}">
      <text>
        <r>
          <rPr>
            <sz val="9"/>
            <color indexed="81"/>
            <rFont val="Tahoma"/>
            <family val="2"/>
          </rPr>
          <t xml:space="preserve">Incluye monto vigencia  2023 $203.632.800 IVA incluido.
</t>
        </r>
      </text>
    </comment>
    <comment ref="G31" authorId="2" shapeId="0" xr:uid="{30FA5701-58F3-4774-BC43-073D48C0E948}">
      <text>
        <t>[Comentario encadenado]
Su versión de Excel le permite leer este comentario encadenado; sin embargo, las ediciones que se apliquen se quitarán si el archivo se abre en una versión más reciente de Excel. Más información: https://go.microsoft.com/fwlink/?linkid=870924
Comentario:
    Son los 12 contratos de ajustadores?</t>
      </text>
    </comment>
    <comment ref="G45" authorId="3" shapeId="0" xr:uid="{DE3FD828-6395-4315-B312-7290C6A49C41}">
      <text>
        <t>[Comentario encadenado]
Su versión de Excel le permite leer este comentario encadenado; sin embargo, las ediciones que se apliquen se quitarán si el archivo se abre en una versión más reciente de Excel. Más información: https://go.microsoft.com/fwlink/?linkid=870924
Comentario:
    Enviaron como aceptación de oferta</t>
      </text>
    </comment>
    <comment ref="G47" authorId="4" shapeId="0" xr:uid="{B8EAD5FA-6F6E-498B-B120-FBEBC901D530}">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No es claro porq es directa
</t>
      </text>
    </comment>
    <comment ref="E97" authorId="5" shapeId="0" xr:uid="{EFB06182-FD3A-44B3-9628-755EC369AA54}">
      <text>
        <t>[Comentario encadenado]
Su versión de Excel le permite leer este comentario encadenado; sin embargo, las ediciones que se apliquen se quitarán si el archivo se abre en una versión más reciente de Excel. Más información: https://go.microsoft.com/fwlink/?linkid=870924
Comentario:
    No estimado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9EA6EFD7-4582-4B1A-A655-072523D09FF3}">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<sst xmlns="http://schemas.openxmlformats.org/spreadsheetml/2006/main" count="10282" uniqueCount="1513">
  <si>
    <t>e</t>
  </si>
  <si>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</si>
  <si>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</si>
  <si>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</si>
  <si>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</si>
  <si>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</si>
  <si>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</si>
  <si>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</si>
  <si>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</si>
  <si>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</si>
  <si>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</si>
  <si>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</si>
  <si>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</si>
  <si>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</si>
  <si>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</si>
  <si>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</si>
  <si>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</si>
  <si>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</si>
  <si>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</si>
  <si>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</si>
  <si>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</si>
  <si>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</si>
  <si>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</si>
  <si>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</si>
  <si>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</si>
  <si>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</si>
  <si>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</si>
  <si>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</si>
  <si>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</si>
  <si>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</si>
  <si>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</si>
  <si>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</si>
  <si>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</si>
  <si>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</si>
  <si>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</si>
  <si>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CONTROL EJECUCIÓN</t>
  </si>
  <si>
    <t>ROJO</t>
  </si>
  <si>
    <t>CONTROL CUMPLIMIENTO</t>
  </si>
  <si>
    <t>VERDE</t>
  </si>
  <si>
    <t>RESPONSABLE SEGUIMIENTO:</t>
  </si>
  <si>
    <t>GERENCIA DE INNOVACIÓN Y PROCESOS</t>
  </si>
  <si>
    <t>TOTAL PROGRAMADO:</t>
  </si>
  <si>
    <t>TOTAL EJECUTADO GLOBAL:</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</si>
  <si>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</si>
  <si>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</si>
  <si>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</si>
  <si>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</si>
  <si>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</si>
  <si>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</si>
  <si>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2023</t>
  </si>
  <si>
    <t>PARTE 3. SEGUIMIENTO CUANTITATIVO</t>
  </si>
  <si>
    <t>PARTE 4. SEGUIMIENTO CUALITATIVO</t>
  </si>
  <si>
    <t xml:space="preserve">No. </t>
  </si>
  <si>
    <t>OBJETIVO ESTRATÉGICO  SECTORIAL</t>
  </si>
  <si>
    <t>OBJETIVO ESTRATEGICO PREVISORA</t>
  </si>
  <si>
    <t>DIMENSIÓN MIPG</t>
  </si>
  <si>
    <t>POLÍTICA MIPG</t>
  </si>
  <si>
    <t>RESPONSABLE</t>
  </si>
  <si>
    <t>INICIATIVA</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</si>
  <si>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</si>
  <si>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</si>
  <si>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</si>
  <si>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</si>
  <si>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</si>
  <si>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</si>
  <si>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</si>
  <si>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</si>
  <si>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</si>
  <si>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</si>
  <si>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</si>
  <si>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</si>
  <si>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</si>
  <si>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</si>
  <si>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</si>
  <si>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</si>
  <si>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</si>
  <si>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</si>
  <si>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</si>
  <si>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</si>
  <si>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</si>
  <si>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</si>
  <si>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</si>
  <si>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</si>
  <si>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</si>
  <si>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</si>
  <si>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</si>
  <si>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DIMENSIÓN 3. GESTIÓN CON VALORES PARA RESULTADOS</t>
  </si>
  <si>
    <t>D3. SERVICIO AL CIUDADANO</t>
  </si>
  <si>
    <t xml:space="preserve">PLAN SECTORIAL </t>
  </si>
  <si>
    <t>GERENCIA DE SERVICIO</t>
  </si>
  <si>
    <t>Participar en las actividades que se definan en las mesas sectoriales de relacionamiento ciudadano</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</si>
  <si>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</si>
  <si>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</si>
  <si>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</si>
  <si>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</si>
  <si>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</si>
  <si>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</si>
  <si>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</si>
  <si>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</si>
  <si>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</si>
  <si>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OFICINA DE CONTROL INTERNO DISCIPLINARIO</t>
  </si>
  <si>
    <t>Asistencia y participación entidades del Sector Hacienda.</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</si>
  <si>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</si>
  <si>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</si>
  <si>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</si>
  <si>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</si>
  <si>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</si>
  <si>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</si>
  <si>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</si>
  <si>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Optimizar el modelo operativo con procesos transversales para ser más ágiles, flexibles y eficaces</t>
  </si>
  <si>
    <t>D5. GESTIÓN DOCUMENTAL</t>
  </si>
  <si>
    <t>SUBGERENCIA DE RECURSOS FÍSICOS</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</si>
  <si>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</si>
  <si>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</si>
  <si>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</si>
  <si>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D3. GOBIERNO DIGITAL</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</si>
  <si>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</si>
  <si>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</si>
  <si>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</si>
  <si>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</si>
  <si>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Integrar y potenciar las capacidades de la organización, competencias y valores del equipo humano requeridas para ser una organización colaborativa y flexible que cumple su misión</t>
  </si>
  <si>
    <t>DIMENSIÓN 1. TALENTO HUMANO</t>
  </si>
  <si>
    <t>D1. TALENTO HUMANO</t>
  </si>
  <si>
    <t>GERENCIA DE TALENTO HUMANO</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</si>
  <si>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</si>
  <si>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</si>
  <si>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D3. DEFENSA JURÍDICA</t>
  </si>
  <si>
    <t>GERENCIA DE LITIGIOS</t>
  </si>
  <si>
    <t xml:space="preserve">Participar en las mesas sectoriales de la política de Defensa Jurídica del Sector Hacienda </t>
  </si>
  <si>
    <t>Semestral</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</si>
  <si>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</si>
  <si>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</si>
  <si>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</si>
  <si>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No aplica seguimiento para este periodo.</t>
  </si>
  <si>
    <t>EJECUTADO</t>
  </si>
  <si>
    <t>Ejecutado por semana</t>
  </si>
  <si>
    <t>Ejecutado por mes</t>
  </si>
  <si>
    <t>Ejecutado por trimestre</t>
  </si>
  <si>
    <t>Ejecutado por año acumulado</t>
  </si>
  <si>
    <t>PROGRAMADO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</si>
  <si>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</si>
  <si>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</si>
  <si>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</si>
  <si>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</si>
  <si>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</si>
  <si>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</si>
  <si>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</si>
  <si>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</si>
  <si>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</si>
  <si>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</si>
  <si>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 DE AVANCE PW  </t>
  </si>
  <si>
    <t xml:space="preserve">% META PROGRAMADA  </t>
  </si>
  <si>
    <t xml:space="preserve">% CUMPLIMIENTO  </t>
  </si>
  <si>
    <t>GERENCIA DE INNOVACIÓN Y PROCESOS
GERENCIA DE PLANEACIÓN</t>
  </si>
  <si>
    <t>D3. FORTALECIMIENTO ORGANIZACIONAL Y SIMPLIFICACIÓN DE PROCESOS</t>
  </si>
  <si>
    <t xml:space="preserve">PLAN INSTITUCIONAL </t>
  </si>
  <si>
    <t>Gastos de Operación - Recursos Propios</t>
  </si>
  <si>
    <t>SUBGERENCIA DE MEJORAMIENTO DE PROCESOS</t>
  </si>
  <si>
    <t>Cumplimiento del Plan de Mantenimiento del SGI (Sistema de Gestión Integral)</t>
  </si>
  <si>
    <t xml:space="preserve">Cumplir con el Plan de Mantenimiento del SGI  para cerrar brechas identificadas la medición del MIPG, y mantenimiento de las normas ISO 9001, ISO 14001 y su integración con otros sistemas de gestión de la compañía no certificados. </t>
  </si>
  <si>
    <t>Plan medido (% Avance Real / % Planeado).
Nota: Basado en un cronograma definido para alcanzar el 100% del alcance</t>
  </si>
  <si>
    <t>RECURSOS HUMANOS
RECURSOS FINANCIEROS
RECURSOS TECNOLÓGICOS</t>
  </si>
  <si>
    <t>Ejecutar actividades de Mantenimiento del Sistema de Control Interno de la compañía de conformidad con las brechas identificadas en la medición del MECI y FURAG.</t>
  </si>
  <si>
    <t>D3. PARTICIPACIÓN CIUDADANA EN LA GESTIÓN PÚBLICA</t>
  </si>
  <si>
    <t>Cumplir con el Plan de Mantenimiento del SGIN  para cerrar brechas identificadas en la medición del MIPG y respaldar el Sello de Buenas Prácticas de Innovación.</t>
  </si>
  <si>
    <t>Plan medido (% Avance Real / % Planeado).
Nota: Basado en un cronograma definido para alcanzar el 100% del alcance</t>
  </si>
  <si>
    <t>GERENCIA DE PLANEACIÓN</t>
  </si>
  <si>
    <t>GR2. Fortalecer la Gestión TIC y de la Información en las Entidades del Sector Hacienda</t>
  </si>
  <si>
    <t>DIMENSIÓN 4. EVALUACIÓN DE RESULTADOS</t>
  </si>
  <si>
    <t>TOTAL CUMPLIMIENTO I SEMESTRE</t>
  </si>
  <si>
    <t>TOTAL CUMPLIMIENTO II SEMESTRE</t>
  </si>
  <si>
    <t>ACTIVIDAD ANUAL</t>
  </si>
  <si>
    <t>Cumplimiento del Plan Institucional de Capacitación</t>
  </si>
  <si>
    <t>Actividades ejecutadas del Plan de Capacitación/Actividades planeadas en el Plan de Capacitación)x100</t>
  </si>
  <si>
    <t>Presupuesto definido para el rubro de Capacitación y de acuerdo al programa y población final</t>
  </si>
  <si>
    <t>Presupuesto  autorizado para el rubro de Capacitación de personal y congresos, foros, seminarios y similares</t>
  </si>
  <si>
    <t>Diciembre</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</si>
  <si>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</si>
  <si>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</si>
  <si>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</si>
  <si>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</si>
  <si>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</si>
  <si>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</si>
  <si>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</si>
  <si>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</si>
  <si>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Noviembre</t>
  </si>
  <si>
    <t>Se gestionaron todas las actividades planeadas en el Plan Anual del SG-SST Para el primer semestre</t>
  </si>
  <si>
    <t xml:space="preserve">Se gestionan todas las actividades planeadas en el Plan Anual de Trabajo de SST </t>
  </si>
  <si>
    <t>Presupuesto definido para el Rubro de Selección de Personal</t>
  </si>
  <si>
    <t>Anual</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</si>
  <si>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</si>
  <si>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</si>
  <si>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</si>
  <si>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</si>
  <si>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OBJETIVO PINAR</t>
  </si>
  <si>
    <t>Elaborar, implementar y hacer seguimiento a los instrumentos archivisticos que contempla la normatividad vigente</t>
  </si>
  <si>
    <t>Actualización Instrumentos archivísticos (Programa de gestión documental PGD - Plan Institucional de Archivos PINAR) Elaboración de Tablas de control de Acceso TCA</t>
  </si>
  <si>
    <t>Actividades ejecutadas del Plan Institucional de Archivos - PINAR  /Actividades planeadas en el Plan Institucional de Archivos -Pinar</t>
  </si>
  <si>
    <t>Presupuesto contemplado en Servicios de manejo documental</t>
  </si>
  <si>
    <t xml:space="preserve">Presupuesto contemplado Gastos de archivo y microfilmación </t>
  </si>
  <si>
    <t xml:space="preserve">Asegurar que los documentos que se produzcan y tramitan en medio electrónico, toda su gestión  y permanencia durante su ciclo vital se desarrolle en este mismo medio, conformando expedientes electrónicos. </t>
  </si>
  <si>
    <t>Implementación Sistema de gestión de documentos electrónicos de Archivo - SGDEA</t>
  </si>
  <si>
    <t xml:space="preserve">Organizar el Fondo Documental Acumulado de la compañía con el fin de racionalizar recursos de custodia y almacenamiento, garantizando el ciclo vital de los documentos. </t>
  </si>
  <si>
    <t>Elaboración Tablas de valoración Documental</t>
  </si>
  <si>
    <t>Elaborar, administrar y hacer seguimiento al sistema integrado de Conservación, teniendo en cuenta los diferentes medios y formatos en los que se produce la documentación con el fin de asegurar las condiciones óptimas de los registros y expedientes de la compañia.</t>
  </si>
  <si>
    <t>Actualización Instrumentos archivísticos (Sistema Integrado de Conservación SIC)  - Elaboración el Plan de Preservación Digital.</t>
  </si>
  <si>
    <t xml:space="preserve">Gestionar la convalidación ante el ente rector de las TRD a fin de garantizar la retención y disposición final de los documentos de la Compañia. </t>
  </si>
  <si>
    <t xml:space="preserve">gestionar la Inscripción en el Registro único de Series Documentales — RUSD ante el ente rector AGN </t>
  </si>
  <si>
    <t xml:space="preserve">Sensibilizar, capacitar y divulgar a los servidores de la Compañía sobre la importancia del manejo de la información que produce en razón de sus funciones, haciendo énfasis en el manejo de OnBase y los procesos y procedimientos de gestión documental. </t>
  </si>
  <si>
    <t>Plan de Capacitación funcionarios, Participación Mesas Sectoriales en Gestión Documental</t>
  </si>
  <si>
    <t>Código UNSPSC (cada código separado por ;)</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</si>
  <si>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</si>
  <si>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</si>
  <si>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</si>
  <si>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</si>
  <si>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</si>
  <si>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</si>
  <si>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</si>
  <si>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</si>
  <si>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</si>
  <si>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</si>
  <si>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</si>
  <si>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</si>
  <si>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</si>
  <si>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</si>
  <si>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</si>
  <si>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</si>
  <si>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</si>
  <si>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FACULTAD</t>
  </si>
  <si>
    <t>PROGRAMA</t>
  </si>
  <si>
    <t>OBJETIVO PIC</t>
  </si>
  <si>
    <t>FORMADOR</t>
  </si>
  <si>
    <t>MODALIDAD</t>
  </si>
  <si>
    <t>TIPO</t>
  </si>
  <si>
    <t>POBLACIÓN A IMPACTAR</t>
  </si>
  <si>
    <t>DURACIÓN (HRS)</t>
  </si>
  <si>
    <t># FUNCIONARIOS</t>
  </si>
  <si>
    <t>(PREPARACIÓN ACADEMICA)</t>
  </si>
  <si>
    <t>(EJECUCIÓN ACADEMICA)</t>
  </si>
  <si>
    <t>CAPACIDADES PARA EL DESEMPEÑO</t>
  </si>
  <si>
    <t>INNOVACIÓN</t>
  </si>
  <si>
    <t xml:space="preserve">Desarrollar las competencias y habilidades de los funcionarios para crear y mejorar productos y servicios, promover la eficiencia de la compañía y consolidar los factores de competitividad </t>
  </si>
  <si>
    <t>MIXTO</t>
  </si>
  <si>
    <t>VOLUNTARIO</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</si>
  <si>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</si>
  <si>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</si>
  <si>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CAPACIDADES HUMANAS</t>
  </si>
  <si>
    <t>EXPERIENCIAL DEL CLIENTE</t>
  </si>
  <si>
    <t>Desarrollar conocimientos que permitan crear valor de manera apropiada, diferencial y continua para los clientes objetivo de Previsora</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</si>
  <si>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</si>
  <si>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</si>
  <si>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TRANSFORMACIÓN DIGITAL</t>
  </si>
  <si>
    <t>Desarrollar las competencias y habilidades digitales de los funcionarios para crear y mejorar productos y servicios</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</si>
  <si>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</si>
  <si>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</si>
  <si>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CAPACIDADES MEDULARES</t>
  </si>
  <si>
    <t>CURSOS NORMATIVOS</t>
  </si>
  <si>
    <t xml:space="preserve">Fortalecer los conocimientos de la organización a través de los Cursos Normativos </t>
  </si>
  <si>
    <t>OBLIGATORIO</t>
  </si>
  <si>
    <t>Funcionarios de Planta</t>
  </si>
  <si>
    <t>Presupuesto definido para el rubro de Capacitación y de acuerdo al programa final</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</si>
  <si>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</si>
  <si>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</si>
  <si>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ANÁLITICA DE DATOS</t>
  </si>
  <si>
    <t>Fortalecer los conocimientos para la toma de decisiones apalancadas en un modelo de analítica de datos que trasciendan a toda la organización.</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</si>
  <si>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</si>
  <si>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</si>
  <si>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CULTURA ORGANIZACIONAL</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</si>
  <si>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</si>
  <si>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</si>
  <si>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FORMACIÓN INTERNA EN PROCESOS DE LA COMPAÑÍA</t>
  </si>
  <si>
    <t xml:space="preserve">Brindar y gestionar capacitaciones adicionales producto de cambios en los procesos o información de interes que se requiera difundir por las áreas. </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</si>
  <si>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</si>
  <si>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</si>
  <si>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FORMACIÓN EXTERNA PARA ACTUALIZACIÓN DE CONOCIMIENTOS RELACIONADOS CON LOS PROCESOS DE LA COMPAÑÍA</t>
  </si>
  <si>
    <t>Actualizar conocimientos y adquirir nuevas destrezas y habilidades que permitan una mejor adaptación al cambio y un desempeño eficiente en el entorno laboral.</t>
  </si>
  <si>
    <t>PROVEEDOR</t>
  </si>
  <si>
    <t>Presupuesto definido para el rubro de Capacitación Congresos Foros y Seminarios y de acuerdo al programa y población final</t>
  </si>
  <si>
    <t xml:space="preserve">Se gestionaron los requerimientos solicitadas por las areas en el primer semestre.
</t>
  </si>
  <si>
    <t xml:space="preserve">Se gestionaron los requerimientos solicitadas por las areas en el segundo semestre.
</t>
  </si>
  <si>
    <t>CATEGORIA</t>
  </si>
  <si>
    <t>NOMBRE DE LA ACTIVIDAD</t>
  </si>
  <si>
    <t>DESCRIPCION DE LA ACTIVIDAD</t>
  </si>
  <si>
    <t>ÁREA LÍDER</t>
  </si>
  <si>
    <t>PREMIO</t>
  </si>
  <si>
    <t>INDIVIDUAL</t>
  </si>
  <si>
    <t>COLECTIVO</t>
  </si>
  <si>
    <t>MES DE EJECUCIÓN</t>
  </si>
  <si>
    <t>MES DE PREMIACIÓN</t>
  </si>
  <si>
    <t>CRITERIOS DE EVALUACIÓN</t>
  </si>
  <si>
    <t>PLAN DE INCENTIVOS INSTITUCIONALES</t>
  </si>
  <si>
    <t>GESTION DEL DESEMPEÑO</t>
  </si>
  <si>
    <t>Reconocimiento Evaluación de Desempeño</t>
  </si>
  <si>
    <t>GERENCIA DE TALENTO HUMANO - SUBGERENCIA DE DESARROLLO DE TALENTO HUMANO</t>
  </si>
  <si>
    <t>X</t>
  </si>
  <si>
    <t>40 funcionarios destacados en la evaluación de desempeño del año anterior y según la distribución de cupos de cada Vicepresidencia</t>
  </si>
  <si>
    <t>Concurso ejecutado</t>
  </si>
  <si>
    <t>DESARROLLO Y CULTURA</t>
  </si>
  <si>
    <t>Se inició con el desarrollo de concursos planteados dentro de esta categoría</t>
  </si>
  <si>
    <t>Se realizaron todas las actividades programadas para esta categoría</t>
  </si>
  <si>
    <t>DIMENSIÓN 2. DIRECCIONAMIENTO ESTRATÉGICO</t>
  </si>
  <si>
    <t xml:space="preserve">D2. PLANEACIÓN INSTITUCIONAL </t>
  </si>
  <si>
    <t>Satisfacción cliente</t>
  </si>
  <si>
    <t>Premiación áreas con resultados destacados en la encuesta cliente interno y final.</t>
  </si>
  <si>
    <t>Semana de la Creatividad y la Innovación</t>
  </si>
  <si>
    <t>SUBGERENCIA DE TRANSFORMACIÓN DIGITAL</t>
  </si>
  <si>
    <t>NUESTRA ESTRATEGIA</t>
  </si>
  <si>
    <t>OFICINA DE MERCADEO Y PUBLICIDAD</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</si>
  <si>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</si>
  <si>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</si>
  <si>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</si>
  <si>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OBJETIVO DEL SG-SST</t>
  </si>
  <si>
    <t>ESTANDAR</t>
  </si>
  <si>
    <t>PROGRAMA O TEMA RELACIONADO</t>
  </si>
  <si>
    <t>ACTIVIDAD</t>
  </si>
  <si>
    <t>RESPONABLE</t>
  </si>
  <si>
    <t>FRECUENCIA</t>
  </si>
  <si>
    <t>RESPONSABILIDADES</t>
  </si>
  <si>
    <t>Se realiza deisgnación del responsable en SST</t>
  </si>
  <si>
    <t>Se realiza actualización de Instructivo criterios de SST para seleccion y evaluación de contratistas y proveedores</t>
  </si>
  <si>
    <t xml:space="preserve">NORMATIVIDAD VIGENTE EN SST </t>
  </si>
  <si>
    <t>Actualización de la Matriz Legal en SST</t>
  </si>
  <si>
    <t>Se realiza actualización de matriz de peligros y se remite en Normograma al area de cumplimiento para respectiva publicación</t>
  </si>
  <si>
    <t xml:space="preserve">PROGRAMA DE VIGILANCIA EPIDEMIOLOGICA OSTEOMUSCULAR </t>
  </si>
  <si>
    <t>Se realiza actualización del PVE Osteomuscular</t>
  </si>
  <si>
    <t xml:space="preserve">PROGRAMA DE VIGILANCIA EPIDEMIOLOGICA PSICOSOCIAL </t>
  </si>
  <si>
    <t>Se realiza actualización del PVE Psicosocial</t>
  </si>
  <si>
    <t xml:space="preserve">PYP. PROGRAMA ESTILOS DE VIDA SALUDABLE </t>
  </si>
  <si>
    <t>Se diseña politica de prevención de consumo de sustancias psicoactivas</t>
  </si>
  <si>
    <t xml:space="preserve">PERFIL SOCIODEMOGRAFICO </t>
  </si>
  <si>
    <t>Se realiza encuesta para la actualización de perfil sociodemografico</t>
  </si>
  <si>
    <t>INDICADORES</t>
  </si>
  <si>
    <t>De manera mensual se realizan mediciones y se reporta el resultado al SGI, arrojando cumplimiento de las metas establecidas</t>
  </si>
  <si>
    <t xml:space="preserve">IPEVR - MATRICES DE PELIGROS </t>
  </si>
  <si>
    <t>Se realiza actualización de matriz de peligros basados en los encuentros realizados con sucursales y visitas a pisos</t>
  </si>
  <si>
    <t>PLAN DE EMERGENCIAS</t>
  </si>
  <si>
    <t xml:space="preserve">Se realiza divulgación de planes de emergencias y PONS </t>
  </si>
  <si>
    <t>COPASST</t>
  </si>
  <si>
    <t>Acompañamiento a reuniones mensuales</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</si>
  <si>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</si>
  <si>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</si>
  <si>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</si>
  <si>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</si>
  <si>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</si>
  <si>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</si>
  <si>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</si>
  <si>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</si>
  <si>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 xml:space="preserve">POLITICA Y OBJETIVOS DEL SG SST </t>
  </si>
  <si>
    <t>Se realiza divulgación a traves de mejoramiento de procesos en pagina WEB e email</t>
  </si>
  <si>
    <t>Se realiza autoevaluación al SGGST correspondiente al año 2022.</t>
  </si>
  <si>
    <t>Se realiza evaluación a cumplimiento legal</t>
  </si>
  <si>
    <t>Socialización de las responsabilidades en SST a los Supervisores de Contrato de Previsora</t>
  </si>
  <si>
    <t>Se realizo a traves de Email socializando instructivo aprobado.</t>
  </si>
  <si>
    <t>Se realiza Reinducción a los contratistas UT Casa Matriz y Americana.</t>
  </si>
  <si>
    <t>Se realiza inducción a contratistas Datafile, Stefanini, 472.</t>
  </si>
  <si>
    <t>Se aplico encuesta de morbilidad sentida.</t>
  </si>
  <si>
    <t>Se consolida en base de encuestas y diagnostico de condiciones de salud</t>
  </si>
  <si>
    <t>Se realiza inspección de puestos de trabajo a 14 funcionarios que manifestaron sintomatologia Osteomuscular en mayor grado</t>
  </si>
  <si>
    <t>Se realizan escuelas de manejo del dolor por segmentos.</t>
  </si>
  <si>
    <t xml:space="preserve">Entrega de elementos de confort Casa Matriz y Sucursales </t>
  </si>
  <si>
    <t>Se realiza entrega de elementos de confort (elevadores de pantalla y descansapies)</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</si>
  <si>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</si>
  <si>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</si>
  <si>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</si>
  <si>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</si>
  <si>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</si>
  <si>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</si>
  <si>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</si>
  <si>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</si>
  <si>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</si>
  <si>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</si>
  <si>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</si>
  <si>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Se realiza el mes de la salud y bienestar ejecutando actividades de promoción y prevención</t>
  </si>
  <si>
    <t xml:space="preserve">EVALUACIONES MEDICAS OCUPACIONALES </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</si>
  <si>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</si>
  <si>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</si>
  <si>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Gestionar casos de presunta enfermedad laboral o común que requiera manejo y seguimiento específico.</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</si>
  <si>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</si>
  <si>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MECANISMOS DE VIGILANCIA DE CONDICIONES DE SALUD </t>
  </si>
  <si>
    <t>Cada mes se prepara la carcterización del ausentismo para preentar estadisticas al COPASST</t>
  </si>
  <si>
    <t>Cada mes se prepara la caracterización del ausentismo para presentar estadisticas al COPASST</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</si>
  <si>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</si>
  <si>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</si>
  <si>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</si>
  <si>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</si>
  <si>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Acompañar las investigaciones junto con el equipo investigador cada vez que  se presente un evento AT/EL (hacer seguimiento)</t>
  </si>
  <si>
    <t>Se acompañaron 2 investigaciones de AT, ocurridos en el mes de marzo</t>
  </si>
  <si>
    <t>No se presentan accidentes en el II trimestre del año</t>
  </si>
  <si>
    <t>Se presento  un accidente de trabajo deportivo</t>
  </si>
  <si>
    <t>No se presentan accidentes en el IV trimestre del año</t>
  </si>
  <si>
    <t>Culminación de programación de actividades</t>
  </si>
  <si>
    <t>Se presentan informes de simulacros ejecutados a nivel nacional</t>
  </si>
  <si>
    <t>Calcular indicadores de SST y reportar al BSC</t>
  </si>
  <si>
    <t>Mensualmente se calculan los indicadores y se pasa reporte al BCS, hasta el momento se cumplen las metas</t>
  </si>
  <si>
    <t>AUDITORIA</t>
  </si>
  <si>
    <t>Se atiende auditoria y se cuenta con el informe</t>
  </si>
  <si>
    <t>PRESUPUESTO</t>
  </si>
  <si>
    <t>Realizar seguimiento al presupuesto</t>
  </si>
  <si>
    <t>Actualmente no se ha desembolsado o usado el recurso del presupuesto, los contratos apenas estan iniciando ejecución</t>
  </si>
  <si>
    <t xml:space="preserve">Se realiza seguimiento al presupuesto de SST </t>
  </si>
  <si>
    <t>SEGURIDAD SOCIAL</t>
  </si>
  <si>
    <t>Se cargan certificados de paz y salvo de pagos de parafiscales</t>
  </si>
  <si>
    <t xml:space="preserve">COMITÉ DE CONVIVENCIA LABORAL </t>
  </si>
  <si>
    <t>Se realiza seguimiento al CCL con el reporte de ejecución de reuniones y manejo de casos y capacitaciones
Se instala y nombra CCL en Junio.</t>
  </si>
  <si>
    <t>Se realiza seguimiento al CCL con el reporte de ejecución de reuniones y manejo de casos y capacitaciones</t>
  </si>
  <si>
    <t>CAPACITACION Y COMUNICACIONES</t>
  </si>
  <si>
    <t>Conservar evidencias de inducciones en SST</t>
  </si>
  <si>
    <t>Se realiza seguimiento al cumplimiento de la induccion en SST por parte de la subgerencia de desarrollo y formación</t>
  </si>
  <si>
    <t>RENDICION DE CUENTAS</t>
  </si>
  <si>
    <t>Se realiza encuesta a funcionarios para rendición de cuentas</t>
  </si>
  <si>
    <t>Reuniones de seguimiento al  cumplimiento de SST por parte de los Proveedores  clase de riesgo IV y V</t>
  </si>
  <si>
    <t>Se realiza seguimiento a los contratistas (UT Casa matriz, Comsenal y Americana)</t>
  </si>
  <si>
    <t>Se realiza seguimiento a los contratistas (UT Casa matriz y Americana)</t>
  </si>
  <si>
    <t>GESTION DE CAMBIO</t>
  </si>
  <si>
    <t>Realizar seguimiento al reporte de los cambios presentados</t>
  </si>
  <si>
    <t>Se documenta por obra hidrosanitaria</t>
  </si>
  <si>
    <t>Se documenta por Rediseño</t>
  </si>
  <si>
    <t>Se practican 3 examenes post incapacidad de personal que completado hasta 30 dias continuos de incapacidad</t>
  </si>
  <si>
    <t>Se practican 6 examenes post incapacidad de personal que completado hasta 30 dias continuos de incapacidad</t>
  </si>
  <si>
    <t>Se practican 4 examenes post incapacidad de personal que completado hasta 30 dias continuos de incapacidad</t>
  </si>
  <si>
    <t>REPORTE E INVESTIGACION AT/EL</t>
  </si>
  <si>
    <t>Se realiza seguimiento a planes de accion cerrados efectivamente</t>
  </si>
  <si>
    <t>Se realiza la verificación de los controles implementados</t>
  </si>
  <si>
    <t xml:space="preserve">INSPECCIONES DE SEGURIDAD </t>
  </si>
  <si>
    <t>Realizar seguimiento a inspecciones planeadas según Cronograma de inspecciones de Seguridad</t>
  </si>
  <si>
    <t>Desde el COPASST se realiza un cronograma para que los integrantes acompañen las inspecciones de seguridad.
Se inicia con el recorrido por la "L" y otros en el exterior de Casa Matriz</t>
  </si>
  <si>
    <t>Se finalizan las inspecciones de Casa Matriz y se socializan en reuniones del COPASST para validar los avances</t>
  </si>
  <si>
    <t>Se realiza seguimiento a cierre de halallazgos de inspecciones.</t>
  </si>
  <si>
    <t>Realizar seguimiento del plan SST/indicadores por parte de la Subgerencia</t>
  </si>
  <si>
    <t>Se realiza revision y envio mensual de los indicadores alineados a los objetivos estrategicos, en los cuales se evdiencia el cumplimiento de las metas establecidas</t>
  </si>
  <si>
    <t>Se realiza revision y envio mensual de los indicadores alineados a los objetivos estrategicos, en los cuales se evdiencia el cumplimiento de las metas establecidas, se socializa en grupo primario avances del plan de trabajo</t>
  </si>
  <si>
    <t>Se realiza revision y envio mensual de los indicadores alineados a los objetivos estrategicos, en los cuales se evidencia el cumplimiento de las metas establecidas, se socializa en grupo primario avances del plan de trabajo</t>
  </si>
  <si>
    <t>REVISION POR LA DIRECCION</t>
  </si>
  <si>
    <t>Realizar Revisión por la dirección del SG SST</t>
  </si>
  <si>
    <t>Se realiza la revisión por la alta dirección sin novedades</t>
  </si>
  <si>
    <t>Se realiza segumiento a las acciones derivadas de las investigaciones de los 2 accidentes de trabajo presentados en marzo, junto con los hallazgos identificados en el recorrido realizado por el COPASST a la "L"</t>
  </si>
  <si>
    <t>Se realiza seguimiento a las acciones derivadas de las inspecciones de seguridad y se realizan mesas de trabajo con contratos y cumplimiento</t>
  </si>
  <si>
    <t>Se realiza seguimiento a las acciones de mejora derivadas de auditoria: Matriz Legal y adquisiciones.</t>
  </si>
  <si>
    <t>Se realiza seguimiento a las acciones de mejora derivadas de auditoria: Matrices de peligro</t>
  </si>
  <si>
    <t>I CUATRIMESTRE</t>
  </si>
  <si>
    <t>II CUATRIMESTRE</t>
  </si>
  <si>
    <t>III CUATRIMESTRE</t>
  </si>
  <si>
    <t>Actividad del Plan No.</t>
  </si>
  <si>
    <t>COMPONENTE</t>
  </si>
  <si>
    <t>ACTIVIDAD CUATRIENAL</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</si>
  <si>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</si>
  <si>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</si>
  <si>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</si>
  <si>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</si>
  <si>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</si>
  <si>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</si>
  <si>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</si>
  <si>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</si>
  <si>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</si>
  <si>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</si>
  <si>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</si>
  <si>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</si>
  <si>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</si>
  <si>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</si>
  <si>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</si>
  <si>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Peso Componente</t>
  </si>
  <si>
    <t>P</t>
  </si>
  <si>
    <t>E</t>
  </si>
  <si>
    <t>GERENCIA DE RIESGOS</t>
  </si>
  <si>
    <t>PRIMER COMPONENTE: Gestión de Riesgos de Corrupción</t>
  </si>
  <si>
    <t>Realizar la revisión de 5 procesos misionales donde se tengan identificados riesgos de corrupción, con el fin de realizar la actualización de los mismos.</t>
  </si>
  <si>
    <t>Mapa Actualizado y publicado en página Web, según el número de procesos definidos.</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</si>
  <si>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</si>
  <si>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</si>
  <si>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</si>
  <si>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</si>
  <si>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Fortalecer la cultura de gestión de riesgos de corrupción en la Compañía a traves del envió de manera cuatrimestral  de comunicados alusivos al tema.</t>
  </si>
  <si>
    <t>Correo de comunicado publicado.</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</si>
  <si>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</si>
  <si>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</si>
  <si>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Gestionar los casos reportados mediante los canales de denuncia</t>
  </si>
  <si>
    <t>Relación de casos gestionados</t>
  </si>
  <si>
    <t>Se recibieron cuatro casos, dos están en investigación y dos están cerrados.</t>
  </si>
  <si>
    <t>Durante el cuatrimestre se recibieron 11 casos, de los cuales 2 están en investigación y 9 están en proceso de análisis.</t>
  </si>
  <si>
    <t xml:space="preserve">Durante el cuatrimestre se analizaron 4 casos </t>
  </si>
  <si>
    <t>Revisar y actualizar el Manual de Políticas del Plan Anticorrupción y Atención al Ciudadano, fortaleciendo principalmente los componentes de riesgos anticorrupción, Rendición de Cuentas y Transparencia</t>
  </si>
  <si>
    <t>Manual actualizado con todos los componentes
Meta: 100% avance en la actualización del Manual a 31 de diciembre de 2023</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</si>
  <si>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</si>
  <si>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</si>
  <si>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</si>
  <si>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TERCER COMPONENTE: RENDICIÓN DE CUENTAS: Subcomponente 1</t>
  </si>
  <si>
    <t>Publicar el primer informe periódico de rendición de cuentas corte a diciembre 2022 en la página web.</t>
  </si>
  <si>
    <t xml:space="preserve">La Oficina de Mercadeo realiza la consolidación y el diseño completo del Informe de Gestión </t>
  </si>
  <si>
    <t>Se realizó la publicación correspondiente del informe de gestión en la página web
https://www.previsora.gov.co/previsora/sites/default/files/INFORME-DE-GESTION-2022-FINAL-1v3.pdf</t>
  </si>
  <si>
    <t>No aplica seguimiento para este cuatrimestre.</t>
  </si>
  <si>
    <t>Informar avances y resultados de la gestión con calidad y en lenguaje comprensible</t>
  </si>
  <si>
    <t>Publicar los resultados más importantes del primer semestre</t>
  </si>
  <si>
    <t>La Oficina de Mercadeo realiza la consolidación y el diseño completo de la información</t>
  </si>
  <si>
    <t xml:space="preserve">Se anexa publicación de gestión comercial Previsora I Semestre 2023
</t>
  </si>
  <si>
    <t>Divulgar los resultados de la Compañía en el año 2023 por vicepresidencias</t>
  </si>
  <si>
    <t>Se comunicarán los aspectos relevantes de la gestión de las diferentes áreas de la compañía, por medio de buena nota, Comunicaciones Corporativas, Yammer, redes sociales.</t>
  </si>
  <si>
    <t>Se  adjunta soporte de resultados, gestión y proyectos</t>
  </si>
  <si>
    <t xml:space="preserve">Se adjuntan publicaciones de resultados más importantes en la compañía para el Primer Semestre 2023. 
</t>
  </si>
  <si>
    <t>Carta del Presidente</t>
  </si>
  <si>
    <t>Se elaborará una carta gráfica del Presidente con los resultados más importantes y será enviada a todos los funcionarios, para realizarse su seguimiento en el próximo cuatrimestre</t>
  </si>
  <si>
    <t>Se anexa publicación de la Carta del Presidente con los resultados del Primer Semestre 2023</t>
  </si>
  <si>
    <t>TERCER COMPONENTE: RENDICIÓN DE CUENTAS: Subcomponente 2</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</si>
  <si>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</si>
  <si>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</si>
  <si>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Se adjunta soporte del correo enviado a los colaboradores del Buzón Abierto</t>
  </si>
  <si>
    <t xml:space="preserve">Se anexa publicaciones que incentiven al uso del Buzón Abierto Previsora a los funcionarios. </t>
  </si>
  <si>
    <t>Desarrollar escenarios de diálogo de doble vía con la ciudadanía y sus organizaciones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</si>
  <si>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</si>
  <si>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</si>
  <si>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Se adjunta soporte del cronograma de actividades de Rendición de Cuentas</t>
  </si>
  <si>
    <t>TERCER COMPONENTE: RENDICIÓN DE CUENTAS: Subcomponente 3</t>
  </si>
  <si>
    <t>Diseñar una encuesta de satisfacción sobre la comunicación de resultados al interior de la compañía</t>
  </si>
  <si>
    <t>A través de forms, mercadeo solicitará el diligenciamiento de la encuesta y comunicará el resultado obtenido</t>
  </si>
  <si>
    <t xml:space="preserve">Se adjuntan resultados de medición de indicadores asociados a satisfacción
</t>
  </si>
  <si>
    <t>Responder a compromisos propuestos, evaluación y retroalimentación en los ejercicios de rendición de cuentas con acciones correctivas para mejora</t>
  </si>
  <si>
    <t>TERCER COMPONENTE: RENDICIÓN DE CUENTAS: Subcomponente 3
Responder a compromisos propuestos, evaluación y retroalimentación en los ejercicios de rendición de cuentas con acciones correctivas para mejora</t>
  </si>
  <si>
    <t>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t>
  </si>
  <si>
    <t>Este informe será publicado en la página web</t>
  </si>
  <si>
    <t>CUARTO COMPONENTE: MECANISMOS PARA MEJORAR LA ATENCIÓN AL CIUDADANO</t>
  </si>
  <si>
    <t>Encuestas de satisfacción Clientes y usuarios finales</t>
  </si>
  <si>
    <t>Encuestas de servicio aplicadas y nivel de satisfacción de usuarios medido (cliente final)</t>
  </si>
  <si>
    <t>Se realiza encuesta de cliente final con resultados a mes de marzo. En este momento se encuentra en medición y tabulación los resultados correspondientes al mes de abril. 
Se adjunta link de consulta 
https://app.powerbi.com/view?r=eyJrIjoiNTdiNTNmMDMtYTAxYi00MzVjLWJlY2EtOTFiNDJhZTBlNDY4IiwidCI6IjRjYTRjNjYxLTgzYjUtNDc1NS1hZjc5LWMwYzg0ZGI3NTJmMCIsImMiOjR9</t>
  </si>
  <si>
    <t>Se realiza encuesta de cliente final con resultados a julio
Se adjunta link de consulta 
https://app.powerbi.com/view?r=eyJrIjoiNTdiNTNmMDMtYTAxYi00MzVjLWJlY2EtOTFiNDJhZTBlNDY4IiwidCI6IjRjYTRjNjYxLTgzYjUtNDc1NS1hZjc5LWMwYzg0ZGI3NTJmMCIsImMiOjR9</t>
  </si>
  <si>
    <t xml:space="preserve">Se realiza encuesta de cliente final con resultados a octubre
Se adjunta link de consulta 
https://app.powerbi.com/view?r=eyJrIjoiZmM0OTdmYjgtODA1MS00ZDJhLWFiMmUtYTBjMTVlY2RiZmJmIiwidCI6IjRjYTRjNjYxLTgzYjUtNDc1NS1hZjc5LWMwYzg0ZGI3NTJmMCIsImMiOjR9
</t>
  </si>
  <si>
    <t>Indicador: número de encuestas realizadas con nivel de satisfacción medido.
Meta: 11 encuestas con corte 30 de diciembre (mensualmente y posterior finalización de cada mes)</t>
  </si>
  <si>
    <t>Encuestas de satisfacción intermediarios (Agentes y Agencias)</t>
  </si>
  <si>
    <t>Encuestas de servicio aplicadas y nivel de satisfacción de usuarios medido (aliados)</t>
  </si>
  <si>
    <t>Se realiza encuesta de satisfacción Aliado Estratégico primer trimestre 2023
Se adjunta link de consulta 
https://app.powerbi.com/view?r=eyJrIjoiMjIyNDRmNmYtNjM1Mi00NTk3LWI0YTQtNDcwYWIzZTlhYmVhIiwidCI6IjRjYTRjNjYxLTgzYjUtNDc1NS1hZjc5LWMwYzg0ZGI3NTJmMCIsImMiOjR9</t>
  </si>
  <si>
    <t>Se realiza encuesta de satisfacción Aliado Estratégico segundo trimestre 2023
Se adjunta link de consulta 
https://app.powerbi.com/view?r=eyJrIjoiMjIyNDRmNmYtNjM1Mi00NTk3LWI0YTQtNDcwYWIzZTlhYmVhIiwidCI6IjRjYTRjNjYxLTgzYjUtNDc1NS1hZjc5LWMwYzg0ZGI3NTJmMCIsImMiOjR9</t>
  </si>
  <si>
    <t>Se realiza encuesta de satisfacción Aliado Estratégico tercer trimestre 2023
Se adjunta link de consulta 
https://app.powerbi.com/view?r=eyJrIjoiMzNkNDA0N2QtOTJjZC00YTNmLWI2M2QtODZmNzYxNjQxOGUzIiwidCI6IjRjYTRjNjYxLTgzYjUtNDc1NS1hZjc5LWMwYzg0ZGI3NTJmMCIsImMiOjR9</t>
  </si>
  <si>
    <t>Indicador: número de encuestas realizadas con nivel de satisfacción medido.
Meta: 3 encuestas con corte 30 de diciembre (trimestral y posterior finalización de cada trimestre)</t>
  </si>
  <si>
    <t>Capacitación sobre temas relacionados con atención al cliente dirigida a los funcionarios de la compañía, acorde a los lineamientos del SAC y la Universidad Previsora</t>
  </si>
  <si>
    <t>Generar informes acerca del desarrollo de capacitaciones en Atención al Cliente</t>
  </si>
  <si>
    <t>Las actividades se encuentran planeadas para los meses de mayo y junio</t>
  </si>
  <si>
    <t>Se realizo la actividadad de socialización de información sobre el SAC dirigida a todos los funcionarios de la compañia.</t>
  </si>
  <si>
    <t>Se realiza la actividad en el mes de octubre de acuerdo con lo planeado para el segundo semestre de 2023. se adjunta lanzamiento del curso SAC dirigida a todos los funcionarios de la Compañía
Se adjunta reportes correspondiente al primer y segundo semestre de 2023</t>
  </si>
  <si>
    <t>Indicador: Número de informes generados, con corte a 31 de diciembre de 2023.
Meta: 1</t>
  </si>
  <si>
    <t>Implementar incentivos para motivar la excelencia en la atención al cliente</t>
  </si>
  <si>
    <t>Informe de Incentivos aplicados relacionados con motivación a la excelencia en la atención al cliente</t>
  </si>
  <si>
    <t>Se presentara en comité de SAC en el mes de Octubre con el avance correspondiente al tercer trimestre, se entrgaron los incentivos a las áreas que en la encuesta de servicio al cliente obtuvieron el mejor puntaje.</t>
  </si>
  <si>
    <t>Se presentó en el comité del SAC  realizado el 15 de noviembre de 2023 el avance los  resultados de las encuestas de servicio correspondiente al al tercer trimres  de 2023.</t>
  </si>
  <si>
    <t>Indicador: Entrega de resultados, de manera semestral, antes de 31 de diciembre de 2023.
Meta: 1 Acta de socialización ante el Comité SAC de los reconocimientos realizados por Talento Humano, con corte a 30 de junio.</t>
  </si>
  <si>
    <t>Realizar seguimiento permanente al comportamiento de las PQR</t>
  </si>
  <si>
    <t>Presentación del comportamiento de PQRs en los comités de SAC</t>
  </si>
  <si>
    <t>No aplica seguimiento para este cuatrimestre</t>
  </si>
  <si>
    <t xml:space="preserve">El comité  1 trimestre SAC se realizo en el mes de Abril/2023.  se adjunta presetnación con seguimiento a estado PQRS I trimestre 2023. 
El comité  2 trimestre SAC se realizo en el mes de agostol/2023.  se adjunta presetnación con seguimiento a estado PQRS I trimestre 2023. 
</t>
  </si>
  <si>
    <t xml:space="preserve">El comité  1 trimestre SAC se realizo en el mes de Abril/2023.  se adjunta presetnación con seguimiento a estado PQRS I trimestre 2023. 
El comité  2 trimestre SAC se realizo en el mes de agostol/2023.  se adjunta presetnación con seguimiento a estado PQRS I trimestre 2023. 
El comité 3 trimestre SAC se realizo en el mes de noviembre/2023. se adjunta presentación con el seguimiento a estado de PQR 3Q
</t>
  </si>
  <si>
    <t>Indicador: Número de comités generados
Meta: Comité cierre 2022, comité 1 trimestre, comité 2 trimestre, comité 3 trimestre</t>
  </si>
  <si>
    <t>Incorporación Lenguaje Claro en la Compañía</t>
  </si>
  <si>
    <t>Capacitar sobre lenguaje claro y trato justo a los responsables de dar respuesta a PQR's en la compañía.</t>
  </si>
  <si>
    <t>La iniciativa esta para el segundo semestre 2023 iniciando en 3el mes de octubre</t>
  </si>
  <si>
    <t>Se realizaron las tres capacitación en noviembre (21 y 24) y 05 de diciembre de 2023. se adjunta grabación de una de las sesiones y asistencia</t>
  </si>
  <si>
    <t>3 Capacitaciones para las áreas y/o sucursales tramitadoras
1 Webinar en Yammer</t>
  </si>
  <si>
    <t>Realizar seguimiento cuatrimestral a la ejecución del PAAC en el Comité Institucional de Gestión y Desempeño</t>
  </si>
  <si>
    <t>Realizar seguimiento trimestral al PAAC</t>
  </si>
  <si>
    <t>No aplica seguimiento para este cuatrimestre, el seguimiento al PAAC del primer cuatrimestre se realizará en el segundo Comité de Gestión y Desempeño antes de finalizar el segundo cuatrimestre.</t>
  </si>
  <si>
    <t>La presentación del avance del PAAC fue realizada en el Comité Institucional de Gestión y Desempeño de julio.
Como evidencia se adjunta la presentación realizada en el Comité.</t>
  </si>
  <si>
    <t>La presentación del avance del PAAC al segundo cuatrimestre fue realizada en el Comité Institucional de Gestión y Desempeño del tercero y cuarto trimestre.
Como evidencia se adjuntan las presentaciones realizadas en el Comité.</t>
  </si>
  <si>
    <t>Indicador: Actas de seguimiento generadas
Meta: 3 Actas generadas con corte 30 de abril, 30 de agosto y 30 de diciembre de 2023, de acuerdo con lo expuesto en el Comité de Gestión y Desempeño y las auditorías realizadas por la Oficina de Control Interno.</t>
  </si>
  <si>
    <t>QUINTO COMPONENTE: MECANISMOS PARA LA TRANSPARENCIA Y ACCESO A LA INFORMACIÓN</t>
  </si>
  <si>
    <t>Asegurar la realización de Auditorías al Plan Anticorrupción y de Atención al Ciudadano (cuatrimestre)</t>
  </si>
  <si>
    <t>Informes de Auditorias (3)</t>
  </si>
  <si>
    <t>HUMANOS, OPERATIVO, TECNOLÓGICOS, FÍSICOS Y FINANCIEROS</t>
  </si>
  <si>
    <t>No aplica seguimiento para este cuatrimestre, teniendo en cuenta que la auditoría que realiza la OCI al PAAC del primer cuatrimestre se realizará al finalizar el primer cuatrimestre. El avance de la actividad se presentará para el segundo cuatrimestre.</t>
  </si>
  <si>
    <t>La auditoría fue realizada por parte de la Oficina de Control Interno y remitida a la Gerencia de Innovación y Procesos el 12 de mayo de 2023.
Como evidencia se deja la presentación de resultados que a su vez fueron compartidos en el Comité de Auditoría.</t>
  </si>
  <si>
    <t>La auditoría del segundo cuatrimestre fue realizada por parte de la Oficina de Control Interno y remitida a la Gerencia de Innovación y Procesos el 05 de septiembre de 2023.
Como evidencia se deja el correo de apertura por parte de la OCI.</t>
  </si>
  <si>
    <t>Indicador: Auditoria Ejecutada/Auditoria Programada
Meta: 100% de cumplimiento de acuerdo al Progerama de Auditorias</t>
  </si>
  <si>
    <t>Asegurar la presentación de los resultados de la Auditoria del Plan Anticorrupción y de Atención al Ciudadano (cuatrimestre)</t>
  </si>
  <si>
    <t>Informes de Auditorias socializados (3)</t>
  </si>
  <si>
    <t>Los resultados de la auditoría fueron presentados en el Comité de Auditoría del 22 de junio, por parte de la Oficina de Control Interno.
Como evidencia se deja la citación y el orden del día correspondiente.</t>
  </si>
  <si>
    <t>Los resultados de la auditoría fueron presentados en el Comité de Auditoría del 21 y 26 de septiembre, por parte de la Oficina de Control Interno.
Como evidencia se deja la presentación realizada.</t>
  </si>
  <si>
    <t>SECRETARÍA GENERAL</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</si>
  <si>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</si>
  <si>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</si>
  <si>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t>
  </si>
  <si>
    <t>De acuerdo al lineamineto de la Procuraduria General de la Nación (Matriz-ITA), se reporto el cumplimiento de la Matriz-ITA por parte de La Previsora S.A. Compañia de Seguros, en el cual se obtuvo un nivel de cumplimiento de 100 sobre 100 puntos para la vigencia 2023, de acuerdo al  reporte emitido por la Procuraduria.
Se ha avanzado en los sigueintes temas cumplidos a la fecha:
* Diligenciamiento del FURAG.
* Diligenciamiento de la Matriz Ita.
Se avanzo al 100% en la revision de la normatividad y la actualización del normograma.</t>
  </si>
  <si>
    <t>SEXTO COMPONENTE: INICIATIVAS ADICIONALES</t>
  </si>
  <si>
    <t>Capacitación sobre temas relacionados con derecho disciplinario convocadas por el Ministerio de Hacienda y Crédito Público</t>
  </si>
  <si>
    <t>Asistencia a capacitaciones</t>
  </si>
  <si>
    <t xml:space="preserve">HUMANOS,  TECNOLÓGICOS, </t>
  </si>
  <si>
    <t>El Ministerio de Hacienda y Crédito Público programó 2 sesiones a las cuales la Oficina de Control Interno Disciplinario asistió.</t>
  </si>
  <si>
    <t>El Ministerio de Hacienda y Crédito Público programó 1 sesión a la cuales la Oficina de Control Interno Disciplinario asistió.</t>
  </si>
  <si>
    <t>Indicador: Número de asistencias a Capacitaciones sobre Derecho Disciplinario / Número de convocatorias a Capacitaciones sobre Derecho Disciplinario realizadas por el Ministerio de Hacienda y Crédito Público</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</si>
  <si>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</si>
  <si>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3</t>
  </si>
  <si>
    <t>HUMANOS, TECNOLÓGICOS</t>
  </si>
  <si>
    <t>Se realizó publicación en Comunicaciones Corporativas sobre "Manifestaciones que Constituyen Acoso Laboral" el día 1 de marzo de 2023</t>
  </si>
  <si>
    <t>Se realizó publicación en Comunicaciones Corporativas sobre "Manifestaciones que Constituyen Acoso Sexual en el lugar de trabajo" el día 20 de junio de 2023</t>
  </si>
  <si>
    <t>Se realizó publicación en Comunicaciones Corporativas sobre "Como podemos evitar el acoso labotal" el día 6 de octubre de 2023</t>
  </si>
  <si>
    <t>SEXTO COMPONENTE: INICIATIVAS ADICIONALES - INTEGRIDAD</t>
  </si>
  <si>
    <t>Alcanzar el nivel de apropiación de los valores de Previsora</t>
  </si>
  <si>
    <t>Nivel de apropiación valores en un 90%:</t>
  </si>
  <si>
    <t>HUMANOS,  TECNOLÓGICOS,  FINANCIEROS</t>
  </si>
  <si>
    <t>Se aplico la encuesta de apropiación de valores  para primer semestre y se obtuvo un puntaje del 99,3%</t>
  </si>
  <si>
    <t xml:space="preserve">Se lanza encuesta de Valores II Semestre 2023 el 28 diciembre con plazo de respuesta hasta el 10 de enero de 2024, lo anterior teniendo en cuenta que en paralelo se lanzo la Encuesta de Cliente Interno. </t>
  </si>
  <si>
    <t>(Número de personas que contestaron entre 3 y 4 en la encuesta de apropiación de valores / Número Total de encuestas respondidas) * 100%</t>
  </si>
  <si>
    <t>Cada 
Cuatrimestre</t>
  </si>
  <si>
    <t>Acumulado</t>
  </si>
  <si>
    <t>GERENCIA DE T.I</t>
  </si>
  <si>
    <t>HOJA DE RUTA</t>
  </si>
  <si>
    <t>PROYECTO, INICIATIVA O ACTIVIDAD</t>
  </si>
  <si>
    <t>NOMBRE</t>
  </si>
  <si>
    <t>ALCANCE</t>
  </si>
  <si>
    <t>EVIDENCIA</t>
  </si>
  <si>
    <t>Recurso Humano</t>
  </si>
  <si>
    <t>Recursos Propios</t>
  </si>
  <si>
    <t>De acuerdo con el cronograma se realizó socialización con VPDC, VPF y se publicó el PETI en Isolución.</t>
  </si>
  <si>
    <t>Seguimiento a los indicadores del PETI</t>
  </si>
  <si>
    <t>Inicio actualización del PETI por cambios de motivadores internos o externos.</t>
  </si>
  <si>
    <t>El PETI se encuentra actualizado, socializado y publicado</t>
  </si>
  <si>
    <t>Se definió el Catálogo de Políticas y se preparó el artefacto para inciar los Ciclos de documentación de las Políticas alinéandolas con las indicaciones del MINTIC y de la Superintendencia Financiera.</t>
  </si>
  <si>
    <t>Se realizó la socialización del plan de politicas de T.I.; Socialización de Toma de decisiones de T.I.; identificación de la normativida relacionada a componentes de T.I.</t>
  </si>
  <si>
    <t>En desarrollo construcción de las politicas de T.I, capacitación de fortalecimiento de capacidades de T.I. (TOGAF, Metodologias Agiles, gestión de proyectos)</t>
  </si>
  <si>
    <t>Estructuración de políticas de T.I.</t>
  </si>
  <si>
    <t>Se definieron los planea de capacitacion para el año 2023</t>
  </si>
  <si>
    <t>Se realizo la socialización de la metodologia de gestión de proyectos de T.I.</t>
  </si>
  <si>
    <t>Se realizo la capacitación de uso ya apropiacion de aplicativos de Microsoft Office 365 (Outlook, Planner, Teams, entre otros)</t>
  </si>
  <si>
    <t>Analisis de Tendencias Tecnologicas finalizado, información actualizada en el PETI</t>
  </si>
  <si>
    <t xml:space="preserve">Se trabajaron en las siguientes actividades: 
Pruebas funcionales Migración versión ONBASE
Diseño blue-print (AS IS) de la arquitectura de reportería.
Avance en la elaboración del estudio de mercado Fabrica de Q.A.
Planeación diseño módulo de novedades por ramo. </t>
  </si>
  <si>
    <t>Se trabajaron las siguientes actividades: 
Continuación de la construcción del documento AS IS – TO BE, módulo de reportes.
Continuó del levantamiento de Información de cambios directos a BD para determinar hacía que ramos y roles se enfocaría el Módulo de Novedades por Ramo.
Se realizó la entrega del análisis Estudio de mercado para fábrica de QA
Se realizó la instalación Piloto Usuarios en producción para la Versión EP5 (Generales – Automóviles Gestión Proveedores).</t>
  </si>
  <si>
    <t xml:space="preserve">Se trabajaron las siguientes actividades: 
Continuación de la construcción del documento AS IS – TO BE, módulo de reportes.
Continuó del levantamiento de Información de cambios directos a BD para determinar hacía que ramos y roles se enfocaría el Módulo de Novedades por Ramo.
Finaliza proceso contratctual de prorroga para fábrica de QA
</t>
  </si>
  <si>
    <t>Optimización de Reportes - Finalización documento de arquitectura y requerimientos.​
Módulo Novedades por Ramo – Finalización documento de arquitectura y requerimientos. ​
OnBase Actualización Versión EP5 –Implementación Migración Motor BD.</t>
  </si>
  <si>
    <t>Se realizó el analis de consultorias anteriores, levantamiento de informacion de requerimientos de integracion a interopreabilidad, reuniones con areas funcionales para determinar la arquitectura actual</t>
  </si>
  <si>
    <t xml:space="preserve">Se realizo el diseño de de la arquitectura propuesta y estudio de mercado técnico, desarrollo de los documentos de termino de referencia y hoja de ruta </t>
  </si>
  <si>
    <t>Finalización de actividades de la consultoria de interoperabilidad (presentación de resultados de la consultoria)</t>
  </si>
  <si>
    <t>Las actividades finalizaron en el tercer trimestre.</t>
  </si>
  <si>
    <t>TOTAL CUMPLIMIENTO AÑO</t>
  </si>
  <si>
    <t>D3. SEGURIDAD DIGITAL</t>
  </si>
  <si>
    <t>Gerencia de Riesgos</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</si>
  <si>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</si>
  <si>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</si>
  <si>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</si>
  <si>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</si>
  <si>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</si>
  <si>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</si>
  <si>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</si>
  <si>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</si>
  <si>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</si>
  <si>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</si>
  <si>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</si>
  <si>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</si>
  <si>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</si>
  <si>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</si>
  <si>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</si>
  <si>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</si>
  <si>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</si>
  <si>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</si>
  <si>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</si>
  <si>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</si>
  <si>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</si>
  <si>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</si>
  <si>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</si>
  <si>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</si>
  <si>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</si>
  <si>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</si>
  <si>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</si>
  <si>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</si>
  <si>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</si>
  <si>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</si>
  <si>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</si>
  <si>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</si>
  <si>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</si>
  <si>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Responsable</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</si>
  <si>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</si>
  <si>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</si>
  <si>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</si>
  <si>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Humanos</t>
  </si>
  <si>
    <t>CAPACITACION</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</si>
  <si>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</si>
  <si>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</si>
  <si>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</si>
  <si>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</si>
  <si>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</si>
  <si>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</si>
  <si>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</si>
  <si>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La evaluación se hace de forma aleatoria sobre controles técnicos</t>
  </si>
  <si>
    <t>Informe de resultados de la evaluaciones efectuadas (información sensible que en caso de requerirse se podrá consultar en la gerencia de riesgos)</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</si>
  <si>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</si>
  <si>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</si>
  <si>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</si>
  <si>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</si>
  <si>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</si>
  <si>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</si>
  <si>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</si>
  <si>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EJECUCIÓN PLAN INSTITUCIONAL DE ACCIÓN ANUAL (PIAA)</t>
  </si>
  <si>
    <t xml:space="preserve">PLAN INTEGRADO DE ACCIÓN ANUAL 2024 - SECTORIAL </t>
  </si>
  <si>
    <t>PLAN INTEGRADO DE ACCIÓN ANUAL 2024 - INSTITUCIONAL</t>
  </si>
  <si>
    <t xml:space="preserve">SEGUIMIENTO </t>
  </si>
  <si>
    <t>GC1. FORTALECER LAS CAPACIDADES DEL TALENTO HUMANO Y PROMOVER LA CULTURA DE INTEGRIDAD DEL SECTOR HACIENDA</t>
  </si>
  <si>
    <t>#DECISIONES CON DATOS</t>
  </si>
  <si>
    <t>PLAN INSTITUCIONAL ANUAL</t>
  </si>
  <si>
    <t>ASAMBLEA GENERAL DE ACCIONISTAS</t>
  </si>
  <si>
    <t>MENSUAL</t>
  </si>
  <si>
    <t>GC2. FORTALECER LA GESTIÓN PÚBLICA A TRAVÉS DE PROCESOS ADMINISTRATIVOS, FINANCIEROS Y JURÍDICOS DEL SECTOR HACIENDA</t>
  </si>
  <si>
    <t>#CULTURA RESILIENTE</t>
  </si>
  <si>
    <t>D1. INTEGRIDAD</t>
  </si>
  <si>
    <t>PLAN INSTITUCIONAL DE ARCHIVOS</t>
  </si>
  <si>
    <t>REVISOR FÍSCAL</t>
  </si>
  <si>
    <t>TRIMESTRAL</t>
  </si>
  <si>
    <t>GR1. FORTALECER LOS MECANISMOS PARA UNA CULTURA DE TRANSPARENCIA Y PARTICIPACIÓN CIUDADANA EN LAS ENTIDADES DEL SECTOR HACIENDA</t>
  </si>
  <si>
    <t>#INNOVACIÓN APLICADA</t>
  </si>
  <si>
    <t>PLAN ANUAL DE ADQUISICIONES</t>
  </si>
  <si>
    <t>JUNTA DIRECTIVA</t>
  </si>
  <si>
    <t>SEMESTRAL</t>
  </si>
  <si>
    <t>GR2. FORTALECER LA GESTIÓN DE CONOCIMIENTO E INNOVACIÓN EN LAS ENTIDADES DEL SECTOR HACIENDA</t>
  </si>
  <si>
    <t>#A UN CLIC</t>
  </si>
  <si>
    <t>D2. GESTIÓN PRESUPUESTAL Y EFICIENCIA EN EL GASTO PÚBLICO</t>
  </si>
  <si>
    <t>PLAN ESTRATÉGICO DE TALENTO HUMANO</t>
  </si>
  <si>
    <t>PRESIDENCIA</t>
  </si>
  <si>
    <t>GR3. PROMOVER LA TRASNFORMACIÓN DIGITAL EN LAS ENTIDADES DEL SECTOR PARA CONTRIBUIR A LA MODERNIZACIÓN DE LOS PROCESOS DE ENTREGA DE PRODUCTOS Y SERVICIOS DE CADA ENTIDAD</t>
  </si>
  <si>
    <t>#AGILIDAD EMPRESARIAL</t>
  </si>
  <si>
    <t xml:space="preserve">DIMENSIÓN 5. INFORMACIÓN Y COMUNICACIÓN </t>
  </si>
  <si>
    <t>D2. COMPRAS Y CONTRATACIÓN PÚBLICA</t>
  </si>
  <si>
    <t xml:space="preserve">PLAN INSTITUCIONAL DE CAPACITACIÓN </t>
  </si>
  <si>
    <t>CONTROL INTERNO</t>
  </si>
  <si>
    <t>GM1. LOGRAR LA SOSTENIBILIDAD FISCAL A TRAVÉS DEL RECAUDO, CONTROL EFECTIVO Y GENERACIÓN DE CULTURA DE LEGALIDAD</t>
  </si>
  <si>
    <t>#CLIENTE CÉNTRICO</t>
  </si>
  <si>
    <t xml:space="preserve">DIMENSIÓN 6. GESTIÓN DEL CONOCIMIENTO </t>
  </si>
  <si>
    <t>GM2. IMPLEMENTAR Y FORTALECER INSTRUMENTOS ECONOMICOS Y FINANCIEROS A TRAVÉS DE INVERSIONES TEMATICAS O CONVENIOS DE COFINANCIACIÓN, PARA CONTRIBUIR AL CAMBIO CLIMATICO Y AL USO SOSTENIBLE DE LA BIODIVERSIDAD</t>
  </si>
  <si>
    <t>#ALIANZAS ESTRATÉGICAS</t>
  </si>
  <si>
    <t>DIMENSIÓN 7. CONTROL INTERNO</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</si>
  <si>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</si>
  <si>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</si>
  <si>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</si>
  <si>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#RENTABILIDAD</t>
  </si>
  <si>
    <t>PLAN ANTICORRUPCIÓN Y DE ATENCIÓN AL CIUDADANO</t>
  </si>
  <si>
    <t>#PROPÓSITO COLOMBIA</t>
  </si>
  <si>
    <t>PLAN ESTRATÉGICO DE TIC</t>
  </si>
  <si>
    <t>#REPUTACIÓN CORPORATIVA</t>
  </si>
  <si>
    <t>D3. MEJORA NORMATIVA</t>
  </si>
  <si>
    <t xml:space="preserve">PLAN DE TRATAMIENTO DE RIESGOS DE SEGURIDAD Y PRIVACIDAD DE LA INFORMACIÓN </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</si>
  <si>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</si>
  <si>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</si>
  <si>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</si>
  <si>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</si>
  <si>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</si>
  <si>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</si>
  <si>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</si>
  <si>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 xml:space="preserve">D5. TRANSPARENCIA, ACCESO A LA INFORMACIÓN PÚBLICA Y LUCHA CONTRA LA CORRUPCIÓN </t>
  </si>
  <si>
    <t>GERENCIA DE ACTUARÍA</t>
  </si>
  <si>
    <t>GERENCIA TÉCNICA DE SOAT</t>
  </si>
  <si>
    <t>D5. GESTIÓN DE LA INFORMACIÓN ESTADÍSTICA</t>
  </si>
  <si>
    <t>GERENCIA TÉCNICA DE AUTOMOVILES</t>
  </si>
  <si>
    <t xml:space="preserve">D6. GESTIÓN DEL CONOCIMIENTO Y LA INFORMACIÓN </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</si>
  <si>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</si>
  <si>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</si>
  <si>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</si>
  <si>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</si>
  <si>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</si>
  <si>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</si>
  <si>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</si>
  <si>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</si>
  <si>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</si>
  <si>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</si>
  <si>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</si>
  <si>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</si>
  <si>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</si>
  <si>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</si>
  <si>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</si>
  <si>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</si>
  <si>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</si>
  <si>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GERENCIA JURÍDICA</t>
  </si>
  <si>
    <t xml:space="preserve">GERENCIA DE CONTRATACIÓN </t>
  </si>
  <si>
    <t>VICEPRESIDENCIA COMERCIAL</t>
  </si>
  <si>
    <t>GERENCIA DE NEGOCIOS ESTATALES</t>
  </si>
  <si>
    <t>GERENCIA DE DESARROLLO COMERCIAL</t>
  </si>
  <si>
    <t>GERENCIA DE NEGOCIOS PRIVADOS</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</si>
  <si>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</si>
  <si>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</si>
  <si>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</si>
  <si>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</si>
  <si>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</si>
  <si>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</si>
  <si>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</si>
  <si>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</si>
  <si>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</si>
  <si>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</si>
  <si>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</si>
  <si>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</si>
  <si>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</si>
  <si>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</si>
  <si>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</si>
  <si>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Participar en las actividades que se definan en las mesas sectoriales de colectivo disciplinario</t>
  </si>
  <si>
    <t xml:space="preserve">Participar en las actividades que se definan en la comunidad de practica sectorial de Gestión del Conocimiento e innovación </t>
  </si>
  <si>
    <t>Participar  en las mesas sectoriales, capacitaciones gestionadas por el Ministerio de Hacienda en el marco de la dimensión del Talento Humano</t>
  </si>
  <si>
    <t>Participar en las mesas y actividades sectoriales de Gestión Documental</t>
  </si>
  <si>
    <t>Participar en las mesas y actividades sectoriales de Gestión Ambiental</t>
  </si>
  <si>
    <t>Participar en las actividades que convoque el líder temático de Gobierno Digital</t>
  </si>
  <si>
    <t>Participar en las actividades que convoque el líder temático de Seguridad Digital</t>
  </si>
  <si>
    <t>CORRESPONDABLE</t>
  </si>
  <si>
    <t>PARTE 2. PLANIFICACIÓN ACTIVIDADES 2024</t>
  </si>
  <si>
    <t>Mejorar Índice de Cultura Resiliente</t>
  </si>
  <si>
    <t>Medición a través del cuestionario de cultura aplicado de acuerdo con la metodología establecida por el consultor Plurum. 
F: Resultado encuesta de cultura.</t>
  </si>
  <si>
    <t>Humanos
Financieros</t>
  </si>
  <si>
    <t>Gestionar la innovación </t>
  </si>
  <si>
    <t>Humanos 
Tecnológicos
Financieros</t>
  </si>
  <si>
    <t>Mejorar el índice en la medición de madurez digital</t>
  </si>
  <si>
    <t>Medición utilizando el instrumento de madurez digital establecido por la PWC y ajustado por Previsora. 
F: Media geométrica de los resultados de cada dimensión.</t>
  </si>
  <si>
    <t>Participación de emisores que desarrollen planes ASG y administración de riesgos de transición climática</t>
  </si>
  <si>
    <t>(# de emisores con iniciativas ASG y administración de riesgos de transición climática / # total emisores aprobados) *100.</t>
  </si>
  <si>
    <t>Impacto Educación Financiera</t>
  </si>
  <si>
    <t>Número de colombianos alcanzados con los contenidos de Educación Financiera
F:  (No. de participantes en la capacitación/ No. de participantes planeadoss)</t>
  </si>
  <si>
    <t>Cumplimiento plan de trabajo cierre de brechas política de integridad con base en medición FURAG</t>
  </si>
  <si>
    <t>Medir los ahorros generados en el presupuesto de gastos administrativos y comerciales, producto de menores valores adjudicados o presupuestos no utilizados.</t>
  </si>
  <si>
    <t xml:space="preserve"> Ahorros de presupuesto / (Presupuesto de gastos administrativos, tecnológicos y comerciales)
NOTA: No se incluye presupuesto de proyectos. Este presupuesto incluye en el 2021 el presupuesto de los proyectos de TI de Datacenter y Migración base de datos.</t>
  </si>
  <si>
    <t>Mejorar Índice de Política de Compras y Contratación Pública</t>
  </si>
  <si>
    <t xml:space="preserve">Mejorar Índice de Política de Integridad MIPG - Componente Código de ética y conducta </t>
  </si>
  <si>
    <t>Gestionar el cambio cultural basado en la implementación del código de integridad y acciones preventivas en conlficto de interés</t>
  </si>
  <si>
    <t>Evaluar la aplicación lineamientos normativos, documentos estandar e instrumentos dados por CCE</t>
  </si>
  <si>
    <t>Lineamientos normativos - Documentos Estandar - Instrumentos de contratación pública implementados en el proceso Gestionar Bienes y Servicios</t>
  </si>
  <si>
    <t>Gestionar el cumplimiento de sentencias y conciliaciones</t>
  </si>
  <si>
    <t xml:space="preserve">Indicador de cumplimiento de sentencias y conciliaciones formulado y medido </t>
  </si>
  <si>
    <t>Cumplir con el Plan Estratégico de la compañía</t>
  </si>
  <si>
    <t>% de cumplimiento global Plan Estratégico 2024</t>
  </si>
  <si>
    <t>Perfilamiento de ideas</t>
  </si>
  <si>
    <t>Gestión preliminar (acompañamiento)</t>
  </si>
  <si>
    <t>Diseño y testeo de prototipos</t>
  </si>
  <si>
    <t xml:space="preserve">Tasa de participación compañía en iniciativas de innovación </t>
  </si>
  <si>
    <t xml:space="preserve">Cobertura programas de capacitación </t>
  </si>
  <si>
    <t># de empleados capacitados en innovación / # de empleados programados</t>
  </si>
  <si>
    <t># de empleados involucrados en iniciativas de innovación / Total empleados compañía</t>
  </si>
  <si>
    <t xml:space="preserve"># de lideres que participan en iniciativas de innovación / Total de lideres compañía </t>
  </si>
  <si>
    <t>Involucramiento y compromiso</t>
  </si>
  <si>
    <t># de prototipos construidos y testeados / # ideas acompañadas</t>
  </si>
  <si>
    <t># de ideas acompañadas / # ideas calificadas como viables</t>
  </si>
  <si>
    <t># ideas filtradas y calificadas / # ideas recibida</t>
  </si>
  <si>
    <t>Publicación y socialización con la compañía de la actualización de las Políticas de Control Interno y del Plan Anticorrupción y de Atención al Ciudadano, para apropiación de los roles y responsabilidades.</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</si>
  <si>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</si>
  <si>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</si>
  <si>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</si>
  <si>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PLAN INTEGRADO DE ACCIÓN ANUAL 2024 - PLAN INSTITUCIONAL DE ARCHIVO</t>
  </si>
  <si>
    <t>PLAN INTEGRADO DE ACCIÓN ANUAL 2024 - PLAN ANUAL DE ADQUISICIONES</t>
  </si>
  <si>
    <t>PLAN INTEGRADO DE ACCIÓN ANUAL 2024 - PLAN ESTRATÉGICO DE TALENTO HUMANO</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</si>
  <si>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</si>
  <si>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</si>
  <si>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</si>
  <si>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Conjunto de actividades definidas en el Plan de incentivos 2024</t>
  </si>
  <si>
    <t>Gestión del Alto Desempeño</t>
  </si>
  <si>
    <t>Cumplimiento de las etapas del proceso de evaluación del desempeño 2024</t>
  </si>
  <si>
    <t>Presupuesto  definido para el rubro de Capacitación de personal y Congresos, foros, seminarios</t>
  </si>
  <si>
    <t>Funcionarios de Planta de acuerdo con las necesidades de las áreas</t>
  </si>
  <si>
    <t xml:space="preserve">De acuerdo con la cantidad de contenidos que se definan </t>
  </si>
  <si>
    <t xml:space="preserve">Enero </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</si>
  <si>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</si>
  <si>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BONOS</t>
  </si>
  <si>
    <t>Mayo de 2024</t>
  </si>
  <si>
    <t>Julio de 2024</t>
  </si>
  <si>
    <t>Programa de fortalecimiento de la Cultura Resiliente</t>
  </si>
  <si>
    <t>Consta de una serie de actividades que buscan fortalecer la apropiación del programa de cultura resiliente.</t>
  </si>
  <si>
    <t>BONOS Y PUNTOS</t>
  </si>
  <si>
    <t>Marzo - Noviembre</t>
  </si>
  <si>
    <t>Participación y cumplimiento en las actividades de cultura planteadas</t>
  </si>
  <si>
    <t>#SER EXPERIENCIA</t>
  </si>
  <si>
    <t>Junio - Diciembre</t>
  </si>
  <si>
    <t>Mayo de 2025</t>
  </si>
  <si>
    <t>"Se premiarán a las 4 áreas de casa matriz que obtengan los mejores puntajes en la encuesta de cliente interno.
Se premiarán a las 4 sucursales que obtengan los mejores puntajes en la encuesta de cliente final."</t>
  </si>
  <si>
    <t>TRANSFORMACIÓN DIGITAL E INNOVACIÓN</t>
  </si>
  <si>
    <t>En esta semana confluyen actividades basadas en las directrices estratégicas de #innovaciónaplicada, #aunclic, #clientecentrico, #agilidad empresarial con la participación de actores internos y externos, juegos, concursos, webinars, entre otros.</t>
  </si>
  <si>
    <t>GERENCIA DE INNOVACIÓN</t>
  </si>
  <si>
    <t>Se premiará a las áreas y personas que participen en las actividades desarrolladas para el fortalecimiento de la capacidad de innovación</t>
  </si>
  <si>
    <t>Estrategia Corporativa</t>
  </si>
  <si>
    <t>Consta de una serie de actividades que buscan fortalecer la apropiación dde la estrategia corporativa</t>
  </si>
  <si>
    <t>Participación y cumplimiento en las actividades cuyo objetivo es el conocimiento y apropiación de la estrategia</t>
  </si>
  <si>
    <t>PARTICIPACIÓN EN EVENTOS DEPORTIVOS</t>
  </si>
  <si>
    <t>Febrero a diciembre</t>
  </si>
  <si>
    <t xml:space="preserve">Diciembre </t>
  </si>
  <si>
    <t>Se premiaran a los colaboradores que participen en los  eventos deportivos en representación de la compañía.</t>
  </si>
  <si>
    <t>PLAN INTEGRADO DE ACCIÓN ANUAL 2024 - PLAN DE INCENTIVOS INSTITUCIONALES</t>
  </si>
  <si>
    <t>PLAN INTEGRADO DE ACCIÓN ANUAL 2024 - PLAN INSTITUCIONAL DE CAPACITACIÓN</t>
  </si>
  <si>
    <t>PLAN INTEGRADO DE ACCIÓN ANUAL 2024 - PLAN ANUAL DE SEGURIDAD Y SALUD EN EL TRABAJO</t>
  </si>
  <si>
    <t>Cumplir la normatividad nacional vigente aplicable en materia de riesgos laborales.</t>
  </si>
  <si>
    <t>Prevenir la ocurrencia de accidentes y enfermedades laborales</t>
  </si>
  <si>
    <t>Asegurar la identificación, evaluación e intervención de los diferentes factores de riesgos y peligros significativos para la salud de los trabajadores.</t>
  </si>
  <si>
    <t>Implementar acciones de mejora eficaces en los procesos que minimicen la recurrencia de errores.</t>
  </si>
  <si>
    <t>Cumplir el plan de trabajo de SST
Ver despliegue estratégico y matriz de indicadores SST</t>
  </si>
  <si>
    <t>Asegurar que se identifican los requisitos aplicables y se cumplen
Ver despliegue estratégico y matriz de indicadores SST</t>
  </si>
  <si>
    <t>Alcanzar los resultados de AT y EL propuestos
 Ver despliegue estratégico y matriz de indicadores de SST</t>
  </si>
  <si>
    <t>Medir y controlar los riesgos y realizar las inspecciones planeadas
Ver despliegue estratégico</t>
  </si>
  <si>
    <t>Formular los planes de emergencia y probarlos
Ver matriz de indicadores de SST</t>
  </si>
  <si>
    <t>Realizar seguimiento y verificación del SST 
Ver matriz de indicadores de SST</t>
  </si>
  <si>
    <t xml:space="preserve">E1 RECURSOS </t>
  </si>
  <si>
    <t>Divulgar las responsabilidades en SST a todos los niveles</t>
  </si>
  <si>
    <t>Responsable del SGSST</t>
  </si>
  <si>
    <t>ANUAL</t>
  </si>
  <si>
    <t>RECURSOS HUMANOS
RECURSOS TECNOLOGICOS
RECURSOS FINANCIEROS</t>
  </si>
  <si>
    <t>Solicitar a revisoría fiscal certificación de pago de aportes de SS</t>
  </si>
  <si>
    <t>Capacitaciones a integrantes del comité</t>
  </si>
  <si>
    <t>VER CRONOGRAMA DE CHARLAS Y CAPACITACIONES</t>
  </si>
  <si>
    <t>Solicitar actas de reunión e informes de gestión</t>
  </si>
  <si>
    <t>Ver plan de capacitación y comunicaciones</t>
  </si>
  <si>
    <t xml:space="preserve">E2 GESTION INTEGRAL DEL SG-SST </t>
  </si>
  <si>
    <t>Divulgar la Política y objetivos del SG</t>
  </si>
  <si>
    <t>EVALUACION DEL SG</t>
  </si>
  <si>
    <t>Reportar evaluación de estándares mínimos del SG SST ante el Ministerio de Trabajo y la ARL</t>
  </si>
  <si>
    <t>DOCUMENTACION</t>
  </si>
  <si>
    <t>Realizar actualización de los documentos y registros del SG</t>
  </si>
  <si>
    <t xml:space="preserve">Realizar rendición de cuentas sobre el desempeño de los trabajadores en SST </t>
  </si>
  <si>
    <t>Evaluación de cumplimiento legal</t>
  </si>
  <si>
    <t>CONRATISTAS</t>
  </si>
  <si>
    <t>Se programa según requerimiento</t>
  </si>
  <si>
    <t>Inducción a proveedores nuevos</t>
  </si>
  <si>
    <t>31/09/2024</t>
  </si>
  <si>
    <t xml:space="preserve">E3 GESTIÓN DE LA SALUD </t>
  </si>
  <si>
    <t>Aplicación de prueba tamiz y morbilidad sentida a personal nuevo</t>
  </si>
  <si>
    <t xml:space="preserve">Consolidación de información de condiciones medicas osteomusculares de los funcionarios de acuerdo a los exámenes y calificaciones </t>
  </si>
  <si>
    <t>Intervención a funcionarios que manifiesten sintomatología osteomuscular en casa u oficina, inspección a su puesto de trabajo con fisioterapeuta.</t>
  </si>
  <si>
    <t>Escuelas de manejo del dolor (Espalda, MMSS, MMII)</t>
  </si>
  <si>
    <t xml:space="preserve">Campañas de Prevención de Riesgo Biomecánico, PAUSAS ACTIVAS </t>
  </si>
  <si>
    <t>Aplicación bateria de riesgo psicosocial</t>
  </si>
  <si>
    <t>Intervención a funcionarios acorde a plan de accion del PVE psicosocial</t>
  </si>
  <si>
    <t>Escuela manejo de estrés, ansiedad, depresión, emociones</t>
  </si>
  <si>
    <t xml:space="preserve">TELETRABAJO </t>
  </si>
  <si>
    <t>Implementación y seguimiento teletrabajo Evaluaciones de puestos de trabajo por cambio de domicilio</t>
  </si>
  <si>
    <t xml:space="preserve">Diseño de la política para la intervención y prevención de Alcohol, tabaquismo y sustancias psicoactivas </t>
  </si>
  <si>
    <t>Desarrollo de actividades de intervención (Alcoholismo, Fármaco dependencia, Tabaquismo, hábitos alimenticios, de sueño, actividad física)</t>
  </si>
  <si>
    <t>Desarrollo Mes vida saludable a nivel nacional</t>
  </si>
  <si>
    <t xml:space="preserve">Actualización de los datos para el Perfil Sociodemográfico </t>
  </si>
  <si>
    <t>Revisión de la realización de exámenes Post Incapacidad</t>
  </si>
  <si>
    <t>Caracterización del ausentismo</t>
  </si>
  <si>
    <t>Actualizar estadística y seguimiento de EL y AT</t>
  </si>
  <si>
    <t>Permanente</t>
  </si>
  <si>
    <t>Realizar seguimiento a la ejecución de  los planes de acción de las no conformidades derivadas por AT/EL</t>
  </si>
  <si>
    <t xml:space="preserve">E4 GESTION DE LOS PELIGROS Y RIESGOS </t>
  </si>
  <si>
    <t>Actualizar las matrices de peligros, valoración y evaluación de riesgos</t>
  </si>
  <si>
    <t>MEDICIONES HIGIENICAS</t>
  </si>
  <si>
    <t>Verificar la implementación de mediciones higienicas derivadas de la identificacion de peligros y valoración de riegos</t>
  </si>
  <si>
    <t>AUTOREPORTE</t>
  </si>
  <si>
    <t xml:space="preserve">Seguimiento de las situaciones reportadas a través del correo de seguridad y salud en el trabajo  Auto reporte de Actos y Condiciones Inseguras </t>
  </si>
  <si>
    <t>PREVENCION AT</t>
  </si>
  <si>
    <t>Ejecutar las actividades de prevención de lesiones deportivas y caídas a nivel</t>
  </si>
  <si>
    <t>E5 GESTION DE AMENAZAS</t>
  </si>
  <si>
    <t>Actualización y divulgación de planes emergencias incluyendo planos, elementos de seguridad y brigadas</t>
  </si>
  <si>
    <t>Desarrollo de simulacros de emergencia</t>
  </si>
  <si>
    <t>E6 VERIFICACION DEL SG SST</t>
  </si>
  <si>
    <t>Realizar planificación de la auditoria al SGSST con el COPASST</t>
  </si>
  <si>
    <t xml:space="preserve">Socializar al COPASST el plan de auditoria definitivo </t>
  </si>
  <si>
    <t>Atender auditoria del SGSST</t>
  </si>
  <si>
    <t>PLAN INTEGRADO DE ACCIÓN ANUAL 2024 - PLAN ANTICORRUPCIÓN Y DE ATENCIÓN AL CIUDADANO</t>
  </si>
  <si>
    <t>1. GESTIÓN DE RIESGOS DE CORRUPCIÓN</t>
  </si>
  <si>
    <t>3. RENDICIÓN DE CUENTAS</t>
  </si>
  <si>
    <t>4. MECANISMOS PARA MANEJAR LA ATENCIÓN AL CIUDADANO</t>
  </si>
  <si>
    <t>5. MECANISMOS PARA LA TRANSPARENCIA Y ACCESO A LA INFORMACIÓN</t>
  </si>
  <si>
    <t>6. INICIATIVAS ADICIONALES</t>
  </si>
  <si>
    <t>PLAN INTEGRADO DE ACCIÓN ANUAL 2024 - PLAN ESTRATÉGICO DE TECNOLOGÍAS DE LA INFORMACIÓN</t>
  </si>
  <si>
    <t>ESTRATEGIA DE T.I.</t>
  </si>
  <si>
    <t>Desarrollo de la Hoja de Ruta de Estrategia de T.I. para el año 2024</t>
  </si>
  <si>
    <t>1) Actualización del PETI 2022-2025
2) Socialización de los ajustes del PETI para el año 2024.
3) Analisis de brechas, mejoras y planes de acción del PETI para el año 2023.</t>
  </si>
  <si>
    <t>1) Documento PETI versión actualizada
2) Presentaciones y/o piezas de comunicación relacionadas a la socialización del PETI
3) Informe de analisis de brechas, mejoras y planes de acción del PETI.</t>
  </si>
  <si>
    <t>GOBIERNO DE T.I.</t>
  </si>
  <si>
    <t>Desarrollo de la Hoja de Ruta de Gobierno de T.I. para el año 2024</t>
  </si>
  <si>
    <t xml:space="preserve">1) Actualización de los procesos de la gestión tecnológica
2) Operacionalización de las politicas de T.I.
3) Socialización de las gestión de T.I. del año 2023 </t>
  </si>
  <si>
    <t>1) Artefactos de procesos actualizados en la herramienta de gestión.
2) artefactos relacionados a la operacionalización de las políticas de T.I.
3) Presentaciones y/o piezas de comunicación relacionadas a la socialiación de la Gestión de T.I.</t>
  </si>
  <si>
    <t>USO Y APROPIACIÓN DE T.I.</t>
  </si>
  <si>
    <t>Desarrollo de la Hoja de Ruta de Uso y Apropiación de T.I. para el año 2024</t>
  </si>
  <si>
    <t>1) Potenciar el conocimiento de uso en SISE
2) Potenciar el conocimiento del uno en ON BASE.
3) Fortalecer el uso de las herramientas tecnologicas Office 365 y RPA
4) Fortalecer el conocimiento en Nube Pública, ciberseguridad y Devops</t>
  </si>
  <si>
    <t>1) Registro de reentrenamientos o capacitaciones asociadas a SISE
2) Registro de reentrenamientos o capacitaciones asociadas a ON BASE
3) Registro de reentrenamientos o capacitaciones asociadas a office 365 y RPA
4) Registro de reentrenamientos o capacitaciones asociadas a Nube pública, ciberseguridad y DEVOPS</t>
  </si>
  <si>
    <t>SISTEMAS DE INFORMACIÓN</t>
  </si>
  <si>
    <t>Desarrollo de la Hoja de Ruta de Sistemas de Información de T.I. para el año 2024</t>
  </si>
  <si>
    <t xml:space="preserve">1) Estudio de Mercado implementación DEVOPS en la Previsora
2) Investigación de mercado para la selección d ela mejor alternativa CORE
3) Desarrollo de las actividades asociadas para la implementación del modelo de  Interoperabilidad </t>
  </si>
  <si>
    <t>1) Informe de resultados del estudio de mercado (DEVOPS)
2) Informe de resultados del estudio de mercados para la selección de la mejor alternativa CORE
3) Artefactos asociados de la implementación del modelo de interoperabilidad</t>
  </si>
  <si>
    <t>SERVICIOS TECNOLOGICOS</t>
  </si>
  <si>
    <t>Desarrollo de la Hoja de Ruta de Servicios Tecnológicos para el año 2024</t>
  </si>
  <si>
    <t>1) Optimizacion almacenamiento de usuarios
2) Consultoria de Nube Pública
3) Fortalecimiento del esquema de operación del DRP</t>
  </si>
  <si>
    <t>1) Informe resultados optimización almacenamiento de usuarios
2) Informe de resultados consultoria de Nube Publica
3) Informe resultados fortalecimiento del esquema de operación del DRP</t>
  </si>
  <si>
    <t>Desarrollo de la Hoja de Ruta de Aseguramiento Informativo y Ciberseguridad para el año 2024
Medición Anual del MSPI de componente tecnologíco</t>
  </si>
  <si>
    <t>Matriz MSPI</t>
  </si>
  <si>
    <t>GERENCIA DE RIESGOS
GERENCIA DE T.I</t>
  </si>
  <si>
    <t>PLAN INTEGRADO DE ACCIÓN ANUAL 2024 - PLAN DE SEGURIDAD Y PRIVACIDAD DE LA INFORMACIÓN</t>
  </si>
  <si>
    <t xml:space="preserve">PLAN INTEGRADO DE ACCIÓN ANUAL 2024 - PLAN DE TRATAMIENTO DE RIESGOS DE SEGURIDAD Y PRIVACIDAD DE LA INFORMACIÓN </t>
  </si>
  <si>
    <t>Solicitar a los  líderes de proceso la actualización anual de la matriz de inventario de activos de información a cargo de cada uno y realizar la consolidación de la misma.</t>
  </si>
  <si>
    <t>Diseñar y desarrollar una prueba de Ingenieria social , documentando la respuesta, recuperación, reanudación de la operación en contingencia y restauración.</t>
  </si>
  <si>
    <r>
      <t>Ejecutar un programa de evaluación de al men</t>
    </r>
    <r>
      <rPr>
        <sz val="11"/>
        <rFont val="Calibri"/>
        <family val="2"/>
      </rPr>
      <t>os 20</t>
    </r>
    <r>
      <rPr>
        <sz val="11"/>
        <color rgb="FF000000"/>
        <rFont val="Calibri"/>
      </rPr>
      <t xml:space="preserve"> controles de los establecidos en el estándar ISO 27001 asociados a los procesos de la compañía y hacer seguimiento a la implementación de acciones de mejoramiento sobre los mismos si a ello hay lugar</t>
    </r>
  </si>
  <si>
    <t xml:space="preserve">Publicaciones y socializaciones de las políticas de Control Interno y del Plan Anicorrupción y de Atención al Ciudadano. </t>
  </si>
  <si>
    <t>80121610</t>
  </si>
  <si>
    <t>84121806</t>
  </si>
  <si>
    <t>80101505</t>
  </si>
  <si>
    <t>81111504</t>
  </si>
  <si>
    <t>81112218</t>
  </si>
  <si>
    <t>84111600</t>
  </si>
  <si>
    <t>80101500</t>
  </si>
  <si>
    <t>43231600</t>
  </si>
  <si>
    <t>81112002</t>
  </si>
  <si>
    <t>81141902</t>
  </si>
  <si>
    <t>94101503</t>
  </si>
  <si>
    <t>93141702</t>
  </si>
  <si>
    <t>81112501</t>
  </si>
  <si>
    <t>81112001</t>
  </si>
  <si>
    <t>43232107</t>
  </si>
  <si>
    <t>81111508</t>
  </si>
  <si>
    <t>80121609</t>
  </si>
  <si>
    <t>94131603</t>
  </si>
  <si>
    <t>43231511</t>
  </si>
  <si>
    <t>84131701</t>
  </si>
  <si>
    <t>70141803</t>
  </si>
  <si>
    <t>77111600</t>
  </si>
  <si>
    <t>70171704</t>
  </si>
  <si>
    <t>46191601</t>
  </si>
  <si>
    <t>72101506</t>
  </si>
  <si>
    <t>90101700</t>
  </si>
  <si>
    <t>56101700</t>
  </si>
  <si>
    <t>39112505</t>
  </si>
  <si>
    <t>95122401</t>
  </si>
  <si>
    <t>56101522</t>
  </si>
  <si>
    <t>86101705</t>
  </si>
  <si>
    <t>43232300</t>
  </si>
  <si>
    <t>43232408</t>
  </si>
  <si>
    <t>72101516</t>
  </si>
  <si>
    <t>80141902</t>
  </si>
  <si>
    <t>48101909</t>
  </si>
  <si>
    <t>86131502</t>
  </si>
  <si>
    <t>52141501</t>
  </si>
  <si>
    <t>52161505</t>
  </si>
  <si>
    <t>56101706</t>
  </si>
  <si>
    <t>56101507</t>
  </si>
  <si>
    <t>56101703</t>
  </si>
  <si>
    <t>72154066</t>
  </si>
  <si>
    <t>56112103</t>
  </si>
  <si>
    <t>72153605</t>
  </si>
  <si>
    <t>76111505</t>
  </si>
  <si>
    <t>78102203</t>
  </si>
  <si>
    <t>72102900</t>
  </si>
  <si>
    <t>se realizará contratación de consultoría para el proceso de certificar la oficina de control interno</t>
  </si>
  <si>
    <t>Revisión de las brechas establecidas</t>
  </si>
  <si>
    <t xml:space="preserve">Analizar los casos reportados a través de la línea ética de LA PREVISORA S.A. e investigar y dar claridad a los hechos en los que fundamentan dichos casos </t>
  </si>
  <si>
    <t>Servicio para el diligenciamiento de manera virtual del formulario de conocimiento del cliente.</t>
  </si>
  <si>
    <t>Prestar el servicio de licenciamiento, mantenimiento y actualización del Software Midas.</t>
  </si>
  <si>
    <t>Realizar la renovación del licenciamiento de los módulos del Sistema SAS®, realizar la actualización de la herramienta SAS office Analytics a la versión Office Analytics M8 y brindar capacitación para los funcionarios que LA PREVISORA S.A. designe para tal fin, previo acuerdo con EL PROVEEDOR</t>
  </si>
  <si>
    <t>Servicio de consulta de listas restrictivas</t>
  </si>
  <si>
    <t>Servicio de consulta de listas de PEPs</t>
  </si>
  <si>
    <t>Servicio bajo la modalidad de SAAS, que permita
la gestión de riesgos de manera automática y
consolidada de la Compañía._x000D_</t>
  </si>
  <si>
    <t>Consulta de información financiera para ejecutar los modelos internos de cupos de emisores y contrapartes</t>
  </si>
  <si>
    <t>Automatización de los cupos emisor y contraparte sector financiero y sector real.</t>
  </si>
  <si>
    <t>Revisión de la segmentación de los factores de riesgo de SRALAFT y automatizarla.</t>
  </si>
  <si>
    <t>Servicio de CVA y DVA.</t>
  </si>
  <si>
    <t>servicios profesionales de abogado, analizando y proyectando las decisiones de segunda instancia de los procesos disciplinarios .</t>
  </si>
  <si>
    <t>Recoleccion de sobrantes, piezas y salvamentos.</t>
  </si>
  <si>
    <t xml:space="preserve">Se requiere contratar una persona jurídica que preste sus servicios profesionales de peritaje especializado de daños que sufran y/o causen los vehículos que conforman el parque automotor asegurado por La Previsora y que afecten las pólizas expedidas bajo el ramo de automóviles (incluye todos los amparos). </t>
  </si>
  <si>
    <t>Se requiere contratar herramienta tecnologica para realizar todo el proceso de gestión de la atención integral a los siniestros derivados de las  pólizas expedidas bajo el ramo de automóviles.</t>
  </si>
  <si>
    <t>Se requiere contratar un proveedor que preste y garantice el servicio integral de bodegaje, almacenamiento y custodia de salvamentos de seguros generales (muebles, enseres, entre otros) y vehículos, asegurados por LA PREVISORA S.A. COMPAÑÍA DE SEGUROS</t>
  </si>
  <si>
    <t>La Compañía requiere contar con un proveedor que preste los servicios de trámites para el saneamiento de los vehículos asegurados, con el propósito de atender las reclamaciones y generar el pago de estas, esto atado al proceso de indemnizaciones autos como giro de negocio.</t>
  </si>
  <si>
    <t xml:space="preserve">PRESTACIÓN DE SERVICIO DE AJUSTE DE RECLAMACIONES </t>
  </si>
  <si>
    <t>Valoración de pérdida de capacidad laboral para las reclamaciones del amparo de incapacidad permante de los ramos de Soat y AP</t>
  </si>
  <si>
    <t>Servicios de financiación de primas de seguros y gestión y administración de recuperación o cobro de cartera</t>
  </si>
  <si>
    <t>Calificadora de Riesgo</t>
  </si>
  <si>
    <t>Orientación, herramientas de gestión, perspectivas frente a normatividad e investigaciones sobre asuntos ASG</t>
  </si>
  <si>
    <t>Asesoría  jurídica especializada para administrar la información de La Previsora S.A. Compañía de Seguros en la plataforma Markit de ISDA con el fin de vigilar, suministrar, actualizar y/o modificar periódicamente, la información necesaria en dicha plataforma.</t>
  </si>
  <si>
    <t>Asesoría jurídica para obtener la renovación del Legal Entity Identifier (LEI) necesario para la negociación de instrumentos derivados</t>
  </si>
  <si>
    <t>Servicio de Custodia Local del portafolio de inversiones</t>
  </si>
  <si>
    <t>Servicio de custodia Internacional del portafolio de inversiones</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</si>
  <si>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</si>
  <si>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Afiliar a La Previsora S.A. Compañía de Seguros a la agremiación durante el periodo Junio 2024 a Mayo de 2025 y participación a las jornadas Colombianas de Derecho Tributario</t>
  </si>
  <si>
    <t>Prestar los servicios especializados para la consultoría, acompañamiento y capacitación a los funcionarios de LA PREVISORA S.A. en la aplicación de las Normas Internacionales de Información Financiera (NIIF).</t>
  </si>
  <si>
    <t>Generación de certificados tributarios digitales (retención en renta, IVA e ICA).</t>
  </si>
  <si>
    <t>Contratar la prestación de servicios especializados para la estabilización  y ejecución del proceso de facturación en medios y formatos electrónicos (por disposiciones normativas)</t>
  </si>
  <si>
    <r>
      <rPr>
        <b/>
        <sz val="11"/>
        <color rgb="FF000000"/>
        <rFont val="Calibri"/>
        <family val="2"/>
      </rPr>
      <t>Estrategia de Innovación</t>
    </r>
    <r>
      <rPr>
        <sz val="11"/>
        <color rgb="FF000000"/>
        <rFont val="Calibri"/>
        <family val="2"/>
      </rPr>
      <t xml:space="preserve">
</t>
    </r>
    <r>
      <rPr>
        <i/>
        <sz val="11"/>
        <color rgb="FF000000"/>
        <rFont val="Calibri"/>
        <family val="2"/>
      </rPr>
      <t>Consultoría, diagnóstico y hoja de ruta de Innovación</t>
    </r>
  </si>
  <si>
    <r>
      <rPr>
        <b/>
        <sz val="11"/>
        <color rgb="FF000000"/>
        <rFont val="Calibri"/>
        <family val="2"/>
      </rPr>
      <t>Implementación Estrategia Innovación</t>
    </r>
    <r>
      <rPr>
        <sz val="11"/>
        <color rgb="FF000000"/>
        <rFont val="Calibri"/>
        <family val="2"/>
      </rPr>
      <t xml:space="preserve">
Realizar las actividades derivadas de la Consultoria de Estrategía de Innovación</t>
    </r>
  </si>
  <si>
    <r>
      <rPr>
        <b/>
        <sz val="11"/>
        <color rgb="FF000000"/>
        <rFont val="Calibri"/>
        <family val="2"/>
      </rPr>
      <t>Herramienta Rocketbot</t>
    </r>
    <r>
      <rPr>
        <sz val="11"/>
        <color rgb="FF000000"/>
        <rFont val="Calibri"/>
        <family val="2"/>
      </rPr>
      <t xml:space="preserve">
</t>
    </r>
    <r>
      <rPr>
        <i/>
        <sz val="11"/>
        <color rgb="FF000000"/>
        <rFont val="Calibri"/>
        <family val="2"/>
      </rPr>
      <t>Soporte y mantenimiento a las automatizacines desarrolladas.</t>
    </r>
  </si>
  <si>
    <r>
      <rPr>
        <b/>
        <sz val="11"/>
        <color rgb="FF000000"/>
        <rFont val="Calibri"/>
        <family val="2"/>
      </rPr>
      <t>Retos de Innovación</t>
    </r>
    <r>
      <rPr>
        <sz val="11"/>
        <color rgb="FF000000"/>
        <rFont val="Calibri"/>
        <family val="2"/>
      </rPr>
      <t xml:space="preserve">
Ejercicio de innovación abierta. Consultoria. Mediante diferentes técnicas lanza un reto que se establece desde previsora, y la empresa convoca a diferentes participantes para que con su asesoría planteen una solución innovadora</t>
    </r>
  </si>
  <si>
    <r>
      <rPr>
        <b/>
        <sz val="11"/>
        <color rgb="FF000000"/>
        <rFont val="Calibri"/>
        <family val="2"/>
      </rPr>
      <t>Herramienta Agility</t>
    </r>
    <r>
      <rPr>
        <sz val="11"/>
        <color rgb="FF000000"/>
        <rFont val="Calibri"/>
        <family val="2"/>
      </rPr>
      <t xml:space="preserve">
</t>
    </r>
    <r>
      <rPr>
        <i/>
        <sz val="11"/>
        <color rgb="FF000000"/>
        <rFont val="Calibri"/>
        <family val="2"/>
      </rPr>
      <t>Derecho a uso de la herramienta Agility y los asistentes robóticos desarrollados, así como también el servicio especializado para el soporte y mantenimiento de los asistentes de procesos implementados en la entidad basados en tecnología RPA y bolsa de horas para atender los ajustes requeridos a dichos asistentes.</t>
    </r>
  </si>
  <si>
    <r>
      <rPr>
        <b/>
        <sz val="11"/>
        <color theme="1"/>
        <rFont val="Calibri"/>
        <family val="2"/>
        <scheme val="minor"/>
      </rPr>
      <t>Isolución</t>
    </r>
    <r>
      <rPr>
        <sz val="11"/>
        <color rgb="FF000000"/>
        <rFont val="Calibri"/>
      </rPr>
      <t xml:space="preserve">
</t>
    </r>
    <r>
      <rPr>
        <i/>
        <sz val="11"/>
        <color theme="1"/>
        <rFont val="Calibri"/>
        <family val="2"/>
        <scheme val="minor"/>
      </rPr>
      <t>Soporte y Mantenimiento anual de la herramienta de Gestión Documental Isolución</t>
    </r>
  </si>
  <si>
    <r>
      <rPr>
        <b/>
        <sz val="10"/>
        <color theme="1"/>
        <rFont val="Calibri"/>
        <family val="2"/>
        <scheme val="minor"/>
      </rPr>
      <t xml:space="preserve">Auditoria Icontec | 
</t>
    </r>
    <r>
      <rPr>
        <i/>
        <sz val="10"/>
        <color theme="1"/>
        <rFont val="Calibri"/>
        <family val="2"/>
        <scheme val="minor"/>
      </rPr>
      <t>Seguimiento en ISO 9001:2015 y 14001:2015</t>
    </r>
    <r>
      <rPr>
        <sz val="10"/>
        <color theme="1"/>
        <rFont val="Calibri"/>
        <family val="2"/>
        <scheme val="minor"/>
      </rPr>
      <t xml:space="preserve">
</t>
    </r>
    <r>
      <rPr>
        <b/>
        <sz val="10"/>
        <color theme="1"/>
        <rFont val="Calibri"/>
        <family val="2"/>
        <scheme val="minor"/>
      </rPr>
      <t>Auditoria Icontec |</t>
    </r>
    <r>
      <rPr>
        <sz val="10"/>
        <color theme="1"/>
        <rFont val="Calibri"/>
        <family val="2"/>
        <scheme val="minor"/>
      </rPr>
      <t xml:space="preserve"> 
</t>
    </r>
    <r>
      <rPr>
        <i/>
        <sz val="10"/>
        <color theme="1"/>
        <rFont val="Calibri"/>
        <family val="2"/>
        <scheme val="minor"/>
      </rPr>
      <t>Sello Buenas Prácticas de Innovación</t>
    </r>
  </si>
  <si>
    <t>Consultoria Mejoramiento de Procesos</t>
  </si>
  <si>
    <t>CONSULTORIA DE GOBIERNO CORPORATIVO - MEDICIÓN REPUTACIÓN</t>
  </si>
  <si>
    <t>CONSULTORIA ERP FINANCIERO</t>
  </si>
  <si>
    <t>IMPLEMENTACIÓN ERP FINANCIERO</t>
  </si>
  <si>
    <t>UNIDAD ANALÍTICA DE DATOS (MODELO DE TRATAMIENTO DE FRAUDE)</t>
  </si>
  <si>
    <t>UNIDAD ANALÍTICA DE DATOS (MODELO SEGMENTACIÓN DE CLIENTES)</t>
  </si>
  <si>
    <t>SUCURSAL VIRTUAL FASE II (PROCESO E IMPLEMENTACION PAGOS VIRTUALES)</t>
  </si>
  <si>
    <t>MODELO DE ALIANZAS (FASE II) DESARROLLO  DE PORTAL O PLATAFORMA PARA OPERATIVIZAR LAS ALIANZAS COMERCIALES</t>
  </si>
  <si>
    <t>CHATBOT - CERTIFICACIÓN WHATSAPP</t>
  </si>
  <si>
    <t>RENOVACION MEMBRESIA A COLOMBIA FINTECH</t>
  </si>
  <si>
    <t>ASESORIAS EN ACTUALIZACION E IMPLEMENTACION DE ESTRATEGIAS</t>
  </si>
  <si>
    <t>DESARROLLO DE ACTIVIDADES PARA PROGRAMA DE CULTURA DIGITAL</t>
  </si>
  <si>
    <t>INCLUSION DE LA CAPA DE  INTELIGENCIA ARTIFICIAL EN LOS ACTIVOS DIGITALES CORPORATIVOS</t>
  </si>
  <si>
    <t>HONORARIOS ADMINISTRATIVOS - GER. PLANEACIÓN</t>
  </si>
  <si>
    <t>RENOVACION HERRAMIENTA QUICSCORE</t>
  </si>
  <si>
    <t>PORTAL INTERMEDIARIOS PAGINA WEB</t>
  </si>
  <si>
    <t>PROYECTO CENTRALIZACIÓN DE DATOS</t>
  </si>
  <si>
    <t>MANTENIMIENTO DE LA INTRANET  Y PORTAL WEB DE LA COMPAÑIA</t>
  </si>
  <si>
    <t>SERVICIO VALIDADOR PÓLIZAS</t>
  </si>
  <si>
    <t>PLATAFORMA DEVOPS</t>
  </si>
  <si>
    <t>INTEROPERABILIDAD - HA</t>
  </si>
  <si>
    <t>CANALES DE COMUNICACIÓN</t>
  </si>
  <si>
    <t>ANTIVIRUS EDR</t>
  </si>
  <si>
    <t>ARRENDAMIENTO - EQUIPOS DE CÓMPUTO</t>
  </si>
  <si>
    <t>BIOMÉTRICOS PARA TRANSMISIÓN A ENTES DE CONTROL</t>
  </si>
  <si>
    <t>CERTIMAIL</t>
  </si>
  <si>
    <t>SUSCRIPCIÓN OFFICE 365</t>
  </si>
  <si>
    <t>LICENCIAS ORACLE - AS</t>
  </si>
  <si>
    <t>MESA DE AYUDA DE SERVICIOS</t>
  </si>
  <si>
    <t>OUTSORCING DE IMPRESION</t>
  </si>
  <si>
    <t>PRODUCTOS ADOBE - AS</t>
  </si>
  <si>
    <t>PRODUCTOS ADOBE - MS</t>
  </si>
  <si>
    <r>
      <rPr>
        <sz val="11"/>
        <color rgb="FF000000"/>
        <rFont val="Calibri"/>
        <family val="2"/>
      </rPr>
      <t xml:space="preserve">SEGURIDAD DE LA INFORMACION - G. TECNOLOGIA </t>
    </r>
    <r>
      <rPr>
        <b/>
        <sz val="11"/>
        <color rgb="FF000000"/>
        <rFont val="Calibri"/>
        <family val="2"/>
      </rPr>
      <t>SOAR</t>
    </r>
  </si>
  <si>
    <t xml:space="preserve">SERVICIO NUBE PÚBLICA </t>
  </si>
  <si>
    <t>SISTEMA DE GESTIÓN DE IDENTIDADES</t>
  </si>
  <si>
    <t>SOFTWARE MESA DE AYUDA</t>
  </si>
  <si>
    <t>SYBASE</t>
  </si>
  <si>
    <t>HERRAMIENTA DE ARQUITECTURA EMPRESARIAL</t>
  </si>
  <si>
    <t>SEGURIDAD DE LA INFORMACION - G. TECNOLOGIA-SOC</t>
  </si>
  <si>
    <t>Prestación de servicios profesionales de asesoría jurídica en contratación estatal y privada, con el fin de brindar asistencia y ejercer la representación de la Compañía en los procesos licitatorios y/o concursos de selección regidos por el Estatuto General de la Contratación Pública y por normas especiales y de derecho privado, en los cuales LA PREVISORA S.A. participe como oferente, proponente y/o tenga algún interés sin consideración a la cuantía y en el territorio nacional y que le sean asignados a demanda por La Previsora Compañía de Seguros; así como asesoría jurídica integral en materia de contratación requerida a demanda por La Previsora a traves de la Gerencia de Contratación.</t>
  </si>
  <si>
    <t xml:space="preserve">Prestación de servicios profesionales para la asesoría jurídica de propiedad intelectual (propiedad industrial, derechos de autor) y realizar las gestiones y trámites necesarios ante la Superintendencia de Industria y Comercio para obtener los registros y/o renovaciones de la propiedad industrial de La Previsora, así como la protección de Derecho de Autor de La Compañía ante la Dirección Nacional de Derechos de Autor. </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</si>
  <si>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</si>
  <si>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Servicios de educación y capacitación en administración</t>
  </si>
  <si>
    <t>Atención de asesorias y conceptos jurídicos especializados a demanda</t>
  </si>
  <si>
    <t xml:space="preserve">Investigación Estudio de bienes </t>
  </si>
  <si>
    <t>Representación y defensa judicial en los litigios PENALES y atención de audiencias de conciliación prejudicial y judicial a a nivel nacional</t>
  </si>
  <si>
    <t>Representación y defensa judicial en los litigios PENALES</t>
  </si>
  <si>
    <t>Representación y defensa en: I) Atención de audiencias de conciliación prejudicial y judicial a nivel nacional, II) atención litigios en que cursen en Altas Cortes  y III) Atención de tutelas</t>
  </si>
  <si>
    <t>Representación y defensa judicial en PRF, Judiciales, Administrativos y acciones constitucionales de TUTELA</t>
  </si>
  <si>
    <t>Representación y defensa judicial en los litigios de la compañía a nivel nacional (59 contratos)</t>
  </si>
  <si>
    <t>Representación y defensa judicial en los litigios de la compañía A DEMANDA</t>
  </si>
  <si>
    <t>Prestar los 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</si>
  <si>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EL PROVEEDOR se compromete con LA PREVISORA S.A a prestar el servicio de Administración de Riesgos de Responsabilidad Civil Profesional de Clínicas y Hospitales para las instituciones Hospitalarias asignados por la Oficina de Responsabilidad Civil y la Oficina de Prevención de Riesgos, cumpliendo con lo indicado en el manual de políticas, normas y procedimientos de suscripción del ramo de Responsabilidad Civil y el manual para análisis de riesgos.</t>
  </si>
  <si>
    <t>EL PROVEEDOR se compromete con LA PREVISORA S.A a Prestar los servicios de administración de riesgos, control de pérdidas y procedimientos especializados para los diferentes riesgos amparados en negocios nuevos o vigentes del ramo de automóviles.</t>
  </si>
  <si>
    <t xml:space="preserve">EL PROVEEDOR se compromete con LA PREVISORA S.A a prestar el servicio de análisis dieléctrico, fisicoquímico, cromatográfico de gases, furanos y PCB´s a los transformadores eléctricos y monitoreo en línea para determinar parámetros de calidad de energía de asegurados asignados por LA PREVISORA S.A	</t>
  </si>
  <si>
    <t>EL PROVEEDOR se compromete con LA PREVISORA S.A a Prestar el servicio de Administración de Riesgos para el ramo de Transportes de los clientes asignados por la Oficina de Transportes y la Oficina de Prevención de Riesgos.</t>
  </si>
  <si>
    <t>EL PROVEEDOR se compromete con LA PREVISORA S.A a Prestar los servicios, en las sucursales que LA PREVISORA disponga de inspección de los bienes asegurables y/o asegurados y/o a prestar servicios de administración de riesgos y control de pérdidas, de riesgos en curso y/o por suscribir asignados por LA PREVISORA S.A. que permita establecer si el riesgo es asegurable y de serlo realizar las actividades necesarias para lograr un mejoramiento de los riesgos identificados, disminuyendo la probabilidad y severidad de pérdidas para los asegurados y la compañía.</t>
  </si>
  <si>
    <t>EL PROVEEDOR se obliga con LA PREVISORA S.A. a prestar el servicio de inspección portuario de mercancías en importación y exportación a nivel nacional, direccionado a generadores de carga, agentes de carga, transportadores de carga, operadores logísticos y operadores de transporte multimodal (OTM).</t>
  </si>
  <si>
    <t>COLOMBIA SOFTWARE LTDA se compromete con LA PREVISORA S.A. a suministrar el derecho de uso de la plataforma tecnológica SILOGTRAN que permita la captura de todos y cada uno de los despachos que realicen los clientes asegurados en Previsora en los diferentes productos del ramo de transportes, a fin de emitir certificados específicos, certificados de excesos y emisión de pólizas de seguro, así como también permitir el cálculo de las primas causadas en un lapso de tiempo determinado por la aseguradora y en todos los productos que componen el portafolio del ramo de transportes.</t>
  </si>
  <si>
    <t>servicios de asistencia de automóviles, domiciliaria y a personas para los ramos adscritos a la Gerencia Técnica de Automóviles, Gerencia Técnica de Seguros Generales y Gerencia Técnica de Seguros Patrimoniales y Vida</t>
  </si>
  <si>
    <t>Renovación del licenciamiento y el soporte técnico del Sistema SAS®, capacitar a sus funcionarios y de actualizar el servidor.</t>
  </si>
  <si>
    <t>ARRENDAMIENTO SOFTWARE</t>
  </si>
  <si>
    <t>Implementacion Software FIS</t>
  </si>
  <si>
    <t>Cálculo Pasivo Pensional</t>
  </si>
  <si>
    <t>Servicios de asistencia de automóviles, domiciliaria y a personas para los ramos adscritos a la Gerencia Técnica de Automóviles, Gerencia Técnica de Seguros Generales e Ingenierías y Gerencia Técnica de Seguros Patrimoniales y Vida, a nivel nacional</t>
  </si>
  <si>
    <t>servicio para la consulta de las aplicaciones informáticas SISA y CEXPER y envío de información en línea vía internet para la obtención de resultados de siniestralidad de los riesgos consultados, cifras estadísticas del ramo, cifras estadísticas del sector y demás actividades propias que administre FASECOLDA y que tenga que ver con el sector asegurador en el ramo de Automóviles.</t>
  </si>
  <si>
    <t>Servicio de asistencia vehícular</t>
  </si>
  <si>
    <t>Servicio suscripción Herramienta Contratación en Linea</t>
  </si>
  <si>
    <t>Contratar una herramienta de emisión de pólizas del ramo Agropecuario</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</si>
  <si>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que permitan que PREVISORA sea un referente en estas materias ante la comunidad en general, entre otras actividades que contribuyan a desarrollo sostenible y al cumplimiento de los compromisos del Gobierno Nacional.  </t>
  </si>
  <si>
    <t>Prestación de los servicios de Revisoría Fiscal a LA PREVISORA S.A. conforme con las normas legales vigentes aplicables a LA PREVISORA S.A., en especial las previstas en el artículo 207 del Código de Comercio, Estatuto Orgánico del Sistema Financiero, Circular Externa 029 de 2014 (Circular Básica Jurídica) expedida por la Superintendencia Financiera de Colombia, la Ley 222 de 1995, lo establecido en los Decretos 2420 del 14 de diciembre de 2015 y 2496 del 23 de diciembre de 2015, mediante los cuales se incorporaron las normas de auditoría y de aseguramiento de información (NAI), que están conformadas por el código de ética emitido por el IESBA, las normas internacionales de auditoría (NIA), las normas internacionales de control de calidad (NICC), las normas internacionales de trabajos de revisión (NITR), las normas internacionales de trabajos para atestiguar (ISAE) y las normas internacionales de servicios relacionados (NISR), todas emitidas por el Consejo de Normas Internacionales de Auditoría y Aseguramiento-IAASB-, así mismo, las establecidas en sus Estatutos Sociales siempre y cuando no contraríen la normatividad aplicable, y en aquellas normas que en el desarrollo de este contrato sean publicadas y regulen este objeto u otra obligación, o contenido de este contrato o aquellas que modifiquen, adicionen o sustituyan las mencionadas</t>
  </si>
  <si>
    <t>Suministro de bonos canasta</t>
  </si>
  <si>
    <t>Suministro de bonos dotación</t>
  </si>
  <si>
    <t>Suministro de bonos regalo</t>
  </si>
  <si>
    <t xml:space="preserve">Suministro de personal temporal </t>
  </si>
  <si>
    <t>Asesor laboral y de seguridad social integral</t>
  </si>
  <si>
    <t>Contratación Póliza de Vida Grupo plan de beneficios directivos</t>
  </si>
  <si>
    <t>Prestar servicios especializados en búsqueda de talentos (head hunter), selección y presentación de candidatos potenciales para suplir las vacantes de los cargos directivos que requiera la Compañía.</t>
  </si>
  <si>
    <t>Prestar el servicio de uso y administración de plataforma virtual para pruebas de conocimientos de ingreso a LA PREVISORA S.A., así como el diseño de preguntas para los cargos que esta requiera</t>
  </si>
  <si>
    <t xml:space="preserve">Suministrar por medio de una plataforma a la PREVISORA S.A un stock de pruebas psicológicas especializadas en evaluación de competencias y personalidad </t>
  </si>
  <si>
    <t xml:space="preserve"> Desarrollar e implementar estrategias y herramientas necesarias para afianzar la cultura organizacional, basado en un proceso de integridad, gestión del cambio y liderazgo.</t>
  </si>
  <si>
    <t>Contratar proveedor especializado  que brinde de acuerdo a las necesidades de capacitación, entrenamiento y/o desarrollo de los colaboradores de La Previsora en diferentes cursos, congresos, foros y seminarios (FASECOLDA)</t>
  </si>
  <si>
    <t>Contratar proveedor especializado  que brinde de acuerdo a las necesidades de capacitación, entrenamiento y/o desarrollo de los colaboradores de La Previsora en diferentes cursos, congresos, foros y seminarios (INS)</t>
  </si>
  <si>
    <t>Contratar proveedores especializados  que brinde de acuerdo a las necesidades de capacitación, entrenamiento y/o desarrollo de los colaboradores de La Previsora en diferentes cursos, congresos, foros y seminarios</t>
  </si>
  <si>
    <t>Exámenes médicos ocupacionales de ingreso, egreso, periódicos, post incapacidad entre otros</t>
  </si>
  <si>
    <t>Evaluaciones esfera mental y osteomusculares para teletrabajo</t>
  </si>
  <si>
    <t>Compra de elementos de emergencias, camillas, puntos seguros, botiquines, señalización, chalecos etc.</t>
  </si>
  <si>
    <t>Compra de elementos ergonómicos (elevadores de pantalla y Descansa pies)</t>
  </si>
  <si>
    <t>Servicio de consultoría para la actualización de matrices de peligros y planes de emergencias</t>
  </si>
  <si>
    <t xml:space="preserve">Servicio de administración de Nómina </t>
  </si>
  <si>
    <t>Entrenador  deportivo y eventos</t>
  </si>
  <si>
    <t>Plan de bienestar</t>
  </si>
  <si>
    <t>Suministro de repostería y pasabocas</t>
  </si>
  <si>
    <t>Póliza de hospitalización y cirugía para los funcionarios confeccionados según convención colectiva de trabajo 2024 - 2027 para la vigencia 2025</t>
  </si>
  <si>
    <t>Póliza de vida grupo y exequias para los funcionarios confeccionados según convención colectiva de trabaja 2024 - 2027 para la vigencia 2025</t>
  </si>
  <si>
    <t>Póliza vida grupo deudor para los prestamos hipotecarios que han y/o serán otorgados a los trabajadores, según lo defino en la convención colectiva de trabajo 2024 - 2027 para la vigencia 2025</t>
  </si>
  <si>
    <t>Intermediación de seguros para realizar la asesoría necesaria para obtener el cubrimiento de los riesgos derivados de la póliza de hospitalización y cirugía.</t>
  </si>
  <si>
    <t>Póliza de incendio y terremoto para los inmuebles que se encuentran hipotecados a favor de la compañía por el préstamo otorgado a los trabajadores según la convención colectiva de trabajo 2024 - 2027 para la vigencia 2025</t>
  </si>
  <si>
    <t>Contratar una agencia de viajes que cumpla con los requisitos exigidos por la normatividad vigente y que ofrezca las mejores condiciones para satisfacer las necesidades de La Previsora S.A. Compañía de Seguros para realizar los trámites de emisión de tiquetes aéreos y reservar hoteleras (habitaciones y salas de reunión) en destinos nacionales e internacionales</t>
  </si>
  <si>
    <t>Convenio de colaboración tecnológica y operativa para la operación integral  de los créditos al personal y la respectiva cartera actual y futura.</t>
  </si>
  <si>
    <t>Cumplimiento a la Ley 2173 del 30 de diciembre de 2021 - Siembra de árboles - Aproximadamente 1400 árboles (2 árboles por cada funcionario)</t>
  </si>
  <si>
    <t>Compra de bonos de carbono para compensación</t>
  </si>
  <si>
    <t>Contratar el suministro para  los funcionarios y visitantes de Casa Matriz de bebidas hidratantes.</t>
  </si>
  <si>
    <t>Contratar el servicio de fotocopias para todas las dependencias de Casa Matriz</t>
  </si>
  <si>
    <t>Contratar la recertificación del transporte vertical y puertas eléctricas de Casa Matriz</t>
  </si>
  <si>
    <t xml:space="preserve">Contratar el mantenimiento de las máquinas de café </t>
  </si>
  <si>
    <t>Contratar los gastos notariales para las diferentes dependencias de Casa Matriz</t>
  </si>
  <si>
    <t>Contratar el mantenimiento preventivo y correctivo de los aires acondicionados de Casa Matriz y la "L"</t>
  </si>
  <si>
    <t>Contratar el intermediario para la renovación del programa de seguros</t>
  </si>
  <si>
    <t>Contratar la compra de los termos para el servicio de cafetería de Casa Matriz</t>
  </si>
  <si>
    <t>Contratar la suscripción al diario La República</t>
  </si>
  <si>
    <t xml:space="preserve">Contratar los ramos de Automóviles, Manejo Comercial, Responsabilidad Civil, Riesgos Cibernéticos, Servidores Públicos, Todo Riesgo Daños Materiales, Transporte de Valores e Infidelidad y Riesgos Financieros </t>
  </si>
  <si>
    <t>Realizar el servicio de mantenimiento de puertas de seguridad y avisos luminosos de las sedes ubicadas en la ciudad de Bogotá.</t>
  </si>
  <si>
    <t>Mantenimiento correctivo del sistema de bombeo, inyectores y extractores</t>
  </si>
  <si>
    <t>Revisión y recarga de extintores</t>
  </si>
  <si>
    <t>Suscripción vía web vLex</t>
  </si>
  <si>
    <t>Mantenimiento ascensores</t>
  </si>
  <si>
    <t xml:space="preserve">Servicio de aseo y cafetería </t>
  </si>
  <si>
    <t>Servicio de vigilancia nacional</t>
  </si>
  <si>
    <t>Arrendamiento Sintraprevi 018-2021</t>
  </si>
  <si>
    <t>Arrendamiento Asdecos 165-2023</t>
  </si>
  <si>
    <t>Contratación ACARREOS</t>
  </si>
  <si>
    <t xml:space="preserve">Renovación soporte y mantenimiento aplicativo LEVIN </t>
  </si>
  <si>
    <t>Contratar avalúos y estudio de títulos de los inmuebles de las compañía bajo normas NIIF</t>
  </si>
  <si>
    <t>Contratar saneamiento administrativo  de los inmuebles de las compañía</t>
  </si>
  <si>
    <t>Contratar el servicio de mensajería expresa a través de mensajería expresa o Courier para atender la recepción, clasificación, distribución transporte y entrega de documentos y paquetes corporativos solicitada por Casa Matriz - Subgerencia de Recursos Físicos, manejado a través del sistema de crédito con pago según guía prenumerada para atender el correo certificado a nivel urbano, municipios cercanos, municipios lejanos, distribución nacional; envíos aeropuerto-aeropuerto y servicio urgente y o para envío internacionales</t>
  </si>
  <si>
    <t>Compra de vehículo eléctrico para el Presidente de la compañía</t>
  </si>
  <si>
    <t>Compra de activos fijos para Casa Matriz (Sillas, aires acondicionados y demás necesidades)</t>
  </si>
  <si>
    <t xml:space="preserve">Correo electrónico certificado </t>
  </si>
  <si>
    <t>Compra para el cambio de luminarias convencionales por LED - Casa Matriz</t>
  </si>
  <si>
    <t>Suministro y distribución continua de herramientas, materiales de construcción, materiales eléctricos y de ferretería</t>
  </si>
  <si>
    <t>Casa Matriz_Adecuación integral y remodelación de tres de los pisos de Casa Matriz, incluye obra civil, sistema de oficina abierta, red eléctrica normal y regulada e iluminación</t>
  </si>
  <si>
    <t>Cúcuta Adecuación integral y remodelación de la sucursal, incluye obra civil, sistema de oficina abierta, red eléctrica normal y regulada e iluminación</t>
  </si>
  <si>
    <t>Florencia Adecuación integral y remodelación de la sucursal, incluye obra civil, sistema de oficina abierta, red eléctrica normal y regulada e iluminación</t>
  </si>
  <si>
    <t>Contratar la suscripción Ámbito Jurídico</t>
  </si>
  <si>
    <t>Contratar el mantenimiento preventivo y correctivo de los vehiculos de la Compañía</t>
  </si>
  <si>
    <t>suministro y ensamblaje de sillas tipo operativa, gerencial y sala de juntas para las oficinas de la compañía a nivel nacional</t>
  </si>
  <si>
    <t xml:space="preserve">Apoyar el direccionamiento de procesos asociados al fortalecimiento de una cultura de sostenibilidad y Responsabilidad Social Empresarial (RSE), mediante definición y realización de estrategias y acciones dirigidas a los ejes de Pacto Global de Naciones Unidas: Derechos Humanos, Ambiente, Estándares Laborales y Anticorrupción y cumplimiento de los compromisos del Gobierno Nacional.  </t>
  </si>
  <si>
    <t>Prestación de servicios de asesoría, acompañamiento y apoyo legal a La Previsora S.A. para la incorporación de todas las normas relacionadas a Gobierno Corporativo, en virtud de su incorporación al Grupo Bicentenario S.A.S. .</t>
  </si>
  <si>
    <t>Contratacion proveedor mercadeo 360°, Comunicaciones externas e interna y PR</t>
  </si>
  <si>
    <t>Suministro de piezas gráficas impresas correspondientes al material publicitario y merchandising.</t>
  </si>
  <si>
    <t>Promocionales masivos</t>
  </si>
  <si>
    <t>Compra de elementos POP - Elite</t>
  </si>
  <si>
    <t>prestación de servicios para diseñar, estructurar, desarrollar e implementar los programas de formación definidos por LA PREVISORA S.A. y garantizar su implementación a nivel nacional, para los aliados estratégicos vinculados</t>
  </si>
  <si>
    <t>Capacitaciones dirigidas a intermediarios para el desarrollo de la estrategia, acompañamiento y productividad, permitiendo fortalecer sus capacidades y hacer uso de las herramientas comerciales.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</si>
  <si>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2023.</t>
  </si>
  <si>
    <t>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t>
  </si>
  <si>
    <t>Contratación de los servicios de operación y administración del contact center de la Compañía."administracion de las comunicacines"</t>
  </si>
  <si>
    <t>Contratación de los servicios de operación y administración del contact center de la Compañía "call center"</t>
  </si>
  <si>
    <t>Contratación de los servicios de administración y mantenimiento de la página www.saberseguro.com</t>
  </si>
  <si>
    <t>Con el objeto de dar continuidad a las diferentes gestiones que se vienen adelantando dentro del Sistema de Atención al Consumidor – SAC de Previsora Seguros, se hace necesario adquirir elementos de apoyo para ser entregados a los Consumidores Financieros como resarcimientos por peticiones, quejas y reclamos, así como por participación en los talleres, capacitaciones, conferencias, ferias  y demás actividades de sensibilización y socialización sobre temas de Educación Financiera o asociadas al SAC, así como a asistente a las jornadas de capacitación interna, virtual o presencial dirigida a funcionarios y terceros que participan dentro del proceso de atención al consumidor.</t>
  </si>
  <si>
    <t>Herramienta de gestión de encuestas</t>
  </si>
  <si>
    <t>Prestación de los servicios de asesoría, diseño y desarrollo de contenidos conceptuales o teóricos, así como un programa de coaching financiero en cumplimiento de los criterios del sello de calidad definidos en la Resolución 0240 del 2022 emitida por la Superintendencia Financiera, mediante herramientas prácticas, talleres, material educativo, entre otros, que fortalezcan el programa de Educación Financiera actual de LA PREVISORA S.A, Saber Seguro.</t>
  </si>
  <si>
    <t>CONTRATAR ESPACIO PARA LA CELEBRACION DEL DIA DE LA FAMILIA FUNCIONARIOS</t>
  </si>
  <si>
    <t>contratar espacio para la celebración fin de año funcionarios</t>
  </si>
  <si>
    <t>Renovar contrato de arrendamiento local de la sucursal.</t>
  </si>
  <si>
    <t>Contrato de mantenimiento de aires acondicionados y reinstalaciones de las unidades, letrero exterior, luminarias</t>
  </si>
  <si>
    <t>CONTRATAR MANTIMIENTO DE LA PARTE FISICA DE LOCAL DE LA SUCURSAL</t>
  </si>
  <si>
    <t>contratar la recarga de los extintores de la sucursal</t>
  </si>
  <si>
    <t>Lanzamiento Mutuamente Intermediarios</t>
  </si>
  <si>
    <t>Cierre de Gestion Intermediarios</t>
  </si>
  <si>
    <t>Actividad integración familiar funcionarios suc Armenia 2024</t>
  </si>
  <si>
    <t>actividad evento cierre fin de año suc Armenia 2024 funcionarios</t>
  </si>
  <si>
    <t>Parqueaderos para funcionarios Armenia</t>
  </si>
  <si>
    <t>Mantenimiento equipos AA suc Armenia Vig 2024</t>
  </si>
  <si>
    <t>CONTRATAR LA ADQUISICION DE UNA CAFETERA O GRECA PARA LA SUCURSAL</t>
  </si>
  <si>
    <t>CONTRATAR LA INSTALACION Y COMPRA DE GABINETE MUEBLE FLOTANTE DE COCINA</t>
  </si>
  <si>
    <t>EVENTO CIERRE DE GESTION 2024 SUCURSAL BUCARAMANGA</t>
  </si>
  <si>
    <t>COMPRA POR CAMBIO DE 2 EXINTORES ROJO DE 10 LIBRAS C02</t>
  </si>
  <si>
    <t>CONTRATAR LA ADQUISICION E INSTALACION Y PUESTA EN MARCHA DE 5 AIRES ACONDICIONADOS EN LA SUCURSAL</t>
  </si>
  <si>
    <t>ADECUACIONES PARA LA INSTALACIÓN Y PUESTA EN MARCHA DERIVADOS DE LA COMPRA DE AIRES</t>
  </si>
  <si>
    <t>MANTENIMINENTO DE PUERTA DE VIDRIO DE CAFETERIA SUCURSAL BUCARAMANGA</t>
  </si>
  <si>
    <t>REALIZAR MANTENIMIENTO AVISO</t>
  </si>
  <si>
    <t>ADQUISICIÓN DE SILLAS FIJAS PARA LA CAFETERIA DE LA SUCURSAL</t>
  </si>
  <si>
    <t>CONTRATAR EL SERVICIO DE ALQUILER DE LA FOTOCOPIADOR</t>
  </si>
  <si>
    <t>CONTRATAR EL SERVICIO DE MANTENIMIENTO DE LAS SILLAS DE LA SUCURSAL BUCARAMANGA</t>
  </si>
  <si>
    <t>CONTRATAR EL SERVICIO DE MANTENIMIENTO DE LOS AIRES ACONDCIONADOS DE LA SUCURSAL BUCARA</t>
  </si>
  <si>
    <t>CONTRATAR EL SERVICIO DE MANTENIMIENTO Y RECARGA DE EXTINTORES DE LA SUCURSAL</t>
  </si>
  <si>
    <t xml:space="preserve">Servicio de contratacion de impresión carnet estudiantil </t>
  </si>
  <si>
    <t>Evento de fin de año 2024 funcionarios</t>
  </si>
  <si>
    <t>Mantenimiento de puertas de vidrio Suc Bventura</t>
  </si>
  <si>
    <t>Mantenimiento preventido aires acondicionados</t>
  </si>
  <si>
    <t>Mantenimiento de Modulares oficina</t>
  </si>
  <si>
    <t>Compra de TV  Sala de Juntas</t>
  </si>
  <si>
    <t>Alquiler de Parqueadero.</t>
  </si>
  <si>
    <t xml:space="preserve">Evento Cierre de Gestión Funcionarios </t>
  </si>
  <si>
    <t xml:space="preserve">Mantenimiento de Aires Acondicionados </t>
  </si>
  <si>
    <t xml:space="preserve">Compra de Greca </t>
  </si>
  <si>
    <t>Contratar servicio de parqueadero para vehiculos de funcionarios.</t>
  </si>
  <si>
    <t xml:space="preserve">Contratar servicio de Mantenimiento de Aires acondicionados </t>
  </si>
  <si>
    <t xml:space="preserve">Contratar servicio de Mantenimiento de Planta Electrica </t>
  </si>
  <si>
    <t>Compra de Grecca para café</t>
  </si>
  <si>
    <t>Adquisicion y cambio Televisor 50" por vida util</t>
  </si>
  <si>
    <t>Adquisicion y cambio de greca por vida util</t>
  </si>
  <si>
    <t>Evento cierre de gestión 2024 Suc. Cúcuta</t>
  </si>
  <si>
    <t>Compra Horno Microondas por obsolencia</t>
  </si>
  <si>
    <t>Estufa para empotrar por obsolencia</t>
  </si>
  <si>
    <t>mantenimiento aires acondicionados</t>
  </si>
  <si>
    <t>Servicio de parqueadero funcionarios.</t>
  </si>
  <si>
    <t>3 tandem de silla para visitantes</t>
  </si>
  <si>
    <t>Greca Electrica sencilla</t>
  </si>
  <si>
    <t>mantenimiento y recarga extintores</t>
  </si>
  <si>
    <t>Mantenimiento preventivo aires acondicionados 2024</t>
  </si>
  <si>
    <t>Contrato de inspección de riesgos sucursal Florencia.</t>
  </si>
  <si>
    <t>Pintura del local propio Previsora</t>
  </si>
  <si>
    <t>Cambio por deterioro vida útil actual nevera</t>
  </si>
  <si>
    <t>Televisor Samsung de 50"</t>
  </si>
  <si>
    <t>Cambio por deterioro de mesa y sillas</t>
  </si>
  <si>
    <t>Cambio por deterioro Módulo en Madera y/o Biblioteca Gerencia</t>
  </si>
  <si>
    <t>Cambio por deterioro escritorio Gerencia</t>
  </si>
  <si>
    <t>Mantenimiento módulos escritorios funcionarios</t>
  </si>
  <si>
    <t>Día de la familia funcionarios sucursal</t>
  </si>
  <si>
    <t xml:space="preserve">Arrendamiento de parqueaderos para vehículos de funcionarios de La Previsora S.A. Sucursal Manizales. </t>
  </si>
  <si>
    <t xml:space="preserve">Contratación del servicio de mantenimiento de aires acondicionados y tres extractores de baños ubicados en las oficinas de la sucursal manizales, local 1 ED FORUM. </t>
  </si>
  <si>
    <t>Prestación de servicios para la organización y ejecución del Evento denominado DÍA DE LA FAMILIA dirigido a los funcionarios de La Previsora S.A. Sucursal Manizales.</t>
  </si>
  <si>
    <t>Prestación de servicios para la organización y ejecución del Evento denominado Actividad cierre año dirigido a los funcionarios de La Previsora S.A. Sucursal Manizales</t>
  </si>
  <si>
    <t xml:space="preserve">inspección de los bienes asegurables y/o asegurados y/o a prestar servicios de administración de riesgos y control de pérdidas, de riesgos en curso y/o por suscribir asignados por LA  PREVISORA S.A. </t>
  </si>
  <si>
    <t>Contratación de servicios para el SUMINISTRO DE IMPRESIÓN DE PAPELERÍA PÓLIZA DE VIDA GRUPO EDUCADORES</t>
  </si>
  <si>
    <t>Adquisición de Extintor de Co2 para la oficina</t>
  </si>
  <si>
    <t>compra  sillas tipo tandem para atencion cliente</t>
  </si>
  <si>
    <t xml:space="preserve">Adecuacion pintura general de oficina Sucursal Medellin incluye area de  indemnizaciones </t>
  </si>
  <si>
    <t xml:space="preserve">Instalacion puerta vidrio templado auditorio </t>
  </si>
  <si>
    <t xml:space="preserve">Mantenimiento Aire Acondicionado </t>
  </si>
  <si>
    <t>Mantenimiento cuartos tecnicos</t>
  </si>
  <si>
    <t xml:space="preserve">Mantenimiento muebles y sillas </t>
  </si>
  <si>
    <t xml:space="preserve">Mantenimiento electrico sucursal </t>
  </si>
  <si>
    <t>Evento cierre de gestion funcionarios</t>
  </si>
  <si>
    <t xml:space="preserve">Mantenimiento sistema biometrico ingreso puertas  , no se ha logrado obtener informacion de las licencias para poder actualizar dicho sistema </t>
  </si>
  <si>
    <t xml:space="preserve">Arrendamiento de parqueaderos para vehículos de funcionarios de la sucursal. </t>
  </si>
  <si>
    <t>CELEBRACIO DIA DE LA FAMILIA FUNCIONARIOS</t>
  </si>
  <si>
    <t>Mantenimiento aviso y planta electrica</t>
  </si>
  <si>
    <t>CAMBIO AVISO LUMINOSO DE LA SUCURSAL</t>
  </si>
  <si>
    <t>Mantenimiento aires acondicionados de la sucursal</t>
  </si>
  <si>
    <t>Servicio de parqueadero de vehiculo funcionarios.</t>
  </si>
  <si>
    <t>Actividad día de la familia funcionarios</t>
  </si>
  <si>
    <t>Actividad cierre de gestión 2024 funcionarios</t>
  </si>
  <si>
    <t>Mantenimiento de aires acondicionados</t>
  </si>
  <si>
    <t>Impresion de papeleria o formularios comerciales (CARNETS ESTUDIANTILES)</t>
  </si>
  <si>
    <t xml:space="preserve">Actividad de cierre de gestión fin de año funcionarios  Previsora Neiva. </t>
  </si>
  <si>
    <t xml:space="preserve">contratación el servicio de mantenimiento de aires acondicionados </t>
  </si>
  <si>
    <t>Contración servicio de mantenimiento planta electrica</t>
  </si>
  <si>
    <t xml:space="preserve">Contratacion del servico de mantemimiento de sillas </t>
  </si>
  <si>
    <t>Intalacion extractor de olores para baños</t>
  </si>
  <si>
    <t>cambio e instalacion estufa</t>
  </si>
  <si>
    <t>Cambio aviso entrada principal</t>
  </si>
  <si>
    <t>Dia de la familia Funcionarios 2024</t>
  </si>
  <si>
    <t>Mantenimiento planta electrica</t>
  </si>
  <si>
    <t>Mantenimiento aire acondicionado RDA</t>
  </si>
  <si>
    <t>Parqueadero funcionarios convencionados.</t>
  </si>
  <si>
    <t>Actividad celeboracion dia de la familia funcionarios</t>
  </si>
  <si>
    <t>actividad evento cierre fin de año funcionarios.</t>
  </si>
  <si>
    <t>mantenimiento equipos Aire Acondicionado</t>
  </si>
  <si>
    <t>Impresión Variable Duplex (Frente y respaldo) de carnets tamaño 8.5 X 5.5 CM, Tipo PVC</t>
  </si>
  <si>
    <t>Realizar dos mantenimientos de Aire acondicionado Mini Split</t>
  </si>
  <si>
    <t>mantenimiento correctivo de luminarias led 60*60 ubicadas en toda la oficina donde funciona LA PREVISORA SEGUROS S.A.</t>
  </si>
  <si>
    <t xml:space="preserve">SUMINISTRO DE FOTOCOPIAS PARA LICITACIONES </t>
  </si>
  <si>
    <t>CELEBRACION FIN DE AÑO FUNCIONARIOS 2024</t>
  </si>
  <si>
    <t xml:space="preserve">Mantenimiento preventivo aires acondicionados </t>
  </si>
  <si>
    <t>Mantenientos preventivos de la planta electrica.</t>
  </si>
  <si>
    <t>Alquiler de oficina 204, espacio donde opera el archivo y la sala de juntas de la Sucursal</t>
  </si>
  <si>
    <t xml:space="preserve">Mantenimientos correctivos por daños presentados en la oficina </t>
  </si>
  <si>
    <t>pintura en general de la oficina</t>
  </si>
  <si>
    <t>contratar espacio para celebrar la integracion de fin de año de los funcionarios</t>
  </si>
  <si>
    <t xml:space="preserve">contratar servicio de mantenimientos preventivos para la planta electrica </t>
  </si>
  <si>
    <t>compra de greca</t>
  </si>
  <si>
    <t>CELEBRACION FIN DE AÑO FUNCIONARIOS</t>
  </si>
  <si>
    <t>Manteimiento de dos avisos exteriores de Sucursal Yopal</t>
  </si>
  <si>
    <t>Actividad de cierre de año 2024 dirigido a funcionarios de la sucursal Yopal</t>
  </si>
  <si>
    <t>Realizar mantenimiento preventivo o correctivo con suministro de repuestos  de los aires acondicionados de la sucursal Yopal, con una periodicidad trimestral.</t>
  </si>
  <si>
    <t>Adquisición TV para proyectar en reuniones grupos pequeños a realizar en instalaciones de la Sucursal</t>
  </si>
  <si>
    <t>Evento Cierre fin de año 2024 funcionarios sucursal</t>
  </si>
  <si>
    <t>Mantenimiento aire acondicionado cuarto del servidor de tecnología</t>
  </si>
  <si>
    <t>Mantenimiento muebles y enseres</t>
  </si>
  <si>
    <t>Servicio correo físico con destino a aliados y asegurados</t>
  </si>
  <si>
    <t>Contrato inspección de riesgos a asegurar</t>
  </si>
  <si>
    <t>Evento cierre 2024 agentes y agencias</t>
  </si>
  <si>
    <t>dia de la familia funcionarios</t>
  </si>
  <si>
    <t>sillas tadem (de 3 o 4 puestos)</t>
  </si>
  <si>
    <t>compra de mesa banquera para la cocina con sillas</t>
  </si>
  <si>
    <t>mantenimiento de escritorios</t>
  </si>
  <si>
    <t>cambio de luminarias oficina a tipo led</t>
  </si>
  <si>
    <t xml:space="preserve">mantenimiento puntos de red </t>
  </si>
  <si>
    <t>compra de extintor</t>
  </si>
  <si>
    <t>Contratar servicio de impresión de Carnets</t>
  </si>
  <si>
    <t xml:space="preserve">Descripción </t>
  </si>
  <si>
    <t xml:space="preserve">DICIEMBRE </t>
  </si>
  <si>
    <t>ENERO DE 2025</t>
  </si>
  <si>
    <t>Marzo</t>
  </si>
  <si>
    <t>Enero</t>
  </si>
  <si>
    <t>Febrero</t>
  </si>
  <si>
    <t>Abril</t>
  </si>
  <si>
    <t>Mayo</t>
  </si>
  <si>
    <t>MESES</t>
  </si>
  <si>
    <t>CERRADA</t>
  </si>
  <si>
    <t>DIRECTA</t>
  </si>
  <si>
    <t>ABIERTA</t>
  </si>
  <si>
    <t>Abierta</t>
  </si>
  <si>
    <t>SIMPLIFICADA</t>
  </si>
  <si>
    <t>Propios</t>
  </si>
  <si>
    <t xml:space="preserve"> $                300,000,000</t>
  </si>
  <si>
    <t xml:space="preserve"> $                  38,810,748</t>
  </si>
  <si>
    <t xml:space="preserve"> $                396,864,998</t>
  </si>
  <si>
    <t xml:space="preserve"> $                547,400,000</t>
  </si>
  <si>
    <t> </t>
  </si>
  <si>
    <t>NO</t>
  </si>
  <si>
    <t>NA</t>
  </si>
  <si>
    <t>Presidencia</t>
  </si>
  <si>
    <t>Bogotá</t>
  </si>
  <si>
    <t>Johny Gender Navas</t>
  </si>
  <si>
    <t>(601) 3487555</t>
  </si>
  <si>
    <t>contratacion@previsora.gov.co</t>
  </si>
  <si>
    <t>Ines Nieto Quintero / María Margarita González S.</t>
  </si>
  <si>
    <t>SI</t>
  </si>
  <si>
    <t>No solicitadas</t>
  </si>
  <si>
    <t>Carolina Osorio/ María Margarita González S.</t>
  </si>
  <si>
    <t>Sebastian Rivera/María Margarita González S.</t>
  </si>
  <si>
    <t>Silvia Andrade/ María Margarita González S.</t>
  </si>
  <si>
    <t>Cindy Rincón / Ramón Angarita</t>
  </si>
  <si>
    <t>Vicepresidencia Indemnizaciones</t>
  </si>
  <si>
    <t>HENRY FORERO</t>
  </si>
  <si>
    <t>ADRIANA ORJUELA</t>
  </si>
  <si>
    <t>JOSE BERNARDO ALEMAN CABANA</t>
  </si>
  <si>
    <t>MARITZA GISELA AYURE AGULAR</t>
  </si>
  <si>
    <t>Vicepresidencia Financiera</t>
  </si>
  <si>
    <t>MARÍA ANDREA RIVEROS CAMAR</t>
  </si>
  <si>
    <t>CARLOS CARRILLO</t>
  </si>
  <si>
    <t>Maria Teresa Romero</t>
  </si>
  <si>
    <t>Silvia Yelaine Jimenez</t>
  </si>
  <si>
    <t>Evelyn Andrea Gómez</t>
  </si>
  <si>
    <t>Vicepresidencia de Desarrollo Corporativo</t>
  </si>
  <si>
    <t>IVÁN CORTES</t>
  </si>
  <si>
    <t>ESTEBAN TENORIO</t>
  </si>
  <si>
    <t>JOSE FERNANDO PULIDO</t>
  </si>
  <si>
    <t>JOHN JAVIER MEJIA</t>
  </si>
  <si>
    <t>JASON REYES/TATIANA FERRO</t>
  </si>
  <si>
    <t>NATALIA GOMEZ</t>
  </si>
  <si>
    <t>MARIA LUCIA LLERAS</t>
  </si>
  <si>
    <t>YULY ALEJANDRA RUIZ</t>
  </si>
  <si>
    <t>Delfin Alexander Rodríguez
Juan Carlos Pedraza</t>
  </si>
  <si>
    <t>Delfin Alexander Rodríguez
Diana Marcela Marulanda</t>
  </si>
  <si>
    <t>Solicitadas</t>
  </si>
  <si>
    <t>Carlos Alberto Arias</t>
  </si>
  <si>
    <t>Víctor M. Robayo / Manuel A. Cárdenas</t>
  </si>
  <si>
    <t>Víctor M. Robayo / Lorena pedroza</t>
  </si>
  <si>
    <t xml:space="preserve">Víctor M. Robayo / Sergio Suárez </t>
  </si>
  <si>
    <t>Víctor M. Robayo /  Angela A. Perilla / Lorena Pedroza / Nelson A. Camacho</t>
  </si>
  <si>
    <t>Víctor M. Robayo / Jimmy Alonso Albornoz</t>
  </si>
  <si>
    <t>Víctor M. Robayo /Angel Andrés Neira</t>
  </si>
  <si>
    <t>Víctor M. Robayo /Angela Pereilla</t>
  </si>
  <si>
    <t>Vicepresidencia Jurídica</t>
  </si>
  <si>
    <t>Juliana Barrera</t>
  </si>
  <si>
    <t>Amanda López</t>
  </si>
  <si>
    <t>Rodrigo Franco</t>
  </si>
  <si>
    <t>Vicepresidencia Técnica</t>
  </si>
  <si>
    <t>ALONSO BLANCO MEDINA</t>
  </si>
  <si>
    <t>JORGE BELTRAN RENDON</t>
  </si>
  <si>
    <t>Tramitadas</t>
  </si>
  <si>
    <t>CARLOS EDUARDO GONZALEZ TRIVIÑO</t>
  </si>
  <si>
    <t>Juan Sebastian Jordan</t>
  </si>
  <si>
    <t>Julian David Lozano</t>
  </si>
  <si>
    <t>Leonardo Parra Alarcon</t>
  </si>
  <si>
    <t>LUIS FELIPE CASTILLO BETANCOURT</t>
  </si>
  <si>
    <t>Wilson Orlando Parra Núñez</t>
  </si>
  <si>
    <t>Maria Isabel Wilches Segovia</t>
  </si>
  <si>
    <t>Andrés Felipe Guerra</t>
  </si>
  <si>
    <t>Secretaría General</t>
  </si>
  <si>
    <t>Jaiver Andrés Parra</t>
  </si>
  <si>
    <t>María del Pilar Rodriguez Caballero</t>
  </si>
  <si>
    <t>JUAN MANUEL CAÑON</t>
  </si>
  <si>
    <t>LIANA ABRIL</t>
  </si>
  <si>
    <t>KATERINE ALVARADO - MARTHA LUCIA GOMEZ</t>
  </si>
  <si>
    <t xml:space="preserve">MARTHA LUCIA GOMEZ </t>
  </si>
  <si>
    <t>ELIANA DEL CARMEN ROYS</t>
  </si>
  <si>
    <t>LILIA SORAYA MANZANO ROMERO</t>
  </si>
  <si>
    <t>MARTHA ISABEL PUERTO MESA</t>
  </si>
  <si>
    <t>POR TRAMITAR</t>
  </si>
  <si>
    <t>MÓNICA NAIREL HERNÁNDEZ MARTÍNEZ</t>
  </si>
  <si>
    <t>NATHALY ANDREA MUÑOZ GARRIDO</t>
  </si>
  <si>
    <t>RUSBI JAIR ORDUZ GONZÁLEZ</t>
  </si>
  <si>
    <t>THELMIRA NÚÑEZ GAONA</t>
  </si>
  <si>
    <t xml:space="preserve">Maria del Pilar Rodríguez Caballero </t>
  </si>
  <si>
    <t>Vicepresidencia Comercial</t>
  </si>
  <si>
    <t>Alejandra Escobar Niño</t>
  </si>
  <si>
    <t>Nubia Chamorro</t>
  </si>
  <si>
    <t>Nubia Chamorro / Milena Lucia Acosta Niño</t>
  </si>
  <si>
    <t xml:space="preserve">Aminta Puyo Mendez/ Nubia Chamorro </t>
  </si>
  <si>
    <t>Gustavo García 
Juan David Sánchez</t>
  </si>
  <si>
    <t>Yanet Rojas Hernández</t>
  </si>
  <si>
    <t>Angie Chinome</t>
  </si>
  <si>
    <t>Juan David Sánchez</t>
  </si>
  <si>
    <t>Arauca</t>
  </si>
  <si>
    <t>PEDRO PEÑA</t>
  </si>
  <si>
    <t>Armenia</t>
  </si>
  <si>
    <t>GIOVANNA M HERNANDEZ GARCIA</t>
  </si>
  <si>
    <t>Bucaramanga</t>
  </si>
  <si>
    <t>MARTA ISABEL CARRILLO RAMIREZ</t>
  </si>
  <si>
    <t>Buenaventura</t>
  </si>
  <si>
    <t>EDITH YANETH FLOREZ</t>
  </si>
  <si>
    <t>GILIANA CANDELO CABEZAS</t>
  </si>
  <si>
    <t>Cali</t>
  </si>
  <si>
    <t>CARMEN EUGENIA CHARRIA</t>
  </si>
  <si>
    <t>STEVEN GRANDEZ</t>
  </si>
  <si>
    <t>Cartagena</t>
  </si>
  <si>
    <t>Joiseth Del Carmen Cano Rangel</t>
  </si>
  <si>
    <t>JUAN CAMILO VILLEGAS</t>
  </si>
  <si>
    <t>PABLO RUA S. - HENRY BERRIO</t>
  </si>
  <si>
    <t>Cúcuta</t>
  </si>
  <si>
    <t>LINA MARCELA LOPEZ BECERRA</t>
  </si>
  <si>
    <t>Florencia</t>
  </si>
  <si>
    <t>JOSÉ ALEJANDRO VALENCIA</t>
  </si>
  <si>
    <t xml:space="preserve">JOSE ALEJANDRO VALENCIA </t>
  </si>
  <si>
    <t>Ibagué</t>
  </si>
  <si>
    <t>GERMAN MARTINEZ SANCHEZ</t>
  </si>
  <si>
    <t>Manizales</t>
  </si>
  <si>
    <t>LUISA MARÍA GIRALDO</t>
  </si>
  <si>
    <t>Medellín</t>
  </si>
  <si>
    <t>OSCAR MESA</t>
  </si>
  <si>
    <t>ANA CRISTINA ARBOLEDA</t>
  </si>
  <si>
    <t xml:space="preserve">NO </t>
  </si>
  <si>
    <t>Mocoa</t>
  </si>
  <si>
    <t>ANA BELEN GUTIERREZ</t>
  </si>
  <si>
    <t>Montería</t>
  </si>
  <si>
    <t xml:space="preserve">DIANA CAROLINA CABALLERO </t>
  </si>
  <si>
    <t>PATRICIA MORALES ESTRELLA</t>
  </si>
  <si>
    <t>Neiva</t>
  </si>
  <si>
    <t>GINA PAOLA OSORIO RODRÍGUEZ CELMIRA HERRERA GONZALEZ</t>
  </si>
  <si>
    <t xml:space="preserve">GINA PAOLA OSORIO RODRÍGUEZ </t>
  </si>
  <si>
    <t>Pasto</t>
  </si>
  <si>
    <t>OSCAR IVAN ESTRADA</t>
  </si>
  <si>
    <t>Pereira</t>
  </si>
  <si>
    <t>JOSE ELIAS OVIEDO</t>
  </si>
  <si>
    <t>NIRAY MAURICIO OCAMPO</t>
  </si>
  <si>
    <t>Popayán</t>
  </si>
  <si>
    <t>NORMA CRISTINA GONZALEZ MUÑOZ</t>
  </si>
  <si>
    <t>GERMAN PARRA</t>
  </si>
  <si>
    <t>Quibdó</t>
  </si>
  <si>
    <t>HELEN FLACO</t>
  </si>
  <si>
    <t>NATALIA MARIA MARIN VELEZ</t>
  </si>
  <si>
    <t>Riohacha</t>
  </si>
  <si>
    <t>JANER MENDEZ</t>
  </si>
  <si>
    <t>janer mendez</t>
  </si>
  <si>
    <t>Sincelejo</t>
  </si>
  <si>
    <t>JUAN CARLOS BEJARANO URIBE</t>
  </si>
  <si>
    <t>Yopal</t>
  </si>
  <si>
    <t>Miguel Angel Becerra Paez</t>
  </si>
  <si>
    <t>Tunja</t>
  </si>
  <si>
    <t>MARIA LEONOR MONTOYA AVELLA</t>
  </si>
  <si>
    <t>Villavicencio</t>
  </si>
  <si>
    <t>ANGELA JIMENA GUERRERO</t>
  </si>
  <si>
    <t>MARIA IVED VERGARA</t>
  </si>
  <si>
    <t>Barranquilla</t>
  </si>
  <si>
    <t>SANDRA PATIÑO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</si>
</sst>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0.0%"/>
    <numFmt numFmtId="165" formatCode="#,###\ &quot;COP&quot;"/>
    <numFmt numFmtId="166" formatCode="_-[$$-409]* #,##0_ ;_-[$$-409]* \-#,##0\ ;_-[$$-409]* &quot;-&quot;??_ ;_-@_ "/>
  </numFmts>
  <fonts count="110"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2"/>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16"/>
      <color rgb="FFFFFFFF"/>
      <name val="Calibri"/>
      <family val="2"/>
      <scheme val="minor"/>
    </font>
    <font>
      <sz val="28"/>
      <color theme="4" tint="-0.499984740745262"/>
      <name val="Calibri"/>
      <family val="2"/>
      <scheme val="minor"/>
    </font>
    <font>
      <b/>
      <sz val="28"/>
      <color theme="4" tint="-0.499984740745262"/>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sz val="10"/>
      <name val="Arial"/>
      <family val="2"/>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2"/>
      <color rgb="FFFF0000"/>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
      <color rgb="FF000000"/>
      <name val="Calibri"/>
      <family val="2"/>
      <scheme val="minor"/>
    </font>
    <font>
      <sz val="10.8"/>
      <name val="Calibri"/>
      <family val="2"/>
    </font>
    <font>
      <sz val="14"/>
      <color rgb="FF000000"/>
      <name val="Calibri"/>
      <family val="2"/>
      <scheme val="minor"/>
    </font>
    <font>
      <sz val="14"/>
      <color rgb="FF000000"/>
      <name val="Calibri"/>
      <family val="2"/>
    </font>
    <font>
      <sz val="14"/>
      <name val="Arial"/>
      <family val="2"/>
    </font>
    <font>
      <b/>
      <sz val="14"/>
      <color rgb="FF000000"/>
      <name val="Calibri"/>
      <family val="2"/>
      <scheme val="minor"/>
    </font>
    <font>
      <b/>
      <sz val="14"/>
      <color rgb="FFFFFFFF"/>
      <name val="Calibri"/>
      <family val="2"/>
      <scheme val="minor"/>
    </font>
    <font>
      <sz val="14"/>
      <name val="Calibri"/>
      <family val="2"/>
      <scheme val="minor"/>
    </font>
    <font>
      <sz val="14"/>
      <color rgb="FF444444"/>
      <name val="Calibri"/>
      <family val="2"/>
      <scheme val="minor"/>
    </font>
    <font>
      <sz val="11"/>
      <color rgb="FF000000"/>
      <name val="Calibri"/>
    </font>
    <font>
      <b/>
      <sz val="11"/>
      <color theme="1"/>
      <name val="Calibri"/>
      <family val="2"/>
      <scheme val="minor"/>
    </font>
    <font>
      <i/>
      <sz val="11"/>
      <color rgb="FF000000"/>
      <name val="Calibri"/>
      <family val="2"/>
    </font>
    <font>
      <i/>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1"/>
      <color rgb="FF444444"/>
      <name val="Calibri"/>
      <family val="2"/>
    </font>
    <font>
      <sz val="12"/>
      <color theme="1"/>
      <name val="Calibri"/>
      <family val="2"/>
    </font>
    <font>
      <sz val="10"/>
      <color theme="1"/>
      <name val="Gadugi"/>
      <family val="2"/>
    </font>
    <font>
      <sz val="9"/>
      <color indexed="81"/>
      <name val="Tahoma"/>
      <family val="2"/>
    </font>
    <font>
      <b/>
      <sz val="11"/>
      <name val="Calibri"/>
      <family val="2"/>
    </font>
    <font>
      <sz val="11"/>
      <color theme="1"/>
      <name val="Calibri"/>
      <family val="2"/>
      <charset val="1"/>
    </font>
  </fonts>
  <fills count="52">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92D050"/>
        <bgColor rgb="FF000000"/>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5E069"/>
        <bgColor rgb="FF000000"/>
      </patternFill>
    </fill>
    <fill>
      <patternFill patternType="solid">
        <fgColor rgb="FF9B4CBA"/>
        <bgColor indexed="64"/>
      </patternFill>
    </fill>
    <fill>
      <patternFill patternType="solid">
        <fgColor rgb="FFE63992"/>
        <bgColor rgb="FFBFBFBF"/>
      </patternFill>
    </fill>
    <fill>
      <patternFill patternType="solid">
        <fgColor rgb="FFE63992"/>
        <bgColor rgb="FF000000"/>
      </patternFill>
    </fill>
    <fill>
      <patternFill patternType="solid">
        <fgColor rgb="FF95E069"/>
        <bgColor rgb="FFFFFF99"/>
      </patternFill>
    </fill>
    <fill>
      <patternFill patternType="solid">
        <fgColor rgb="FF5BE3F5"/>
        <bgColor rgb="FF000000"/>
      </patternFill>
    </fill>
    <fill>
      <patternFill patternType="solid">
        <fgColor rgb="FF0070C0"/>
        <bgColor rgb="FF000000"/>
      </patternFill>
    </fill>
    <fill>
      <patternFill patternType="solid">
        <fgColor rgb="FFBB0113"/>
        <bgColor rgb="FF000000"/>
      </patternFill>
    </fill>
    <fill>
      <patternFill patternType="solid">
        <fgColor rgb="FFFF0000"/>
        <bgColor rgb="FF000000"/>
      </patternFill>
    </fill>
    <fill>
      <gradientFill degree="270">
        <stop position="0">
          <color rgb="FF9B4CBA"/>
        </stop>
        <stop position="1">
          <color rgb="FF532963"/>
        </stop>
      </gradientFill>
    </fill>
  </fills>
  <borders count="81">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theme="4" tint="0.39997558519241921"/>
      </bottom>
      <diagonal/>
    </border>
  </borders>
  <cellStyleXfs count="15">
    <xf numFmtId="0" fontId="0" fillId="0" borderId="0"/>
    <xf numFmtId="9" fontId="18" fillId="0" borderId="0" applyFont="0" applyFill="0" applyBorder="0" applyAlignment="0" applyProtection="0"/>
    <xf numFmtId="0" fontId="17" fillId="0" borderId="0"/>
    <xf numFmtId="0" fontId="17" fillId="0" borderId="0"/>
    <xf numFmtId="0" fontId="6" fillId="0" borderId="0"/>
    <xf numFmtId="0" fontId="49" fillId="32" borderId="0" applyNumberFormat="0" applyBorder="0" applyProtection="0">
      <alignment horizontal="center" vertical="center"/>
    </xf>
    <xf numFmtId="49" fontId="50" fillId="0" borderId="0" applyFill="0" applyBorder="0" applyProtection="0">
      <alignment horizontal="left" vertical="center"/>
    </xf>
    <xf numFmtId="165" fontId="51" fillId="0" borderId="0" applyFont="0" applyFill="0" applyBorder="0" applyAlignment="0" applyProtection="0"/>
    <xf numFmtId="0" fontId="5" fillId="0" borderId="0"/>
    <xf numFmtId="9" fontId="17" fillId="0" borderId="0" applyFont="0" applyFill="0" applyBorder="0" applyAlignment="0" applyProtection="0"/>
    <xf numFmtId="0" fontId="4" fillId="0" borderId="0"/>
    <xf numFmtId="0" fontId="17" fillId="0" borderId="0"/>
    <xf numFmtId="44" fontId="97" fillId="0" borderId="0" applyFont="0" applyFill="0" applyBorder="0" applyAlignment="0" applyProtection="0"/>
    <xf numFmtId="42" fontId="97" fillId="0" borderId="0" applyFont="0" applyFill="0" applyBorder="0" applyAlignment="0" applyProtection="0"/>
    <xf numFmtId="42" fontId="1" fillId="0" borderId="0" applyFont="0" applyFill="0" applyBorder="0" applyAlignment="0" applyProtection="0"/>
  </cellStyleXfs>
  <cellXfs count="914">
    <xf numFmtId="0" fontId="0" fillId="0" borderId="0" xfId="0"/>
    <xf numFmtId="0" fontId="0" fillId="0" borderId="0" xfId="0" applyAlignment="1">
      <alignment vertical="center"/>
    </xf>
    <xf numFmtId="0" fontId="8" fillId="3" borderId="1" xfId="0" applyFont="1" applyFill="1" applyBorder="1" applyAlignment="1">
      <alignment horizontal="left" vertical="center" wrapText="1" readingOrder="1"/>
    </xf>
    <xf numFmtId="0" fontId="9" fillId="4" borderId="2" xfId="0" applyFont="1" applyFill="1" applyBorder="1" applyAlignment="1">
      <alignment vertical="center" wrapText="1"/>
    </xf>
    <xf numFmtId="0" fontId="9" fillId="0" borderId="0" xfId="0" applyFont="1" applyAlignment="1">
      <alignment vertical="center" wrapText="1"/>
    </xf>
    <xf numFmtId="0" fontId="9" fillId="4" borderId="0" xfId="0" applyFont="1" applyFill="1" applyAlignment="1">
      <alignment vertical="center" wrapText="1"/>
    </xf>
    <xf numFmtId="0" fontId="9" fillId="4" borderId="0" xfId="0" applyFont="1" applyFill="1" applyAlignment="1">
      <alignment horizontal="left" vertical="center" wrapText="1"/>
    </xf>
    <xf numFmtId="0" fontId="9" fillId="0" borderId="0" xfId="0" applyFont="1" applyAlignment="1">
      <alignment horizontal="left" vertical="center" wrapText="1"/>
    </xf>
    <xf numFmtId="0" fontId="12" fillId="0" borderId="0" xfId="0" applyFont="1" applyAlignment="1">
      <alignment horizontal="center" vertical="center" wrapText="1"/>
    </xf>
    <xf numFmtId="0" fontId="13" fillId="0" borderId="0" xfId="0" applyFont="1" applyAlignment="1">
      <alignment horizontal="center" vertical="center" wrapText="1"/>
    </xf>
    <xf numFmtId="9" fontId="13" fillId="8" borderId="0" xfId="0" applyNumberFormat="1" applyFont="1" applyFill="1" applyAlignment="1">
      <alignment horizontal="center" vertical="center" wrapText="1"/>
    </xf>
    <xf numFmtId="9" fontId="13" fillId="9" borderId="0" xfId="0" applyNumberFormat="1" applyFont="1" applyFill="1" applyAlignment="1">
      <alignment horizontal="center" vertical="center" wrapText="1"/>
    </xf>
    <xf numFmtId="0" fontId="15" fillId="0" borderId="0" xfId="0" applyFont="1" applyAlignment="1">
      <alignment vertical="center"/>
    </xf>
    <xf numFmtId="0" fontId="17" fillId="0" borderId="0" xfId="0" applyFont="1" applyAlignment="1">
      <alignment vertical="center"/>
    </xf>
    <xf numFmtId="0" fontId="17" fillId="0" borderId="37" xfId="0" applyFont="1" applyBorder="1" applyAlignment="1">
      <alignment vertical="center"/>
    </xf>
    <xf numFmtId="0" fontId="17" fillId="0" borderId="37" xfId="0" applyFont="1" applyBorder="1" applyAlignment="1">
      <alignment horizontal="justify" vertical="center"/>
    </xf>
    <xf numFmtId="9" fontId="17" fillId="0" borderId="37" xfId="0" applyNumberFormat="1" applyFont="1" applyBorder="1" applyAlignment="1">
      <alignment vertical="center"/>
    </xf>
    <xf numFmtId="9" fontId="17" fillId="0" borderId="37" xfId="0" applyNumberFormat="1" applyFont="1" applyBorder="1" applyAlignment="1">
      <alignment horizontal="center" vertical="center"/>
    </xf>
    <xf numFmtId="0" fontId="17" fillId="0" borderId="41" xfId="0" applyFont="1" applyBorder="1" applyAlignment="1">
      <alignment horizontal="justify" vertical="center"/>
    </xf>
    <xf numFmtId="0" fontId="17" fillId="0" borderId="40" xfId="0" applyFont="1" applyBorder="1" applyAlignment="1">
      <alignment vertical="center"/>
    </xf>
    <xf numFmtId="0" fontId="17" fillId="0" borderId="40" xfId="0" applyFont="1" applyBorder="1" applyAlignment="1">
      <alignment horizontal="justify" vertical="center"/>
    </xf>
    <xf numFmtId="9" fontId="21" fillId="0" borderId="0" xfId="0" applyNumberFormat="1" applyFont="1" applyAlignment="1">
      <alignment horizontal="center" vertical="center"/>
    </xf>
    <xf numFmtId="0" fontId="17" fillId="0" borderId="39" xfId="0" applyFont="1" applyBorder="1" applyAlignment="1">
      <alignment horizontal="justify" vertical="center"/>
    </xf>
    <xf numFmtId="9" fontId="17" fillId="0" borderId="43" xfId="0" applyNumberFormat="1" applyFont="1" applyBorder="1" applyAlignment="1">
      <alignment horizontal="center" vertical="center"/>
    </xf>
    <xf numFmtId="0" fontId="19" fillId="0" borderId="0" xfId="2" applyFont="1" applyAlignment="1">
      <alignment vertical="center"/>
    </xf>
    <xf numFmtId="164" fontId="16" fillId="0" borderId="0" xfId="1" applyNumberFormat="1" applyFont="1" applyBorder="1" applyAlignment="1">
      <alignment horizontal="center" vertical="center"/>
    </xf>
    <xf numFmtId="164" fontId="22" fillId="0" borderId="37" xfId="0" applyNumberFormat="1" applyFont="1" applyBorder="1" applyAlignment="1">
      <alignment horizontal="center" vertical="center" wrapText="1"/>
    </xf>
    <xf numFmtId="164" fontId="17" fillId="0" borderId="37" xfId="1" applyNumberFormat="1" applyFont="1" applyFill="1" applyBorder="1" applyAlignment="1">
      <alignment horizontal="center" vertical="center"/>
    </xf>
    <xf numFmtId="164" fontId="22" fillId="0" borderId="40" xfId="0" applyNumberFormat="1" applyFont="1" applyBorder="1" applyAlignment="1">
      <alignment horizontal="center" vertical="center" wrapText="1"/>
    </xf>
    <xf numFmtId="164" fontId="17" fillId="0" borderId="40" xfId="1" applyNumberFormat="1" applyFont="1" applyFill="1" applyBorder="1" applyAlignment="1">
      <alignment horizontal="center" vertical="center"/>
    </xf>
    <xf numFmtId="164" fontId="16" fillId="0" borderId="37" xfId="1" applyNumberFormat="1" applyFont="1" applyBorder="1" applyAlignment="1">
      <alignment horizontal="center" vertical="center"/>
    </xf>
    <xf numFmtId="164" fontId="23"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7" fillId="0" borderId="39" xfId="1" applyNumberFormat="1" applyFont="1" applyBorder="1" applyAlignment="1">
      <alignment horizontal="center" vertical="center"/>
    </xf>
    <xf numFmtId="164" fontId="17" fillId="0" borderId="37" xfId="1" applyNumberFormat="1" applyFont="1" applyBorder="1" applyAlignment="1">
      <alignment horizontal="center" vertical="center"/>
    </xf>
    <xf numFmtId="164" fontId="17" fillId="0" borderId="40" xfId="1" applyNumberFormat="1" applyFont="1" applyBorder="1" applyAlignment="1">
      <alignment horizontal="center" vertical="center"/>
    </xf>
    <xf numFmtId="164" fontId="17" fillId="0" borderId="15" xfId="1" applyNumberFormat="1" applyFont="1" applyBorder="1" applyAlignment="1">
      <alignment horizontal="center" vertical="center"/>
    </xf>
    <xf numFmtId="164" fontId="17" fillId="0" borderId="29" xfId="1" applyNumberFormat="1" applyFont="1" applyBorder="1" applyAlignment="1">
      <alignment horizontal="center" vertical="center"/>
    </xf>
    <xf numFmtId="164" fontId="17" fillId="0" borderId="45" xfId="1" applyNumberFormat="1" applyFont="1" applyBorder="1" applyAlignment="1">
      <alignment horizontal="center" vertical="center"/>
    </xf>
    <xf numFmtId="164" fontId="17" fillId="0" borderId="29" xfId="1" applyNumberFormat="1" applyFont="1" applyFill="1" applyBorder="1" applyAlignment="1">
      <alignment horizontal="center" vertical="center"/>
    </xf>
    <xf numFmtId="164" fontId="17" fillId="0" borderId="45" xfId="1" applyNumberFormat="1" applyFont="1" applyFill="1" applyBorder="1" applyAlignment="1">
      <alignment horizontal="center" vertical="center"/>
    </xf>
    <xf numFmtId="164" fontId="17" fillId="0" borderId="41" xfId="1" applyNumberFormat="1" applyFont="1" applyFill="1" applyBorder="1" applyAlignment="1">
      <alignment horizontal="center" vertical="center"/>
    </xf>
    <xf numFmtId="9" fontId="11" fillId="7" borderId="3" xfId="0" applyNumberFormat="1" applyFont="1" applyFill="1" applyBorder="1" applyAlignment="1">
      <alignment horizontal="center" vertical="center" wrapText="1"/>
    </xf>
    <xf numFmtId="9" fontId="26" fillId="0" borderId="3" xfId="0" applyNumberFormat="1" applyFont="1" applyBorder="1" applyAlignment="1">
      <alignment horizontal="center" vertical="center"/>
    </xf>
    <xf numFmtId="9" fontId="26" fillId="0" borderId="3"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164" fontId="27" fillId="0" borderId="37" xfId="1" applyNumberFormat="1" applyFont="1" applyBorder="1" applyAlignment="1">
      <alignment horizontal="center" vertical="center"/>
    </xf>
    <xf numFmtId="164" fontId="28" fillId="5" borderId="37" xfId="0" applyNumberFormat="1" applyFont="1" applyFill="1" applyBorder="1" applyAlignment="1">
      <alignment horizontal="center" vertical="center" wrapText="1"/>
    </xf>
    <xf numFmtId="164" fontId="27" fillId="0" borderId="29" xfId="1" applyNumberFormat="1" applyFont="1" applyBorder="1" applyAlignment="1">
      <alignment horizontal="center" vertical="center"/>
    </xf>
    <xf numFmtId="164" fontId="28" fillId="5" borderId="29" xfId="0" applyNumberFormat="1" applyFont="1" applyFill="1" applyBorder="1" applyAlignment="1">
      <alignment horizontal="center" vertical="center" wrapText="1"/>
    </xf>
    <xf numFmtId="0" fontId="27" fillId="0" borderId="37" xfId="0" applyFont="1" applyBorder="1" applyAlignment="1">
      <alignment horizontal="center" vertical="center"/>
    </xf>
    <xf numFmtId="0" fontId="27" fillId="0" borderId="29" xfId="0" applyFont="1" applyBorder="1" applyAlignment="1">
      <alignment horizontal="center" vertical="center"/>
    </xf>
    <xf numFmtId="164" fontId="30" fillId="11" borderId="3" xfId="0" applyNumberFormat="1" applyFont="1" applyFill="1" applyBorder="1" applyAlignment="1">
      <alignment horizontal="center" vertical="center" wrapText="1"/>
    </xf>
    <xf numFmtId="164" fontId="29" fillId="0" borderId="3" xfId="0" applyNumberFormat="1" applyFont="1" applyBorder="1" applyAlignment="1">
      <alignment horizontal="center" vertical="center" wrapText="1"/>
    </xf>
    <xf numFmtId="164" fontId="17" fillId="0" borderId="39" xfId="0" applyNumberFormat="1" applyFont="1" applyBorder="1" applyAlignment="1">
      <alignment horizontal="center" vertical="center"/>
    </xf>
    <xf numFmtId="0" fontId="35" fillId="15" borderId="4" xfId="0" applyFont="1" applyFill="1" applyBorder="1" applyAlignment="1">
      <alignment horizontal="center" vertical="center" wrapText="1"/>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13" fillId="0" borderId="0" xfId="0" applyFont="1" applyAlignment="1">
      <alignment vertical="center" wrapText="1"/>
    </xf>
    <xf numFmtId="0" fontId="38" fillId="14" borderId="37" xfId="0" applyFont="1" applyFill="1" applyBorder="1" applyAlignment="1">
      <alignment horizontal="left" vertical="center"/>
    </xf>
    <xf numFmtId="0" fontId="38" fillId="14" borderId="0" xfId="0" applyFont="1" applyFill="1" applyAlignment="1">
      <alignment horizontal="left" vertical="center"/>
    </xf>
    <xf numFmtId="0" fontId="0" fillId="0" borderId="3" xfId="0" applyBorder="1" applyAlignment="1">
      <alignment vertical="center"/>
    </xf>
    <xf numFmtId="0" fontId="26" fillId="2" borderId="3" xfId="0" applyFont="1" applyFill="1" applyBorder="1" applyAlignment="1">
      <alignment horizontal="center" vertical="center" wrapText="1"/>
    </xf>
    <xf numFmtId="164" fontId="17" fillId="0" borderId="0" xfId="1" applyNumberFormat="1" applyFont="1" applyBorder="1" applyAlignment="1">
      <alignment horizontal="center" vertical="center"/>
    </xf>
    <xf numFmtId="164" fontId="17" fillId="0" borderId="0" xfId="1" applyNumberFormat="1" applyFont="1" applyFill="1" applyBorder="1" applyAlignment="1">
      <alignment horizontal="center" vertical="center"/>
    </xf>
    <xf numFmtId="164" fontId="27" fillId="0" borderId="0" xfId="1" applyNumberFormat="1" applyFont="1" applyBorder="1" applyAlignment="1">
      <alignment horizontal="center" vertical="center"/>
    </xf>
    <xf numFmtId="164" fontId="28" fillId="5" borderId="0" xfId="0" applyNumberFormat="1" applyFont="1" applyFill="1" applyAlignment="1">
      <alignment horizontal="center" vertical="center" wrapText="1"/>
    </xf>
    <xf numFmtId="0" fontId="27" fillId="0" borderId="0" xfId="0" applyFont="1" applyAlignment="1">
      <alignment horizontal="center" vertical="center"/>
    </xf>
    <xf numFmtId="164" fontId="39" fillId="5" borderId="24" xfId="0" applyNumberFormat="1" applyFont="1" applyFill="1" applyBorder="1" applyAlignment="1">
      <alignment vertical="center" wrapText="1"/>
    </xf>
    <xf numFmtId="0" fontId="36" fillId="27" borderId="3" xfId="0" applyFont="1" applyFill="1" applyBorder="1" applyAlignment="1">
      <alignment horizontal="center" vertical="center" wrapText="1"/>
    </xf>
    <xf numFmtId="0" fontId="6" fillId="0" borderId="0" xfId="4"/>
    <xf numFmtId="0" fontId="20" fillId="0" borderId="40" xfId="0" applyFont="1" applyBorder="1" applyAlignment="1">
      <alignment vertical="center" wrapText="1"/>
    </xf>
    <xf numFmtId="0" fontId="35" fillId="0" borderId="27" xfId="4" applyFont="1" applyBorder="1"/>
    <xf numFmtId="0" fontId="35" fillId="0" borderId="38" xfId="4" applyFont="1" applyBorder="1"/>
    <xf numFmtId="0" fontId="35" fillId="0" borderId="49" xfId="4" applyFont="1" applyBorder="1"/>
    <xf numFmtId="0" fontId="35" fillId="0" borderId="0" xfId="4" applyFont="1"/>
    <xf numFmtId="0" fontId="46" fillId="0" borderId="0" xfId="4" applyFont="1" applyAlignment="1">
      <alignment vertical="center" wrapText="1"/>
    </xf>
    <xf numFmtId="0" fontId="35" fillId="0" borderId="29" xfId="4" applyFont="1" applyBorder="1"/>
    <xf numFmtId="0" fontId="35" fillId="0" borderId="37" xfId="4" applyFont="1" applyBorder="1"/>
    <xf numFmtId="0" fontId="35" fillId="0" borderId="0" xfId="4" applyFont="1" applyAlignment="1">
      <alignment vertical="center" wrapText="1"/>
    </xf>
    <xf numFmtId="0" fontId="47" fillId="15" borderId="38" xfId="4" applyFont="1" applyFill="1" applyBorder="1" applyAlignment="1">
      <alignment vertical="center" wrapText="1"/>
    </xf>
    <xf numFmtId="0" fontId="47" fillId="15" borderId="0" xfId="4" applyFont="1" applyFill="1" applyAlignment="1">
      <alignment vertical="center" wrapText="1"/>
    </xf>
    <xf numFmtId="0" fontId="36" fillId="14" borderId="23" xfId="4" applyFont="1" applyFill="1" applyBorder="1" applyAlignment="1">
      <alignment horizontal="center" vertical="center" wrapText="1"/>
    </xf>
    <xf numFmtId="0" fontId="36" fillId="14" borderId="32" xfId="4" applyFont="1" applyFill="1" applyBorder="1" applyAlignment="1">
      <alignment horizontal="center" vertical="center" wrapText="1"/>
    </xf>
    <xf numFmtId="0" fontId="36" fillId="14" borderId="33" xfId="4" applyFont="1" applyFill="1" applyBorder="1" applyAlignment="1">
      <alignment horizontal="center" vertical="center" wrapText="1"/>
    </xf>
    <xf numFmtId="0" fontId="35" fillId="15" borderId="0" xfId="4" applyFont="1" applyFill="1"/>
    <xf numFmtId="0" fontId="52" fillId="25" borderId="0" xfId="4" applyFont="1" applyFill="1" applyAlignment="1">
      <alignment horizontal="center"/>
    </xf>
    <xf numFmtId="0" fontId="53"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2" fillId="24" borderId="3" xfId="0" applyFont="1" applyFill="1" applyBorder="1" applyAlignment="1">
      <alignment vertical="center"/>
    </xf>
    <xf numFmtId="0" fontId="42" fillId="24" borderId="14" xfId="0" applyFont="1" applyFill="1" applyBorder="1" applyAlignment="1">
      <alignment vertical="center"/>
    </xf>
    <xf numFmtId="9" fontId="0" fillId="0" borderId="3" xfId="0" applyNumberFormat="1" applyBorder="1" applyAlignment="1">
      <alignment vertical="center"/>
    </xf>
    <xf numFmtId="0" fontId="35" fillId="0" borderId="46" xfId="4" applyFont="1" applyBorder="1"/>
    <xf numFmtId="164" fontId="11" fillId="7" borderId="3" xfId="0" applyNumberFormat="1" applyFont="1" applyFill="1" applyBorder="1" applyAlignment="1">
      <alignment horizontal="center" vertical="center" wrapText="1"/>
    </xf>
    <xf numFmtId="9" fontId="26"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6" fillId="0" borderId="0" xfId="4" applyNumberFormat="1"/>
    <xf numFmtId="9" fontId="6" fillId="0" borderId="0" xfId="4" applyNumberFormat="1" applyAlignment="1">
      <alignment horizontal="right"/>
    </xf>
    <xf numFmtId="0" fontId="36" fillId="14" borderId="66" xfId="4" applyFont="1" applyFill="1" applyBorder="1" applyAlignment="1">
      <alignment horizontal="center" vertical="center" wrapText="1"/>
    </xf>
    <xf numFmtId="0" fontId="36" fillId="14" borderId="47" xfId="4" applyFont="1" applyFill="1" applyBorder="1" applyAlignment="1">
      <alignment horizontal="center" vertical="center" wrapText="1"/>
    </xf>
    <xf numFmtId="0" fontId="36" fillId="14" borderId="22" xfId="4" applyFont="1" applyFill="1" applyBorder="1" applyAlignment="1">
      <alignment horizontal="center" vertical="center" wrapText="1"/>
    </xf>
    <xf numFmtId="0" fontId="36" fillId="14" borderId="67" xfId="4" applyFont="1" applyFill="1" applyBorder="1" applyAlignment="1">
      <alignment horizontal="center" vertical="center" wrapText="1"/>
    </xf>
    <xf numFmtId="0" fontId="36" fillId="14" borderId="68" xfId="4" applyFont="1" applyFill="1" applyBorder="1" applyAlignment="1">
      <alignment horizontal="center" vertical="center" wrapText="1"/>
    </xf>
    <xf numFmtId="0" fontId="36" fillId="14" borderId="69" xfId="4" applyFont="1" applyFill="1" applyBorder="1" applyAlignment="1">
      <alignment horizontal="center" vertical="center" wrapText="1"/>
    </xf>
    <xf numFmtId="0" fontId="60" fillId="0" borderId="18" xfId="4" applyFont="1" applyBorder="1" applyAlignment="1">
      <alignment horizontal="center" vertical="center"/>
    </xf>
    <xf numFmtId="0" fontId="60" fillId="29" borderId="18" xfId="4" applyFont="1" applyFill="1" applyBorder="1" applyAlignment="1">
      <alignment horizontal="center" vertical="center"/>
    </xf>
    <xf numFmtId="9" fontId="60" fillId="30" borderId="3" xfId="4" applyNumberFormat="1" applyFont="1" applyFill="1" applyBorder="1" applyAlignment="1">
      <alignment horizontal="center" vertical="center"/>
    </xf>
    <xf numFmtId="9" fontId="60" fillId="30" borderId="15" xfId="4" applyNumberFormat="1" applyFont="1" applyFill="1" applyBorder="1" applyAlignment="1">
      <alignment horizontal="center" vertical="center"/>
    </xf>
    <xf numFmtId="0" fontId="60" fillId="30" borderId="3" xfId="4" applyFont="1" applyFill="1" applyBorder="1" applyAlignment="1">
      <alignment horizontal="center" vertical="center"/>
    </xf>
    <xf numFmtId="0" fontId="60" fillId="30" borderId="15" xfId="4" applyFont="1" applyFill="1" applyBorder="1" applyAlignment="1">
      <alignment horizontal="center" vertical="center"/>
    </xf>
    <xf numFmtId="9" fontId="61" fillId="25" borderId="0" xfId="4" applyNumberFormat="1" applyFont="1" applyFill="1" applyAlignment="1">
      <alignment horizontal="center" vertical="center"/>
    </xf>
    <xf numFmtId="0" fontId="60" fillId="0" borderId="15" xfId="4" applyFont="1" applyBorder="1" applyAlignment="1">
      <alignment horizontal="center" vertical="center"/>
    </xf>
    <xf numFmtId="9" fontId="60" fillId="29" borderId="3" xfId="4" applyNumberFormat="1" applyFont="1" applyFill="1" applyBorder="1" applyAlignment="1">
      <alignment horizontal="center" vertical="center"/>
    </xf>
    <xf numFmtId="9" fontId="60" fillId="29" borderId="15" xfId="4" applyNumberFormat="1" applyFont="1" applyFill="1" applyBorder="1" applyAlignment="1">
      <alignment horizontal="center" vertical="center"/>
    </xf>
    <xf numFmtId="0" fontId="60" fillId="0" borderId="58" xfId="4" applyFont="1" applyBorder="1" applyAlignment="1">
      <alignment horizontal="center" vertical="center"/>
    </xf>
    <xf numFmtId="0" fontId="60" fillId="0" borderId="3" xfId="4" applyFont="1" applyBorder="1" applyAlignment="1">
      <alignment horizontal="center" vertical="center"/>
    </xf>
    <xf numFmtId="0" fontId="60" fillId="29" borderId="59" xfId="4" applyFont="1" applyFill="1" applyBorder="1" applyAlignment="1">
      <alignment horizontal="center" vertical="center"/>
    </xf>
    <xf numFmtId="9" fontId="60" fillId="29" borderId="6" xfId="4" applyNumberFormat="1" applyFont="1" applyFill="1" applyBorder="1" applyAlignment="1">
      <alignment horizontal="center" vertical="center"/>
    </xf>
    <xf numFmtId="9" fontId="60" fillId="29" borderId="16" xfId="4" applyNumberFormat="1" applyFont="1" applyFill="1" applyBorder="1" applyAlignment="1">
      <alignment horizontal="center" vertical="center"/>
    </xf>
    <xf numFmtId="0" fontId="60" fillId="0" borderId="5" xfId="4" applyFont="1" applyBorder="1" applyAlignment="1">
      <alignment horizontal="center" vertical="center"/>
    </xf>
    <xf numFmtId="9" fontId="60" fillId="0" borderId="71" xfId="4" applyNumberFormat="1" applyFont="1" applyBorder="1" applyAlignment="1">
      <alignment horizontal="center" vertical="center"/>
    </xf>
    <xf numFmtId="9" fontId="60" fillId="15" borderId="5" xfId="4" applyNumberFormat="1" applyFont="1" applyFill="1" applyBorder="1" applyAlignment="1">
      <alignment horizontal="center" vertical="center"/>
    </xf>
    <xf numFmtId="9" fontId="60" fillId="15" borderId="74" xfId="4" applyNumberFormat="1" applyFont="1" applyFill="1" applyBorder="1" applyAlignment="1">
      <alignment horizontal="center" vertical="center"/>
    </xf>
    <xf numFmtId="0" fontId="60" fillId="29" borderId="3" xfId="4" applyFont="1" applyFill="1" applyBorder="1" applyAlignment="1">
      <alignment horizontal="center" vertical="center"/>
    </xf>
    <xf numFmtId="9" fontId="60" fillId="30" borderId="14" xfId="4" applyNumberFormat="1" applyFont="1" applyFill="1" applyBorder="1" applyAlignment="1">
      <alignment horizontal="center" vertical="center"/>
    </xf>
    <xf numFmtId="9" fontId="60" fillId="0" borderId="26" xfId="4" applyNumberFormat="1" applyFont="1" applyBorder="1" applyAlignment="1">
      <alignment horizontal="center" vertical="center"/>
    </xf>
    <xf numFmtId="0" fontId="60" fillId="15" borderId="15" xfId="4" applyFont="1" applyFill="1" applyBorder="1" applyAlignment="1">
      <alignment horizontal="center" vertical="center"/>
    </xf>
    <xf numFmtId="0" fontId="60" fillId="30" borderId="14" xfId="4" applyFont="1" applyFill="1" applyBorder="1" applyAlignment="1">
      <alignment horizontal="center" vertical="center"/>
    </xf>
    <xf numFmtId="9" fontId="60" fillId="0" borderId="14" xfId="4" applyNumberFormat="1" applyFont="1" applyBorder="1" applyAlignment="1">
      <alignment horizontal="center" vertical="center"/>
    </xf>
    <xf numFmtId="9" fontId="60" fillId="15" borderId="3" xfId="4" applyNumberFormat="1" applyFont="1" applyFill="1" applyBorder="1" applyAlignment="1">
      <alignment horizontal="center" vertical="center"/>
    </xf>
    <xf numFmtId="9" fontId="60" fillId="0" borderId="15" xfId="4" applyNumberFormat="1" applyFont="1" applyBorder="1" applyAlignment="1">
      <alignment horizontal="center" vertical="center"/>
    </xf>
    <xf numFmtId="0" fontId="60" fillId="29" borderId="4" xfId="4" applyFont="1" applyFill="1" applyBorder="1" applyAlignment="1">
      <alignment horizontal="center" vertical="center"/>
    </xf>
    <xf numFmtId="0" fontId="60" fillId="30" borderId="72" xfId="4" applyFont="1" applyFill="1" applyBorder="1" applyAlignment="1">
      <alignment horizontal="center" vertical="center"/>
    </xf>
    <xf numFmtId="0" fontId="60" fillId="30" borderId="6" xfId="4" applyFont="1" applyFill="1" applyBorder="1" applyAlignment="1">
      <alignment horizontal="center" vertical="center"/>
    </xf>
    <xf numFmtId="9" fontId="60" fillId="30" borderId="16" xfId="4" applyNumberFormat="1" applyFont="1" applyFill="1" applyBorder="1" applyAlignment="1">
      <alignment horizontal="center" vertical="center"/>
    </xf>
    <xf numFmtId="9" fontId="60" fillId="0" borderId="44" xfId="4" applyNumberFormat="1" applyFont="1" applyBorder="1" applyAlignment="1">
      <alignment horizontal="center" vertical="center"/>
    </xf>
    <xf numFmtId="0" fontId="60" fillId="0" borderId="14" xfId="4" applyFont="1" applyBorder="1" applyAlignment="1">
      <alignment horizontal="center" vertical="center"/>
    </xf>
    <xf numFmtId="9" fontId="60" fillId="25" borderId="26" xfId="4" applyNumberFormat="1" applyFont="1" applyFill="1" applyBorder="1" applyAlignment="1">
      <alignment horizontal="center" vertical="center"/>
    </xf>
    <xf numFmtId="0" fontId="60" fillId="29" borderId="14" xfId="4" applyFont="1" applyFill="1" applyBorder="1" applyAlignment="1">
      <alignment horizontal="center" vertical="center"/>
    </xf>
    <xf numFmtId="9" fontId="60" fillId="30" borderId="72" xfId="4" applyNumberFormat="1" applyFont="1" applyFill="1" applyBorder="1" applyAlignment="1">
      <alignment horizontal="center" vertical="center"/>
    </xf>
    <xf numFmtId="9" fontId="60" fillId="30" borderId="6" xfId="4" applyNumberFormat="1" applyFont="1" applyFill="1" applyBorder="1" applyAlignment="1">
      <alignment horizontal="center" vertical="center"/>
    </xf>
    <xf numFmtId="0" fontId="60" fillId="0" borderId="71" xfId="4" applyFont="1" applyBorder="1" applyAlignment="1">
      <alignment horizontal="center" vertical="center"/>
    </xf>
    <xf numFmtId="9" fontId="60" fillId="30" borderId="26" xfId="4" applyNumberFormat="1" applyFont="1" applyFill="1" applyBorder="1" applyAlignment="1">
      <alignment horizontal="center" vertical="center"/>
    </xf>
    <xf numFmtId="9" fontId="60" fillId="30" borderId="4" xfId="4" applyNumberFormat="1" applyFont="1" applyFill="1" applyBorder="1" applyAlignment="1">
      <alignment horizontal="center" vertical="center"/>
    </xf>
    <xf numFmtId="9" fontId="60" fillId="30" borderId="27" xfId="4" applyNumberFormat="1" applyFont="1" applyFill="1" applyBorder="1" applyAlignment="1">
      <alignment horizontal="center" vertical="center"/>
    </xf>
    <xf numFmtId="9" fontId="60" fillId="0" borderId="71" xfId="1" applyFont="1" applyBorder="1" applyAlignment="1">
      <alignment horizontal="center" vertical="center"/>
    </xf>
    <xf numFmtId="9" fontId="60" fillId="25" borderId="14" xfId="4" applyNumberFormat="1" applyFont="1" applyFill="1" applyBorder="1" applyAlignment="1">
      <alignment horizontal="center" vertical="center"/>
    </xf>
    <xf numFmtId="0" fontId="60" fillId="29" borderId="6" xfId="4" applyFont="1" applyFill="1" applyBorder="1" applyAlignment="1">
      <alignment horizontal="center" vertical="center"/>
    </xf>
    <xf numFmtId="9" fontId="61" fillId="15" borderId="30" xfId="4" applyNumberFormat="1" applyFont="1" applyFill="1" applyBorder="1" applyAlignment="1">
      <alignment horizontal="center" vertical="center"/>
    </xf>
    <xf numFmtId="9" fontId="61" fillId="30" borderId="9" xfId="4" applyNumberFormat="1" applyFont="1" applyFill="1" applyBorder="1" applyAlignment="1">
      <alignment horizontal="center" vertical="center"/>
    </xf>
    <xf numFmtId="9" fontId="61" fillId="15" borderId="9" xfId="4" applyNumberFormat="1" applyFont="1" applyFill="1" applyBorder="1" applyAlignment="1">
      <alignment horizontal="center" vertical="center"/>
    </xf>
    <xf numFmtId="9" fontId="61" fillId="29" borderId="9" xfId="4" applyNumberFormat="1" applyFont="1" applyFill="1" applyBorder="1" applyAlignment="1">
      <alignment horizontal="center" vertical="center"/>
    </xf>
    <xf numFmtId="9" fontId="61" fillId="29" borderId="11" xfId="4" applyNumberFormat="1" applyFont="1" applyFill="1" applyBorder="1" applyAlignment="1">
      <alignment horizontal="center" vertical="center"/>
    </xf>
    <xf numFmtId="0" fontId="36" fillId="14" borderId="21" xfId="4" applyFont="1" applyFill="1" applyBorder="1" applyAlignment="1">
      <alignment horizontal="center" vertical="center" wrapText="1"/>
    </xf>
    <xf numFmtId="0" fontId="36" fillId="14" borderId="8" xfId="4" applyFont="1" applyFill="1" applyBorder="1" applyAlignment="1">
      <alignment horizontal="center" vertical="center" wrapText="1"/>
    </xf>
    <xf numFmtId="0" fontId="66" fillId="14" borderId="22" xfId="4" applyFont="1" applyFill="1" applyBorder="1" applyAlignment="1">
      <alignment horizontal="center" vertical="center" wrapText="1"/>
    </xf>
    <xf numFmtId="0" fontId="65" fillId="14" borderId="23" xfId="4" applyFont="1" applyFill="1" applyBorder="1" applyAlignment="1">
      <alignment horizontal="center" vertical="center" wrapText="1"/>
    </xf>
    <xf numFmtId="0" fontId="65" fillId="14" borderId="32" xfId="4" applyFont="1" applyFill="1" applyBorder="1" applyAlignment="1">
      <alignment horizontal="center" vertical="center" wrapText="1"/>
    </xf>
    <xf numFmtId="0" fontId="65" fillId="14" borderId="33" xfId="4" applyFont="1" applyFill="1" applyBorder="1" applyAlignment="1">
      <alignment horizontal="center" vertical="center" wrapText="1"/>
    </xf>
    <xf numFmtId="0" fontId="65" fillId="14" borderId="7" xfId="4" applyFont="1" applyFill="1" applyBorder="1" applyAlignment="1">
      <alignment horizontal="center" vertical="center" wrapText="1"/>
    </xf>
    <xf numFmtId="0" fontId="36" fillId="14" borderId="43" xfId="4" applyFont="1" applyFill="1" applyBorder="1" applyAlignment="1">
      <alignment horizontal="center" vertical="center" wrapText="1"/>
    </xf>
    <xf numFmtId="0" fontId="62" fillId="0" borderId="0" xfId="4" applyFont="1"/>
    <xf numFmtId="0" fontId="62" fillId="0" borderId="0" xfId="4" applyFont="1" applyAlignment="1">
      <alignment horizontal="center" vertical="center"/>
    </xf>
    <xf numFmtId="0" fontId="62" fillId="0" borderId="0" xfId="4" applyFont="1" applyAlignment="1">
      <alignment wrapText="1"/>
    </xf>
    <xf numFmtId="0" fontId="70" fillId="0" borderId="0" xfId="4" applyFont="1" applyAlignment="1">
      <alignment horizontal="center" vertical="center"/>
    </xf>
    <xf numFmtId="0" fontId="23" fillId="0" borderId="0" xfId="4" applyFont="1"/>
    <xf numFmtId="164" fontId="63" fillId="0" borderId="33" xfId="4" applyNumberFormat="1" applyFont="1" applyBorder="1" applyAlignment="1">
      <alignment horizontal="center" vertical="center" wrapText="1"/>
    </xf>
    <xf numFmtId="164" fontId="71" fillId="36" borderId="22" xfId="4" applyNumberFormat="1" applyFont="1" applyFill="1" applyBorder="1" applyAlignment="1">
      <alignment horizontal="center" vertical="center" wrapText="1"/>
    </xf>
    <xf numFmtId="0" fontId="71" fillId="0" borderId="0" xfId="4" applyFont="1" applyAlignment="1">
      <alignment horizontal="center" vertical="center"/>
    </xf>
    <xf numFmtId="0" fontId="72" fillId="14" borderId="23" xfId="4" applyFont="1" applyFill="1" applyBorder="1" applyAlignment="1">
      <alignment horizontal="center" vertical="center" wrapText="1"/>
    </xf>
    <xf numFmtId="0" fontId="72" fillId="14" borderId="25" xfId="4" applyFont="1" applyFill="1" applyBorder="1" applyAlignment="1">
      <alignment horizontal="center" vertical="center" wrapText="1"/>
    </xf>
    <xf numFmtId="0" fontId="72" fillId="14" borderId="32" xfId="4" applyFont="1" applyFill="1" applyBorder="1" applyAlignment="1">
      <alignment horizontal="center" vertical="center" wrapText="1"/>
    </xf>
    <xf numFmtId="0" fontId="72" fillId="14" borderId="33" xfId="4" applyFont="1" applyFill="1" applyBorder="1" applyAlignment="1">
      <alignment horizontal="center" vertical="center" wrapText="1"/>
    </xf>
    <xf numFmtId="49" fontId="50" fillId="0" borderId="3" xfId="6" applyBorder="1" applyProtection="1">
      <alignment horizontal="left" vertical="center"/>
      <protection locked="0"/>
    </xf>
    <xf numFmtId="9" fontId="39" fillId="28" borderId="0" xfId="0" applyNumberFormat="1" applyFont="1" applyFill="1" applyAlignment="1">
      <alignment vertical="center" wrapText="1"/>
    </xf>
    <xf numFmtId="164" fontId="69" fillId="35" borderId="32" xfId="4" applyNumberFormat="1" applyFont="1" applyFill="1" applyBorder="1" applyAlignment="1">
      <alignment horizontal="center" vertical="center" wrapText="1"/>
    </xf>
    <xf numFmtId="164" fontId="69" fillId="35" borderId="67" xfId="4" applyNumberFormat="1" applyFont="1" applyFill="1" applyBorder="1" applyAlignment="1">
      <alignment horizontal="center" vertical="center" wrapText="1"/>
    </xf>
    <xf numFmtId="9" fontId="75" fillId="0" borderId="3" xfId="0" applyNumberFormat="1" applyFont="1" applyBorder="1" applyAlignment="1">
      <alignment horizontal="center" vertical="center" wrapText="1"/>
    </xf>
    <xf numFmtId="9" fontId="60" fillId="15" borderId="24" xfId="4" applyNumberFormat="1" applyFont="1" applyFill="1" applyBorder="1" applyAlignment="1">
      <alignment horizontal="center" vertical="center"/>
    </xf>
    <xf numFmtId="9" fontId="60" fillId="15" borderId="4" xfId="4" applyNumberFormat="1" applyFont="1" applyFill="1" applyBorder="1" applyAlignment="1">
      <alignment horizontal="center" vertical="center"/>
    </xf>
    <xf numFmtId="164" fontId="11" fillId="0" borderId="3" xfId="0" applyNumberFormat="1" applyFont="1" applyBorder="1" applyAlignment="1">
      <alignment horizontal="center" vertical="center" wrapText="1"/>
    </xf>
    <xf numFmtId="164" fontId="26" fillId="25" borderId="3" xfId="0" applyNumberFormat="1" applyFont="1" applyFill="1" applyBorder="1" applyAlignment="1">
      <alignment horizontal="center" vertical="center"/>
    </xf>
    <xf numFmtId="164" fontId="26" fillId="0" borderId="3" xfId="0" applyNumberFormat="1" applyFont="1" applyBorder="1" applyAlignment="1">
      <alignment horizontal="center" vertical="center" wrapText="1"/>
    </xf>
    <xf numFmtId="164" fontId="26" fillId="0" borderId="3" xfId="0" applyNumberFormat="1" applyFont="1" applyBorder="1" applyAlignment="1">
      <alignment horizontal="center" vertical="center"/>
    </xf>
    <xf numFmtId="164" fontId="39" fillId="5" borderId="3" xfId="0" applyNumberFormat="1" applyFont="1" applyFill="1" applyBorder="1" applyAlignment="1">
      <alignment vertical="center" wrapText="1"/>
    </xf>
    <xf numFmtId="9" fontId="60" fillId="15" borderId="18" xfId="1" applyFont="1" applyFill="1" applyBorder="1" applyAlignment="1">
      <alignment horizontal="center" vertical="center"/>
    </xf>
    <xf numFmtId="9" fontId="60" fillId="25" borderId="3" xfId="4" applyNumberFormat="1" applyFont="1" applyFill="1" applyBorder="1" applyAlignment="1">
      <alignment horizontal="center" vertical="center"/>
    </xf>
    <xf numFmtId="9" fontId="60" fillId="15" borderId="18" xfId="4" applyNumberFormat="1" applyFont="1" applyFill="1" applyBorder="1" applyAlignment="1">
      <alignment horizontal="center" vertical="center"/>
    </xf>
    <xf numFmtId="9" fontId="60" fillId="23" borderId="24" xfId="4" applyNumberFormat="1" applyFont="1" applyFill="1" applyBorder="1" applyAlignment="1">
      <alignment horizontal="center" vertical="center"/>
    </xf>
    <xf numFmtId="9" fontId="60" fillId="23" borderId="4" xfId="4" applyNumberFormat="1" applyFont="1" applyFill="1" applyBorder="1" applyAlignment="1">
      <alignment horizontal="center" vertical="center"/>
    </xf>
    <xf numFmtId="9" fontId="60" fillId="25" borderId="4" xfId="4" applyNumberFormat="1" applyFont="1" applyFill="1" applyBorder="1" applyAlignment="1">
      <alignment horizontal="center" vertical="center"/>
    </xf>
    <xf numFmtId="9" fontId="47" fillId="25" borderId="4" xfId="4" applyNumberFormat="1" applyFont="1" applyFill="1" applyBorder="1" applyAlignment="1">
      <alignment horizontal="center" vertical="center"/>
    </xf>
    <xf numFmtId="9" fontId="60" fillId="23" borderId="3" xfId="4" applyNumberFormat="1" applyFont="1" applyFill="1" applyBorder="1" applyAlignment="1">
      <alignment horizontal="center" vertical="center"/>
    </xf>
    <xf numFmtId="0" fontId="62" fillId="0" borderId="0" xfId="4" applyFont="1" applyAlignment="1">
      <alignment horizontal="right" vertical="center" wrapText="1" indent="1"/>
    </xf>
    <xf numFmtId="0" fontId="62" fillId="0" borderId="0" xfId="4" applyFont="1" applyAlignment="1">
      <alignment horizontal="right" vertical="center" indent="1"/>
    </xf>
    <xf numFmtId="9" fontId="60" fillId="0" borderId="27" xfId="4" applyNumberFormat="1" applyFont="1" applyBorder="1" applyAlignment="1">
      <alignment horizontal="center" vertical="center"/>
    </xf>
    <xf numFmtId="9" fontId="60" fillId="0" borderId="48" xfId="4" applyNumberFormat="1" applyFont="1" applyBorder="1" applyAlignment="1">
      <alignment horizontal="center" vertical="center"/>
    </xf>
    <xf numFmtId="9" fontId="26" fillId="0" borderId="15" xfId="0" applyNumberFormat="1" applyFont="1" applyBorder="1" applyAlignment="1">
      <alignment horizontal="center" vertical="center" wrapText="1"/>
    </xf>
    <xf numFmtId="9" fontId="11" fillId="7" borderId="15" xfId="0" applyNumberFormat="1" applyFont="1" applyFill="1" applyBorder="1" applyAlignment="1">
      <alignment horizontal="center" vertical="center" wrapText="1"/>
    </xf>
    <xf numFmtId="9" fontId="11" fillId="0" borderId="15" xfId="0" applyNumberFormat="1" applyFont="1" applyBorder="1" applyAlignment="1">
      <alignment horizontal="center" vertical="center" wrapText="1"/>
    </xf>
    <xf numFmtId="9" fontId="60" fillId="0" borderId="29" xfId="4" applyNumberFormat="1" applyFont="1" applyBorder="1" applyAlignment="1">
      <alignment horizontal="center" vertical="center"/>
    </xf>
    <xf numFmtId="9" fontId="26" fillId="25" borderId="3" xfId="0" applyNumberFormat="1" applyFont="1" applyFill="1" applyBorder="1" applyAlignment="1">
      <alignment horizontal="center" vertical="center" wrapText="1"/>
    </xf>
    <xf numFmtId="164" fontId="26" fillId="0" borderId="3" xfId="0" applyNumberFormat="1" applyFont="1" applyBorder="1" applyAlignment="1">
      <alignment horizontal="left" vertical="center" indent="1"/>
    </xf>
    <xf numFmtId="164" fontId="70" fillId="0" borderId="0" xfId="4" applyNumberFormat="1" applyFont="1" applyAlignment="1">
      <alignment horizontal="center" vertical="center"/>
    </xf>
    <xf numFmtId="0" fontId="79" fillId="0" borderId="0" xfId="0" applyFont="1"/>
    <xf numFmtId="0" fontId="0" fillId="0" borderId="0" xfId="0" applyAlignment="1">
      <alignment wrapText="1"/>
    </xf>
    <xf numFmtId="9" fontId="80" fillId="0" borderId="3" xfId="0" applyNumberFormat="1" applyFont="1" applyBorder="1" applyAlignment="1">
      <alignment horizontal="center" vertical="center" wrapText="1"/>
    </xf>
    <xf numFmtId="9" fontId="47" fillId="0" borderId="27" xfId="4" applyNumberFormat="1" applyFont="1" applyBorder="1" applyAlignment="1">
      <alignment horizontal="center" vertical="center"/>
    </xf>
    <xf numFmtId="164" fontId="26" fillId="38" borderId="3" xfId="0" applyNumberFormat="1" applyFont="1" applyFill="1" applyBorder="1" applyAlignment="1">
      <alignment horizontal="left" vertical="center" indent="1"/>
    </xf>
    <xf numFmtId="164" fontId="82" fillId="7" borderId="3" xfId="0" applyNumberFormat="1" applyFont="1" applyFill="1" applyBorder="1" applyAlignment="1">
      <alignment horizontal="center" vertical="center" wrapText="1"/>
    </xf>
    <xf numFmtId="0" fontId="3" fillId="0" borderId="0" xfId="4" applyFont="1"/>
    <xf numFmtId="0" fontId="79" fillId="0" borderId="0" xfId="0" applyFont="1" applyAlignment="1">
      <alignment horizontal="center"/>
    </xf>
    <xf numFmtId="9" fontId="79" fillId="0" borderId="0" xfId="0" applyNumberFormat="1" applyFont="1"/>
    <xf numFmtId="9" fontId="79" fillId="0" borderId="0" xfId="1" applyFont="1" applyBorder="1"/>
    <xf numFmtId="0" fontId="17" fillId="0" borderId="37" xfId="0" applyFont="1" applyBorder="1" applyAlignment="1">
      <alignment horizontal="right" vertical="center"/>
    </xf>
    <xf numFmtId="0" fontId="35" fillId="15" borderId="3" xfId="0" applyFont="1" applyFill="1" applyBorder="1" applyAlignment="1">
      <alignment horizontal="center" vertical="center" wrapText="1"/>
    </xf>
    <xf numFmtId="0" fontId="40" fillId="0" borderId="0" xfId="0" applyFont="1" applyAlignment="1">
      <alignment horizontal="center" vertical="center" textRotation="45" wrapText="1"/>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0" fillId="0" borderId="50" xfId="0" applyBorder="1" applyAlignment="1">
      <alignment horizontal="center" vertical="center"/>
    </xf>
    <xf numFmtId="0" fontId="62" fillId="0" borderId="40" xfId="4" applyFont="1" applyBorder="1" applyAlignment="1">
      <alignment horizontal="center" vertical="center"/>
    </xf>
    <xf numFmtId="0" fontId="34" fillId="42" borderId="7" xfId="0" applyFont="1" applyFill="1" applyBorder="1" applyAlignment="1">
      <alignment horizontal="center" vertical="center" wrapText="1"/>
    </xf>
    <xf numFmtId="0" fontId="34" fillId="42" borderId="5" xfId="0" applyFont="1" applyFill="1" applyBorder="1" applyAlignment="1">
      <alignment horizontal="center" vertical="center" wrapText="1"/>
    </xf>
    <xf numFmtId="0" fontId="34" fillId="42" borderId="8" xfId="0" applyFont="1" applyFill="1" applyBorder="1" applyAlignment="1">
      <alignment horizontal="center" vertical="center" wrapText="1"/>
    </xf>
    <xf numFmtId="0" fontId="26" fillId="2" borderId="14" xfId="0" applyFont="1" applyFill="1" applyBorder="1" applyAlignment="1">
      <alignment horizontal="center" vertical="center" wrapText="1"/>
    </xf>
    <xf numFmtId="0" fontId="47" fillId="15" borderId="0" xfId="4" applyFont="1" applyFill="1" applyAlignment="1">
      <alignment horizontal="center" vertical="center" wrapText="1"/>
    </xf>
    <xf numFmtId="0" fontId="78" fillId="0" borderId="3" xfId="0" applyFont="1" applyBorder="1" applyAlignment="1">
      <alignment horizontal="justify" vertical="center" wrapText="1"/>
    </xf>
    <xf numFmtId="0" fontId="78" fillId="0" borderId="3" xfId="0" applyFont="1" applyBorder="1" applyAlignment="1">
      <alignment horizontal="center" vertical="center" wrapText="1"/>
    </xf>
    <xf numFmtId="0" fontId="0" fillId="0" borderId="3" xfId="0" applyBorder="1" applyAlignment="1">
      <alignment horizontal="center" vertical="center"/>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7" fillId="0" borderId="3" xfId="0" applyFont="1" applyBorder="1" applyAlignment="1">
      <alignment horizontal="justify" vertical="center" wrapText="1"/>
    </xf>
    <xf numFmtId="0" fontId="0" fillId="0" borderId="3" xfId="0" applyBorder="1" applyAlignment="1">
      <alignment horizontal="center" vertical="center" wrapText="1"/>
    </xf>
    <xf numFmtId="0" fontId="35" fillId="0" borderId="3" xfId="0" applyFont="1" applyBorder="1" applyAlignment="1">
      <alignment horizontal="center" vertical="center" wrapText="1"/>
    </xf>
    <xf numFmtId="0" fontId="95" fillId="15" borderId="4" xfId="4" applyFont="1" applyFill="1" applyBorder="1" applyAlignment="1">
      <alignment horizontal="center" vertical="center" wrapText="1"/>
    </xf>
    <xf numFmtId="0" fontId="90" fillId="15" borderId="5" xfId="4" applyFont="1" applyFill="1" applyBorder="1" applyAlignment="1">
      <alignment horizontal="center" vertical="center" wrapText="1"/>
    </xf>
    <xf numFmtId="0" fontId="95" fillId="15" borderId="5" xfId="4" applyFont="1" applyFill="1" applyBorder="1" applyAlignment="1">
      <alignment horizontal="center" vertical="center" wrapText="1"/>
    </xf>
    <xf numFmtId="0" fontId="90" fillId="15" borderId="3" xfId="4" applyFont="1" applyFill="1" applyBorder="1" applyAlignment="1">
      <alignment horizontal="center" vertical="center" wrapText="1"/>
    </xf>
    <xf numFmtId="0" fontId="95" fillId="0" borderId="3" xfId="4" applyFont="1" applyBorder="1" applyAlignment="1">
      <alignment horizontal="center" vertical="center" wrapText="1"/>
    </xf>
    <xf numFmtId="0" fontId="95" fillId="15" borderId="3" xfId="4" applyFont="1" applyFill="1" applyBorder="1" applyAlignment="1">
      <alignment horizontal="center" vertical="center" wrapText="1"/>
    </xf>
    <xf numFmtId="0" fontId="90" fillId="0" borderId="5" xfId="4" applyFont="1" applyBorder="1" applyAlignment="1">
      <alignment horizontal="center" vertical="center" wrapText="1"/>
    </xf>
    <xf numFmtId="0" fontId="90" fillId="0" borderId="3" xfId="4" applyFont="1" applyBorder="1" applyAlignment="1">
      <alignment horizontal="center" vertical="center" wrapText="1"/>
    </xf>
    <xf numFmtId="0" fontId="95" fillId="15" borderId="6" xfId="4" applyFont="1" applyFill="1" applyBorder="1" applyAlignment="1">
      <alignment horizontal="center" vertical="center" wrapText="1"/>
    </xf>
    <xf numFmtId="0" fontId="54" fillId="0" borderId="37" xfId="4" applyFont="1" applyBorder="1" applyAlignment="1">
      <alignment horizontal="left"/>
    </xf>
    <xf numFmtId="0" fontId="56" fillId="12" borderId="27" xfId="4" applyFont="1" applyFill="1" applyBorder="1" applyAlignment="1">
      <alignment horizontal="center" vertical="center" wrapText="1"/>
    </xf>
    <xf numFmtId="0" fontId="56" fillId="12" borderId="38"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9" xfId="4" applyFont="1" applyFill="1" applyBorder="1" applyAlignment="1">
      <alignment horizontal="center" vertical="center" wrapText="1"/>
    </xf>
    <xf numFmtId="0" fontId="56" fillId="12" borderId="14" xfId="4" applyFont="1" applyFill="1" applyBorder="1" applyAlignment="1">
      <alignment horizontal="center" vertical="center" wrapText="1"/>
    </xf>
    <xf numFmtId="14" fontId="57" fillId="0" borderId="15" xfId="4" applyNumberFormat="1" applyFont="1" applyBorder="1" applyAlignment="1">
      <alignment horizontal="center" vertical="center" wrapText="1"/>
    </xf>
    <xf numFmtId="14" fontId="57" fillId="0" borderId="39"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9" xfId="4" applyFont="1" applyBorder="1" applyAlignment="1">
      <alignment horizontal="left" vertical="center" wrapText="1"/>
    </xf>
    <xf numFmtId="0" fontId="57" fillId="0" borderId="14" xfId="4" applyFont="1" applyBorder="1" applyAlignment="1">
      <alignment horizontal="left" vertical="center" wrapText="1"/>
    </xf>
    <xf numFmtId="0" fontId="42" fillId="39" borderId="49" xfId="0" applyFont="1" applyFill="1" applyBorder="1" applyAlignment="1">
      <alignment horizontal="center" vertical="center" wrapText="1"/>
    </xf>
    <xf numFmtId="0" fontId="42" fillId="39" borderId="0" xfId="0" applyFont="1" applyFill="1" applyAlignment="1">
      <alignment horizontal="center" vertical="center" wrapText="1"/>
    </xf>
    <xf numFmtId="0" fontId="42" fillId="39" borderId="50" xfId="0" applyFont="1" applyFill="1" applyBorder="1" applyAlignment="1">
      <alignment horizontal="center" vertical="center" wrapText="1"/>
    </xf>
    <xf numFmtId="0" fontId="19" fillId="40" borderId="15" xfId="0" applyFont="1" applyFill="1" applyBorder="1" applyAlignment="1">
      <alignment horizontal="center"/>
    </xf>
    <xf numFmtId="0" fontId="19" fillId="40" borderId="39" xfId="0" applyFont="1" applyFill="1" applyBorder="1" applyAlignment="1">
      <alignment horizontal="center"/>
    </xf>
    <xf numFmtId="0" fontId="19" fillId="40" borderId="14" xfId="0" applyFont="1" applyFill="1" applyBorder="1" applyAlignment="1">
      <alignment horizontal="center"/>
    </xf>
    <xf numFmtId="0" fontId="0" fillId="0" borderId="3" xfId="0" applyBorder="1" applyAlignment="1">
      <alignment horizontal="center"/>
    </xf>
    <xf numFmtId="0" fontId="19" fillId="40" borderId="49" xfId="0" applyFont="1" applyFill="1" applyBorder="1" applyAlignment="1">
      <alignment horizontal="center"/>
    </xf>
    <xf numFmtId="0" fontId="19" fillId="40" borderId="0" xfId="0" applyFont="1" applyFill="1" applyAlignment="1">
      <alignment horizontal="center"/>
    </xf>
    <xf numFmtId="0" fontId="0" fillId="0" borderId="49" xfId="0" applyBorder="1" applyAlignment="1">
      <alignment horizontal="center"/>
    </xf>
    <xf numFmtId="0" fontId="0" fillId="0" borderId="0" xfId="0" applyAlignment="1">
      <alignment horizontal="center"/>
    </xf>
    <xf numFmtId="0" fontId="42" fillId="24" borderId="3" xfId="0" applyFont="1" applyFill="1" applyBorder="1" applyAlignment="1">
      <alignment horizontal="center" vertical="center"/>
    </xf>
    <xf numFmtId="0" fontId="42" fillId="33" borderId="0" xfId="0" applyFont="1" applyFill="1" applyAlignment="1">
      <alignment horizontal="center" vertical="center"/>
    </xf>
    <xf numFmtId="0" fontId="13" fillId="0" borderId="3" xfId="0" applyFont="1" applyBorder="1" applyAlignment="1">
      <alignment horizontal="center" vertical="center" wrapText="1"/>
    </xf>
    <xf numFmtId="0" fontId="35" fillId="15" borderId="3" xfId="0" applyFont="1" applyFill="1" applyBorder="1" applyAlignment="1">
      <alignment horizontal="center" vertical="center" wrapText="1"/>
    </xf>
    <xf numFmtId="0" fontId="36" fillId="16" borderId="3" xfId="0" applyFont="1" applyFill="1" applyBorder="1" applyAlignment="1">
      <alignment horizontal="center" vertical="center" wrapText="1"/>
    </xf>
    <xf numFmtId="0" fontId="78" fillId="0" borderId="3" xfId="0" applyFont="1" applyBorder="1" applyAlignment="1">
      <alignment horizontal="justify" vertical="center" wrapText="1"/>
    </xf>
    <xf numFmtId="0" fontId="78" fillId="0" borderId="6" xfId="0" applyFont="1" applyBorder="1" applyAlignment="1">
      <alignment horizontal="justify" vertical="center" wrapText="1"/>
    </xf>
    <xf numFmtId="0" fontId="35" fillId="15" borderId="4" xfId="0" applyFont="1" applyFill="1" applyBorder="1" applyAlignment="1">
      <alignment horizontal="center" vertical="center" wrapText="1"/>
    </xf>
    <xf numFmtId="0" fontId="35" fillId="15" borderId="18" xfId="0" applyFont="1" applyFill="1" applyBorder="1" applyAlignment="1">
      <alignment horizontal="center" vertical="center" wrapText="1"/>
    </xf>
    <xf numFmtId="0" fontId="37" fillId="15" borderId="3" xfId="0" applyFont="1" applyFill="1" applyBorder="1" applyAlignment="1">
      <alignment horizontal="center" vertical="center" wrapText="1"/>
    </xf>
    <xf numFmtId="14" fontId="37" fillId="15" borderId="3" xfId="0" applyNumberFormat="1" applyFont="1" applyFill="1" applyBorder="1" applyAlignment="1">
      <alignment horizontal="center" vertical="center" wrapText="1"/>
    </xf>
    <xf numFmtId="0" fontId="78" fillId="0" borderId="9" xfId="0" applyFont="1" applyBorder="1" applyAlignment="1">
      <alignment horizontal="left" vertical="center" wrapText="1"/>
    </xf>
    <xf numFmtId="0" fontId="78" fillId="0" borderId="11" xfId="0" applyFont="1" applyBorder="1" applyAlignment="1">
      <alignment horizontal="left" vertical="center" wrapText="1"/>
    </xf>
    <xf numFmtId="0" fontId="42" fillId="39" borderId="3" xfId="0" applyFont="1" applyFill="1" applyBorder="1" applyAlignment="1">
      <alignment horizontal="left" vertical="center"/>
    </xf>
    <xf numFmtId="9" fontId="39" fillId="5" borderId="27" xfId="0" applyNumberFormat="1" applyFont="1" applyFill="1" applyBorder="1" applyAlignment="1">
      <alignment horizontal="center" vertical="center" wrapText="1"/>
    </xf>
    <xf numFmtId="9" fontId="39" fillId="5" borderId="26" xfId="0" applyNumberFormat="1" applyFont="1" applyFill="1" applyBorder="1" applyAlignment="1">
      <alignment horizontal="center" vertical="center" wrapText="1"/>
    </xf>
    <xf numFmtId="9" fontId="39" fillId="5" borderId="49" xfId="0" applyNumberFormat="1" applyFont="1" applyFill="1" applyBorder="1" applyAlignment="1">
      <alignment horizontal="center" vertical="center" wrapText="1"/>
    </xf>
    <xf numFmtId="9" fontId="39" fillId="5" borderId="50" xfId="0" applyNumberFormat="1" applyFont="1" applyFill="1" applyBorder="1" applyAlignment="1">
      <alignment horizontal="center" vertical="center" wrapText="1"/>
    </xf>
    <xf numFmtId="9" fontId="39" fillId="5" borderId="29" xfId="0" applyNumberFormat="1" applyFont="1" applyFill="1" applyBorder="1" applyAlignment="1">
      <alignment horizontal="center" vertical="center" wrapText="1"/>
    </xf>
    <xf numFmtId="9" fontId="39" fillId="5" borderId="28" xfId="0" applyNumberFormat="1" applyFont="1" applyFill="1" applyBorder="1" applyAlignment="1">
      <alignment horizontal="center" vertical="center" wrapText="1"/>
    </xf>
    <xf numFmtId="0" fontId="39" fillId="43" borderId="27" xfId="0" applyFont="1" applyFill="1" applyBorder="1" applyAlignment="1">
      <alignment horizontal="right" vertical="center" wrapText="1"/>
    </xf>
    <xf numFmtId="0" fontId="39" fillId="43" borderId="49" xfId="0" applyFont="1" applyFill="1" applyBorder="1" applyAlignment="1">
      <alignment horizontal="right" vertical="center" wrapText="1"/>
    </xf>
    <xf numFmtId="0" fontId="39" fillId="43" borderId="29" xfId="0" applyFont="1" applyFill="1" applyBorder="1" applyAlignment="1">
      <alignment horizontal="right" vertical="center" wrapText="1"/>
    </xf>
    <xf numFmtId="0" fontId="78" fillId="0" borderId="18" xfId="0" applyFont="1" applyBorder="1" applyAlignment="1">
      <alignment horizontal="justify" vertical="center" wrapText="1"/>
    </xf>
    <xf numFmtId="0" fontId="78" fillId="0" borderId="30" xfId="0" applyFont="1" applyBorder="1" applyAlignment="1">
      <alignment horizontal="center" vertical="center" wrapText="1"/>
    </xf>
    <xf numFmtId="0" fontId="78" fillId="0" borderId="9" xfId="0" applyFont="1" applyBorder="1" applyAlignment="1">
      <alignment horizontal="center" vertical="center" wrapText="1"/>
    </xf>
    <xf numFmtId="0" fontId="78" fillId="0" borderId="9" xfId="0" applyFont="1" applyBorder="1" applyAlignment="1">
      <alignment horizontal="center" vertical="center"/>
    </xf>
    <xf numFmtId="0" fontId="78" fillId="0" borderId="3" xfId="0" applyFont="1" applyBorder="1" applyAlignment="1">
      <alignment horizontal="center" vertical="center" wrapText="1"/>
    </xf>
    <xf numFmtId="0" fontId="78" fillId="0" borderId="10" xfId="0" applyFont="1" applyBorder="1" applyAlignment="1">
      <alignment horizontal="justify" vertical="center" wrapText="1"/>
    </xf>
    <xf numFmtId="0" fontId="39" fillId="41" borderId="5" xfId="0" applyFont="1" applyFill="1" applyBorder="1" applyAlignment="1">
      <alignment horizontal="center" vertical="center" wrapText="1"/>
    </xf>
    <xf numFmtId="0" fontId="39" fillId="41" borderId="6" xfId="0" applyFont="1" applyFill="1" applyBorder="1" applyAlignment="1">
      <alignment horizontal="center" vertical="center" wrapText="1"/>
    </xf>
    <xf numFmtId="0" fontId="39" fillId="41" borderId="8" xfId="0" applyFont="1" applyFill="1" applyBorder="1" applyAlignment="1">
      <alignment horizontal="center" vertical="center" wrapText="1"/>
    </xf>
    <xf numFmtId="0" fontId="39" fillId="41" borderId="12" xfId="0" applyFont="1" applyFill="1" applyBorder="1" applyAlignment="1">
      <alignment horizontal="center" vertical="center" wrapText="1"/>
    </xf>
    <xf numFmtId="0" fontId="41" fillId="45" borderId="56" xfId="0" applyFont="1" applyFill="1" applyBorder="1" applyAlignment="1">
      <alignment horizontal="center" vertical="center"/>
    </xf>
    <xf numFmtId="0" fontId="41" fillId="45" borderId="37" xfId="0" applyFont="1" applyFill="1" applyBorder="1" applyAlignment="1">
      <alignment horizontal="center" vertical="center"/>
    </xf>
    <xf numFmtId="0" fontId="41" fillId="45" borderId="57" xfId="0" applyFont="1" applyFill="1" applyBorder="1" applyAlignment="1">
      <alignment horizontal="center" vertical="center"/>
    </xf>
    <xf numFmtId="0" fontId="41" fillId="45" borderId="46" xfId="0" applyFont="1" applyFill="1" applyBorder="1" applyAlignment="1">
      <alignment horizontal="center" vertical="center"/>
    </xf>
    <xf numFmtId="0" fontId="41" fillId="45" borderId="0" xfId="0" applyFont="1" applyFill="1" applyAlignment="1">
      <alignment horizontal="center" vertical="center"/>
    </xf>
    <xf numFmtId="49" fontId="44" fillId="46" borderId="38" xfId="3" applyNumberFormat="1" applyFont="1" applyFill="1" applyBorder="1" applyAlignment="1">
      <alignment horizontal="center" vertical="center" textRotation="90"/>
    </xf>
    <xf numFmtId="49" fontId="44" fillId="46" borderId="0" xfId="3" applyNumberFormat="1" applyFont="1" applyFill="1" applyAlignment="1">
      <alignment horizontal="center" vertical="center" textRotation="90"/>
    </xf>
    <xf numFmtId="0" fontId="39" fillId="41" borderId="7" xfId="0" applyFont="1" applyFill="1" applyBorder="1" applyAlignment="1">
      <alignment horizontal="center" vertical="center" wrapText="1"/>
    </xf>
    <xf numFmtId="0" fontId="39" fillId="41" borderId="11" xfId="0" applyFont="1" applyFill="1" applyBorder="1" applyAlignment="1">
      <alignment horizontal="center" vertical="center" wrapText="1"/>
    </xf>
    <xf numFmtId="0" fontId="44" fillId="46" borderId="38" xfId="3" applyFont="1" applyFill="1" applyBorder="1" applyAlignment="1">
      <alignment horizontal="center" vertical="center" textRotation="90"/>
    </xf>
    <xf numFmtId="0" fontId="44" fillId="46" borderId="0" xfId="3" applyFont="1" applyFill="1" applyAlignment="1">
      <alignment horizontal="center" vertical="center" textRotation="90"/>
    </xf>
    <xf numFmtId="0" fontId="7" fillId="41" borderId="3" xfId="0" applyFont="1" applyFill="1" applyBorder="1" applyAlignment="1">
      <alignment horizontal="center" vertical="center"/>
    </xf>
    <xf numFmtId="0" fontId="19" fillId="41" borderId="3"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39" fillId="43" borderId="38" xfId="0" applyFont="1" applyFill="1" applyBorder="1" applyAlignment="1">
      <alignment horizontal="right" vertical="center" wrapText="1"/>
    </xf>
    <xf numFmtId="0" fontId="39" fillId="43" borderId="26" xfId="0" applyFont="1" applyFill="1" applyBorder="1" applyAlignment="1">
      <alignment horizontal="right" vertical="center" wrapText="1"/>
    </xf>
    <xf numFmtId="0" fontId="39" fillId="43" borderId="0" xfId="0" applyFont="1" applyFill="1" applyAlignment="1">
      <alignment horizontal="right" vertical="center" wrapText="1"/>
    </xf>
    <xf numFmtId="0" fontId="39" fillId="43" borderId="50" xfId="0" applyFont="1" applyFill="1" applyBorder="1" applyAlignment="1">
      <alignment horizontal="right" vertical="center" wrapText="1"/>
    </xf>
    <xf numFmtId="0" fontId="39" fillId="43" borderId="37" xfId="0" applyFont="1" applyFill="1" applyBorder="1" applyAlignment="1">
      <alignment horizontal="right" vertical="center" wrapText="1"/>
    </xf>
    <xf numFmtId="0" fontId="39" fillId="43" borderId="28" xfId="0" applyFont="1" applyFill="1" applyBorder="1" applyAlignment="1">
      <alignment horizontal="right" vertical="center" wrapText="1"/>
    </xf>
    <xf numFmtId="9" fontId="39" fillId="5" borderId="38" xfId="0" applyNumberFormat="1" applyFont="1" applyFill="1" applyBorder="1" applyAlignment="1">
      <alignment horizontal="center" vertical="center" wrapText="1"/>
    </xf>
    <xf numFmtId="9" fontId="39" fillId="5" borderId="0" xfId="0" applyNumberFormat="1" applyFont="1" applyFill="1" applyAlignment="1">
      <alignment horizontal="center" vertical="center" wrapText="1"/>
    </xf>
    <xf numFmtId="9" fontId="39" fillId="5" borderId="37" xfId="0" applyNumberFormat="1" applyFont="1" applyFill="1" applyBorder="1" applyAlignment="1">
      <alignment horizontal="center" vertical="center" wrapText="1"/>
    </xf>
    <xf numFmtId="9" fontId="43" fillId="25" borderId="4" xfId="1" applyFont="1" applyFill="1" applyBorder="1" applyAlignment="1">
      <alignment horizontal="center" vertical="center"/>
    </xf>
    <xf numFmtId="9" fontId="43" fillId="25" borderId="19" xfId="1" applyFont="1" applyFill="1" applyBorder="1" applyAlignment="1">
      <alignment horizontal="center" vertical="center"/>
    </xf>
    <xf numFmtId="9" fontId="43" fillId="25" borderId="36" xfId="1" applyFont="1" applyFill="1" applyBorder="1" applyAlignment="1">
      <alignment horizontal="center" vertical="center"/>
    </xf>
    <xf numFmtId="0" fontId="39" fillId="43" borderId="3" xfId="0" applyFont="1" applyFill="1" applyBorder="1" applyAlignment="1">
      <alignment horizontal="right" vertical="center" wrapText="1"/>
    </xf>
    <xf numFmtId="9" fontId="39" fillId="5" borderId="24" xfId="0" applyNumberFormat="1" applyFont="1" applyFill="1" applyBorder="1" applyAlignment="1">
      <alignment horizontal="center" vertical="center" wrapText="1"/>
    </xf>
    <xf numFmtId="9" fontId="39" fillId="5" borderId="19" xfId="0" applyNumberFormat="1" applyFont="1" applyFill="1" applyBorder="1" applyAlignment="1">
      <alignment horizontal="center" vertical="center" wrapText="1"/>
    </xf>
    <xf numFmtId="9" fontId="39" fillId="5" borderId="36" xfId="0" applyNumberFormat="1" applyFont="1" applyFill="1" applyBorder="1" applyAlignment="1">
      <alignment horizontal="center" vertical="center" wrapText="1"/>
    </xf>
    <xf numFmtId="9" fontId="43" fillId="25" borderId="27" xfId="1" applyFont="1" applyFill="1" applyBorder="1" applyAlignment="1">
      <alignment horizontal="left" vertical="center"/>
    </xf>
    <xf numFmtId="9" fontId="43" fillId="25" borderId="49" xfId="1" applyFont="1" applyFill="1" applyBorder="1" applyAlignment="1">
      <alignment horizontal="left" vertical="center"/>
    </xf>
    <xf numFmtId="9" fontId="43" fillId="25" borderId="45" xfId="1" applyFont="1" applyFill="1" applyBorder="1" applyAlignment="1">
      <alignment horizontal="left" vertical="center"/>
    </xf>
    <xf numFmtId="0" fontId="40" fillId="0" borderId="0" xfId="0" applyFont="1" applyAlignment="1">
      <alignment horizontal="center" vertical="center" textRotation="45" wrapText="1"/>
    </xf>
    <xf numFmtId="0" fontId="13" fillId="0" borderId="2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49" xfId="0" applyFont="1" applyBorder="1" applyAlignment="1">
      <alignment horizontal="center" vertical="center" wrapText="1"/>
    </xf>
    <xf numFmtId="0" fontId="13" fillId="0" borderId="0" xfId="0" applyFont="1" applyAlignment="1">
      <alignment horizontal="center" vertical="center" wrapText="1"/>
    </xf>
    <xf numFmtId="0" fontId="13" fillId="0" borderId="50"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8" xfId="0" applyFont="1" applyBorder="1" applyAlignment="1">
      <alignment horizontal="center" vertical="center" wrapText="1"/>
    </xf>
    <xf numFmtId="0" fontId="43" fillId="25" borderId="3" xfId="0" applyFont="1" applyFill="1" applyBorder="1" applyAlignment="1">
      <alignment horizontal="center" vertical="center"/>
    </xf>
    <xf numFmtId="0" fontId="37" fillId="15" borderId="4" xfId="0" applyFont="1" applyFill="1" applyBorder="1" applyAlignment="1">
      <alignment horizontal="center" vertical="center" wrapText="1"/>
    </xf>
    <xf numFmtId="0" fontId="37" fillId="15" borderId="18" xfId="0" applyFont="1" applyFill="1" applyBorder="1" applyAlignment="1">
      <alignment horizontal="center" vertical="center" wrapText="1"/>
    </xf>
    <xf numFmtId="0" fontId="37" fillId="15" borderId="19" xfId="0" applyFont="1" applyFill="1" applyBorder="1" applyAlignment="1">
      <alignment horizontal="center" vertical="center" wrapText="1"/>
    </xf>
    <xf numFmtId="14" fontId="37" fillId="15" borderId="4" xfId="0" applyNumberFormat="1" applyFont="1" applyFill="1" applyBorder="1" applyAlignment="1">
      <alignment horizontal="center" vertical="center" wrapText="1"/>
    </xf>
    <xf numFmtId="14" fontId="37" fillId="15" borderId="19" xfId="0" applyNumberFormat="1" applyFont="1" applyFill="1" applyBorder="1" applyAlignment="1">
      <alignment horizontal="center" vertical="center" wrapText="1"/>
    </xf>
    <xf numFmtId="0" fontId="35" fillId="15" borderId="19" xfId="0" applyFont="1" applyFill="1" applyBorder="1" applyAlignment="1">
      <alignment horizontal="center" vertical="center" wrapText="1"/>
    </xf>
    <xf numFmtId="0" fontId="36" fillId="16" borderId="4"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35" fillId="25" borderId="4" xfId="0" applyFont="1" applyFill="1" applyBorder="1" applyAlignment="1">
      <alignment horizontal="center" vertical="center" wrapText="1"/>
    </xf>
    <xf numFmtId="0" fontId="35" fillId="25" borderId="18" xfId="0" applyFont="1" applyFill="1" applyBorder="1" applyAlignment="1">
      <alignment horizontal="center" vertical="center" wrapText="1"/>
    </xf>
    <xf numFmtId="0" fontId="36" fillId="16" borderId="19" xfId="0" applyFont="1" applyFill="1" applyBorder="1" applyAlignment="1">
      <alignment horizontal="center" vertical="center" wrapText="1"/>
    </xf>
    <xf numFmtId="0" fontId="41" fillId="44" borderId="0" xfId="0" applyFont="1" applyFill="1" applyAlignment="1">
      <alignment horizontal="center" vertical="center" wrapText="1"/>
    </xf>
    <xf numFmtId="0" fontId="41" fillId="44" borderId="50" xfId="0" applyFont="1" applyFill="1" applyBorder="1" applyAlignment="1">
      <alignment horizontal="center" vertical="center" wrapText="1"/>
    </xf>
    <xf numFmtId="0" fontId="41" fillId="45" borderId="48" xfId="0" applyFont="1" applyFill="1" applyBorder="1" applyAlignment="1">
      <alignment horizontal="center" vertical="center"/>
    </xf>
    <xf numFmtId="0" fontId="41" fillId="45" borderId="42" xfId="0" applyFont="1" applyFill="1" applyBorder="1" applyAlignment="1">
      <alignment horizontal="center" vertical="center"/>
    </xf>
    <xf numFmtId="0" fontId="41" fillId="45" borderId="51" xfId="0" applyFont="1" applyFill="1" applyBorder="1" applyAlignment="1">
      <alignment horizontal="center" vertical="center"/>
    </xf>
    <xf numFmtId="0" fontId="34" fillId="42" borderId="24" xfId="0" applyFont="1" applyFill="1" applyBorder="1" applyAlignment="1">
      <alignment horizontal="center" vertical="center" wrapText="1"/>
    </xf>
    <xf numFmtId="0" fontId="34" fillId="42" borderId="18" xfId="0" applyFont="1" applyFill="1" applyBorder="1" applyAlignment="1">
      <alignment horizontal="center" vertical="center" wrapText="1"/>
    </xf>
    <xf numFmtId="0" fontId="34" fillId="42" borderId="4" xfId="0" applyFont="1" applyFill="1" applyBorder="1" applyAlignment="1">
      <alignment horizontal="center" vertical="center" wrapText="1"/>
    </xf>
    <xf numFmtId="0" fontId="78" fillId="0" borderId="18" xfId="0" applyFont="1" applyBorder="1" applyAlignment="1">
      <alignment horizontal="center" vertical="center" wrapText="1"/>
    </xf>
    <xf numFmtId="0" fontId="34" fillId="26" borderId="4"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9" xfId="0" applyFont="1" applyFill="1" applyBorder="1" applyAlignment="1">
      <alignment horizontal="center" vertical="center" wrapText="1"/>
    </xf>
    <xf numFmtId="0" fontId="21" fillId="0" borderId="0" xfId="0" applyFont="1" applyAlignment="1">
      <alignment horizontal="right" vertical="center"/>
    </xf>
    <xf numFmtId="0" fontId="8" fillId="0" borderId="39" xfId="0" applyFont="1" applyBorder="1" applyAlignment="1">
      <alignment horizontal="right" vertical="center"/>
    </xf>
    <xf numFmtId="0" fontId="8" fillId="13" borderId="39" xfId="0" applyFont="1" applyFill="1" applyBorder="1" applyAlignment="1">
      <alignment horizontal="right" vertical="center"/>
    </xf>
    <xf numFmtId="0" fontId="0" fillId="0" borderId="50" xfId="0" applyBorder="1" applyAlignment="1">
      <alignment horizontal="center" vertical="center" wrapText="1"/>
    </xf>
    <xf numFmtId="0" fontId="0" fillId="0" borderId="28" xfId="0" applyBorder="1" applyAlignment="1">
      <alignment horizontal="center" vertical="center" wrapText="1"/>
    </xf>
    <xf numFmtId="0" fontId="0" fillId="0" borderId="50" xfId="0" applyBorder="1" applyAlignment="1">
      <alignment horizontal="center" vertical="center"/>
    </xf>
    <xf numFmtId="0" fontId="0" fillId="0" borderId="28" xfId="0" applyBorder="1" applyAlignment="1">
      <alignment horizontal="center" vertical="center"/>
    </xf>
    <xf numFmtId="0" fontId="17" fillId="0" borderId="50" xfId="0" applyFont="1" applyBorder="1" applyAlignment="1">
      <alignment horizontal="center" vertical="center" wrapText="1"/>
    </xf>
    <xf numFmtId="0" fontId="0" fillId="0" borderId="0" xfId="0" applyAlignment="1">
      <alignment horizontal="center" vertical="center" wrapText="1"/>
    </xf>
    <xf numFmtId="0" fontId="17" fillId="0" borderId="50" xfId="0" applyFont="1" applyBorder="1" applyAlignment="1">
      <alignment horizontal="center" vertical="center"/>
    </xf>
    <xf numFmtId="14" fontId="35" fillId="15" borderId="3" xfId="0" applyNumberFormat="1" applyFont="1" applyFill="1" applyBorder="1" applyAlignment="1">
      <alignment horizontal="center" vertical="center" wrapText="1"/>
    </xf>
    <xf numFmtId="0" fontId="35" fillId="23" borderId="4" xfId="0" applyFont="1" applyFill="1" applyBorder="1" applyAlignment="1">
      <alignment horizontal="center" vertical="center" wrapText="1"/>
    </xf>
    <xf numFmtId="0" fontId="35" fillId="23" borderId="19" xfId="0" applyFont="1" applyFill="1" applyBorder="1" applyAlignment="1">
      <alignment horizontal="center" vertical="center" wrapText="1"/>
    </xf>
    <xf numFmtId="0" fontId="35" fillId="23" borderId="18" xfId="0" applyFont="1" applyFill="1" applyBorder="1" applyAlignment="1">
      <alignment horizontal="center" vertical="center" wrapText="1"/>
    </xf>
    <xf numFmtId="6" fontId="35" fillId="23" borderId="4" xfId="0" applyNumberFormat="1" applyFont="1" applyFill="1" applyBorder="1" applyAlignment="1">
      <alignment horizontal="center" vertical="center" wrapText="1"/>
    </xf>
    <xf numFmtId="6" fontId="35" fillId="23" borderId="19" xfId="0" applyNumberFormat="1" applyFont="1" applyFill="1" applyBorder="1" applyAlignment="1">
      <alignment horizontal="center" vertical="center" wrapText="1"/>
    </xf>
    <xf numFmtId="0" fontId="77" fillId="0" borderId="50" xfId="0" applyFont="1" applyBorder="1" applyAlignment="1">
      <alignment horizontal="center" vertical="center" wrapText="1"/>
    </xf>
    <xf numFmtId="0" fontId="77" fillId="0" borderId="28" xfId="0" applyFont="1" applyBorder="1" applyAlignment="1">
      <alignment horizontal="center" vertical="center" wrapText="1"/>
    </xf>
    <xf numFmtId="0" fontId="84" fillId="42" borderId="24" xfId="0" applyFont="1" applyFill="1" applyBorder="1" applyAlignment="1">
      <alignment horizontal="center" vertical="center" wrapText="1"/>
    </xf>
    <xf numFmtId="0" fontId="84" fillId="42" borderId="18" xfId="0" applyFont="1" applyFill="1" applyBorder="1" applyAlignment="1">
      <alignment horizontal="center" vertical="center" wrapText="1"/>
    </xf>
    <xf numFmtId="0" fontId="84" fillId="42" borderId="4" xfId="0" applyFont="1" applyFill="1" applyBorder="1" applyAlignment="1">
      <alignment horizontal="center" vertical="center" wrapText="1"/>
    </xf>
    <xf numFmtId="0" fontId="36" fillId="27" borderId="3" xfId="0" applyFont="1" applyFill="1" applyBorder="1" applyAlignment="1">
      <alignment horizontal="center" vertical="center" wrapText="1"/>
    </xf>
    <xf numFmtId="0" fontId="83" fillId="45" borderId="47" xfId="0" applyFont="1" applyFill="1" applyBorder="1" applyAlignment="1">
      <alignment horizontal="center" vertical="center"/>
    </xf>
    <xf numFmtId="0" fontId="83" fillId="45" borderId="21" xfId="0" applyFont="1" applyFill="1" applyBorder="1" applyAlignment="1">
      <alignment horizontal="center" vertical="center"/>
    </xf>
    <xf numFmtId="0" fontId="83" fillId="45" borderId="79" xfId="0" applyFont="1" applyFill="1" applyBorder="1" applyAlignment="1">
      <alignment horizontal="center" vertical="center"/>
    </xf>
    <xf numFmtId="0" fontId="39" fillId="43" borderId="27" xfId="0" applyFont="1" applyFill="1" applyBorder="1" applyAlignment="1">
      <alignment horizontal="right" vertical="center"/>
    </xf>
    <xf numFmtId="0" fontId="39" fillId="43" borderId="26" xfId="0" applyFont="1" applyFill="1" applyBorder="1" applyAlignment="1">
      <alignment horizontal="right" vertical="center"/>
    </xf>
    <xf numFmtId="0" fontId="39" fillId="43" borderId="49" xfId="0" applyFont="1" applyFill="1" applyBorder="1" applyAlignment="1">
      <alignment horizontal="right" vertical="center"/>
    </xf>
    <xf numFmtId="0" fontId="39" fillId="43" borderId="50" xfId="0" applyFont="1" applyFill="1" applyBorder="1" applyAlignment="1">
      <alignment horizontal="right" vertical="center"/>
    </xf>
    <xf numFmtId="0" fontId="39" fillId="41" borderId="18" xfId="0" applyFont="1" applyFill="1" applyBorder="1" applyAlignment="1">
      <alignment horizontal="center" vertical="center" wrapText="1"/>
    </xf>
    <xf numFmtId="0" fontId="39" fillId="41" borderId="3" xfId="0" applyFont="1" applyFill="1" applyBorder="1" applyAlignment="1">
      <alignment horizontal="center" vertical="center" wrapText="1"/>
    </xf>
    <xf numFmtId="0" fontId="84" fillId="46" borderId="18" xfId="3" applyFont="1" applyFill="1" applyBorder="1" applyAlignment="1">
      <alignment horizontal="center" vertical="center" textRotation="90"/>
    </xf>
    <xf numFmtId="0" fontId="84" fillId="46" borderId="3" xfId="3" applyFont="1" applyFill="1" applyBorder="1" applyAlignment="1">
      <alignment horizontal="center" vertical="center" textRotation="90"/>
    </xf>
    <xf numFmtId="0" fontId="84" fillId="42" borderId="19" xfId="0" applyFont="1" applyFill="1" applyBorder="1" applyAlignment="1">
      <alignment horizontal="center" vertical="center" wrapText="1"/>
    </xf>
    <xf numFmtId="0" fontId="84" fillId="42" borderId="3" xfId="0" applyFont="1" applyFill="1" applyBorder="1" applyAlignment="1">
      <alignment horizontal="center" vertical="center" wrapText="1"/>
    </xf>
    <xf numFmtId="0" fontId="43" fillId="25" borderId="3" xfId="0" applyFont="1" applyFill="1" applyBorder="1" applyAlignment="1">
      <alignment vertical="center" wrapText="1"/>
    </xf>
    <xf numFmtId="0" fontId="43" fillId="25" borderId="3" xfId="0" applyFont="1" applyFill="1" applyBorder="1" applyAlignment="1">
      <alignment vertical="center"/>
    </xf>
    <xf numFmtId="0" fontId="39" fillId="43" borderId="3" xfId="0" applyFont="1" applyFill="1" applyBorder="1" applyAlignment="1">
      <alignment horizontal="right" vertical="center"/>
    </xf>
    <xf numFmtId="9" fontId="43" fillId="25" borderId="4" xfId="1" applyFont="1" applyFill="1" applyBorder="1" applyAlignment="1">
      <alignment horizontal="left" vertical="center"/>
    </xf>
    <xf numFmtId="9" fontId="43" fillId="25" borderId="19" xfId="1" applyFont="1" applyFill="1" applyBorder="1" applyAlignment="1">
      <alignment horizontal="left" vertical="center"/>
    </xf>
    <xf numFmtId="0" fontId="39" fillId="43" borderId="4" xfId="0" applyFont="1" applyFill="1" applyBorder="1" applyAlignment="1">
      <alignment horizontal="right" vertical="center"/>
    </xf>
    <xf numFmtId="9" fontId="39" fillId="5" borderId="45" xfId="0" applyNumberFormat="1" applyFont="1" applyFill="1" applyBorder="1" applyAlignment="1">
      <alignment horizontal="center" vertical="center" wrapText="1"/>
    </xf>
    <xf numFmtId="9" fontId="39" fillId="5" borderId="53" xfId="0" applyNumberFormat="1" applyFont="1" applyFill="1" applyBorder="1" applyAlignment="1">
      <alignment horizontal="center" vertical="center" wrapText="1"/>
    </xf>
    <xf numFmtId="0" fontId="39" fillId="43" borderId="4" xfId="0" applyFont="1" applyFill="1" applyBorder="1" applyAlignment="1">
      <alignment horizontal="right" vertical="center" wrapText="1"/>
    </xf>
    <xf numFmtId="9" fontId="39" fillId="5" borderId="40" xfId="0" applyNumberFormat="1" applyFont="1" applyFill="1" applyBorder="1" applyAlignment="1">
      <alignment horizontal="center" vertical="center" wrapText="1"/>
    </xf>
    <xf numFmtId="0" fontId="85" fillId="41" borderId="18" xfId="0" applyFont="1" applyFill="1" applyBorder="1" applyAlignment="1">
      <alignment horizontal="center" vertical="center"/>
    </xf>
    <xf numFmtId="0" fontId="85" fillId="41" borderId="3" xfId="0" applyFont="1" applyFill="1" applyBorder="1" applyAlignment="1">
      <alignment horizontal="center" vertical="center"/>
    </xf>
    <xf numFmtId="0" fontId="86" fillId="41" borderId="18" xfId="0" applyFont="1" applyFill="1" applyBorder="1" applyAlignment="1">
      <alignment horizontal="center" vertical="center" wrapText="1"/>
    </xf>
    <xf numFmtId="0" fontId="86" fillId="41" borderId="3" xfId="0" applyFont="1" applyFill="1" applyBorder="1" applyAlignment="1">
      <alignment horizontal="center" vertical="center" wrapText="1"/>
    </xf>
    <xf numFmtId="0" fontId="87" fillId="41" borderId="18" xfId="0" applyFont="1" applyFill="1" applyBorder="1" applyAlignment="1">
      <alignment horizontal="center" vertical="center" wrapText="1"/>
    </xf>
    <xf numFmtId="0" fontId="87" fillId="41" borderId="3" xfId="0" applyFont="1" applyFill="1" applyBorder="1" applyAlignment="1">
      <alignment horizontal="center" vertical="center" wrapText="1"/>
    </xf>
    <xf numFmtId="0" fontId="83" fillId="44" borderId="0" xfId="0" applyFont="1" applyFill="1" applyAlignment="1">
      <alignment horizontal="center" vertical="center" wrapText="1"/>
    </xf>
    <xf numFmtId="0" fontId="83" fillId="45" borderId="42" xfId="0" applyFont="1" applyFill="1" applyBorder="1" applyAlignment="1">
      <alignment horizontal="center" vertical="center"/>
    </xf>
    <xf numFmtId="0" fontId="83" fillId="45" borderId="51" xfId="0" applyFont="1" applyFill="1" applyBorder="1" applyAlignment="1">
      <alignment horizontal="center" vertical="center"/>
    </xf>
    <xf numFmtId="49" fontId="84" fillId="46" borderId="18" xfId="3" applyNumberFormat="1" applyFont="1" applyFill="1" applyBorder="1" applyAlignment="1">
      <alignment horizontal="center" vertical="center" textRotation="90"/>
    </xf>
    <xf numFmtId="49" fontId="84" fillId="46" borderId="3" xfId="3" applyNumberFormat="1" applyFont="1" applyFill="1" applyBorder="1" applyAlignment="1">
      <alignment horizontal="center" vertical="center" textRotation="90"/>
    </xf>
    <xf numFmtId="0" fontId="39" fillId="41" borderId="28" xfId="0" applyFont="1" applyFill="1" applyBorder="1" applyAlignment="1">
      <alignment horizontal="center" vertical="center" wrapText="1"/>
    </xf>
    <xf numFmtId="0" fontId="39" fillId="41" borderId="14" xfId="0" applyFont="1" applyFill="1" applyBorder="1" applyAlignment="1">
      <alignment horizontal="center" vertical="center" wrapText="1"/>
    </xf>
    <xf numFmtId="0" fontId="35" fillId="23" borderId="3" xfId="0" applyFont="1" applyFill="1" applyBorder="1" applyAlignment="1">
      <alignment horizontal="center" vertical="center" wrapText="1"/>
    </xf>
    <xf numFmtId="14" fontId="35" fillId="15" borderId="4" xfId="0" applyNumberFormat="1" applyFont="1" applyFill="1" applyBorder="1" applyAlignment="1">
      <alignment horizontal="center" vertical="center" wrapText="1"/>
    </xf>
    <xf numFmtId="14" fontId="35" fillId="15" borderId="18" xfId="0" applyNumberFormat="1" applyFont="1" applyFill="1" applyBorder="1" applyAlignment="1">
      <alignment horizontal="center" vertical="center" wrapText="1"/>
    </xf>
    <xf numFmtId="0" fontId="17" fillId="0" borderId="37" xfId="0" applyFont="1" applyBorder="1" applyAlignment="1">
      <alignment horizontal="right" vertical="center"/>
    </xf>
    <xf numFmtId="0" fontId="24" fillId="0" borderId="18" xfId="0" applyFont="1" applyBorder="1" applyAlignment="1">
      <alignment horizontal="justify" vertical="center" wrapText="1"/>
    </xf>
    <xf numFmtId="0" fontId="24" fillId="0" borderId="3" xfId="0" applyFont="1" applyBorder="1" applyAlignment="1">
      <alignment horizontal="justify" vertical="center" wrapText="1"/>
    </xf>
    <xf numFmtId="0" fontId="24" fillId="0" borderId="18" xfId="0" applyFont="1" applyBorder="1" applyAlignment="1">
      <alignment horizontal="left" vertical="center" wrapText="1"/>
    </xf>
    <xf numFmtId="0" fontId="24" fillId="0" borderId="3" xfId="0" applyFont="1" applyBorder="1" applyAlignment="1">
      <alignment horizontal="left" vertical="center" wrapText="1"/>
    </xf>
    <xf numFmtId="0" fontId="39" fillId="17" borderId="27" xfId="0" applyFont="1" applyFill="1" applyBorder="1" applyAlignment="1">
      <alignment horizontal="right" vertical="center" wrapText="1"/>
    </xf>
    <xf numFmtId="0" fontId="39" fillId="17" borderId="49" xfId="0" applyFont="1" applyFill="1" applyBorder="1" applyAlignment="1">
      <alignment horizontal="right" vertical="center" wrapText="1"/>
    </xf>
    <xf numFmtId="0" fontId="39" fillId="17" borderId="29" xfId="0" applyFont="1" applyFill="1" applyBorder="1" applyAlignment="1">
      <alignment horizontal="right" vertical="center" wrapText="1"/>
    </xf>
    <xf numFmtId="0" fontId="24" fillId="0" borderId="13" xfId="0" applyFont="1" applyBorder="1" applyAlignment="1">
      <alignment horizontal="center" vertical="center" wrapText="1"/>
    </xf>
    <xf numFmtId="0" fontId="24" fillId="0" borderId="31" xfId="0" applyFont="1" applyBorder="1" applyAlignment="1">
      <alignment horizontal="center" vertical="center" wrapText="1"/>
    </xf>
    <xf numFmtId="0" fontId="39" fillId="17" borderId="3" xfId="0" applyFont="1" applyFill="1" applyBorder="1" applyAlignment="1">
      <alignment horizontal="right" vertical="center" wrapText="1"/>
    </xf>
    <xf numFmtId="0" fontId="39" fillId="17" borderId="3" xfId="0" applyFont="1" applyFill="1" applyBorder="1" applyAlignment="1">
      <alignment horizontal="right" vertical="center"/>
    </xf>
    <xf numFmtId="9" fontId="43" fillId="25" borderId="36" xfId="1" applyFont="1" applyFill="1" applyBorder="1" applyAlignment="1">
      <alignment horizontal="left" vertical="center"/>
    </xf>
    <xf numFmtId="9" fontId="39" fillId="5" borderId="24" xfId="0" applyNumberFormat="1" applyFont="1" applyFill="1" applyBorder="1" applyAlignment="1">
      <alignment horizontal="center" vertical="center"/>
    </xf>
    <xf numFmtId="9" fontId="39" fillId="5" borderId="19" xfId="0" applyNumberFormat="1" applyFont="1" applyFill="1" applyBorder="1" applyAlignment="1">
      <alignment horizontal="center" vertical="center"/>
    </xf>
    <xf numFmtId="9" fontId="39" fillId="5" borderId="36" xfId="0" applyNumberFormat="1" applyFont="1" applyFill="1" applyBorder="1" applyAlignment="1">
      <alignment horizontal="center" vertical="center"/>
    </xf>
    <xf numFmtId="0" fontId="39" fillId="17" borderId="27" xfId="0" applyFont="1" applyFill="1" applyBorder="1" applyAlignment="1">
      <alignment horizontal="right" vertical="center"/>
    </xf>
    <xf numFmtId="0" fontId="39" fillId="17" borderId="26" xfId="0" applyFont="1" applyFill="1" applyBorder="1" applyAlignment="1">
      <alignment horizontal="right" vertical="center"/>
    </xf>
    <xf numFmtId="0" fontId="39" fillId="17" borderId="49" xfId="0" applyFont="1" applyFill="1" applyBorder="1" applyAlignment="1">
      <alignment horizontal="right" vertical="center"/>
    </xf>
    <xf numFmtId="0" fontId="39" fillId="17" borderId="50" xfId="0" applyFont="1" applyFill="1" applyBorder="1" applyAlignment="1">
      <alignment horizontal="right" vertical="center"/>
    </xf>
    <xf numFmtId="0" fontId="39" fillId="17" borderId="45" xfId="0" applyFont="1" applyFill="1" applyBorder="1" applyAlignment="1">
      <alignment horizontal="right" vertical="center"/>
    </xf>
    <xf numFmtId="0" fontId="39" fillId="17" borderId="53" xfId="0" applyFont="1" applyFill="1" applyBorder="1" applyAlignment="1">
      <alignment horizontal="right" vertical="center"/>
    </xf>
    <xf numFmtId="0" fontId="39" fillId="17" borderId="38" xfId="0" applyFont="1" applyFill="1" applyBorder="1" applyAlignment="1">
      <alignment horizontal="right" vertical="center" wrapText="1"/>
    </xf>
    <xf numFmtId="0" fontId="39" fillId="17" borderId="26" xfId="0" applyFont="1" applyFill="1" applyBorder="1" applyAlignment="1">
      <alignment horizontal="right" vertical="center" wrapText="1"/>
    </xf>
    <xf numFmtId="0" fontId="39" fillId="17" borderId="0" xfId="0" applyFont="1" applyFill="1" applyAlignment="1">
      <alignment horizontal="right" vertical="center" wrapText="1"/>
    </xf>
    <xf numFmtId="0" fontId="39" fillId="17" borderId="50" xfId="0" applyFont="1" applyFill="1" applyBorder="1" applyAlignment="1">
      <alignment horizontal="right" vertical="center" wrapText="1"/>
    </xf>
    <xf numFmtId="0" fontId="39" fillId="17" borderId="37" xfId="0" applyFont="1" applyFill="1" applyBorder="1" applyAlignment="1">
      <alignment horizontal="right" vertical="center" wrapText="1"/>
    </xf>
    <xf numFmtId="0" fontId="39" fillId="17" borderId="28" xfId="0" applyFont="1" applyFill="1" applyBorder="1" applyAlignment="1">
      <alignment horizontal="right" vertical="center" wrapText="1"/>
    </xf>
    <xf numFmtId="0" fontId="20" fillId="0" borderId="38" xfId="0" applyFont="1" applyBorder="1" applyAlignment="1">
      <alignment horizontal="center" vertical="center" wrapText="1"/>
    </xf>
    <xf numFmtId="0" fontId="20" fillId="0" borderId="0" xfId="0" applyFont="1" applyAlignment="1">
      <alignment horizontal="center" vertical="center" wrapText="1"/>
    </xf>
    <xf numFmtId="0" fontId="20" fillId="0" borderId="40" xfId="0" applyFont="1" applyBorder="1" applyAlignment="1">
      <alignment horizontal="center" vertical="center" wrapText="1"/>
    </xf>
    <xf numFmtId="0" fontId="20" fillId="0" borderId="42" xfId="0" applyFont="1" applyBorder="1" applyAlignment="1">
      <alignment horizontal="center" vertical="center" wrapText="1"/>
    </xf>
    <xf numFmtId="0" fontId="39" fillId="17" borderId="27" xfId="0" applyFont="1" applyFill="1" applyBorder="1" applyAlignment="1">
      <alignment horizontal="center" vertical="center" wrapText="1"/>
    </xf>
    <xf numFmtId="0" fontId="39" fillId="17" borderId="26" xfId="0" applyFont="1" applyFill="1" applyBorder="1" applyAlignment="1">
      <alignment horizontal="center" vertical="center" wrapText="1"/>
    </xf>
    <xf numFmtId="0" fontId="39" fillId="17" borderId="49" xfId="0" applyFont="1" applyFill="1" applyBorder="1" applyAlignment="1">
      <alignment horizontal="center" vertical="center" wrapText="1"/>
    </xf>
    <xf numFmtId="0" fontId="39" fillId="17" borderId="50" xfId="0" applyFont="1" applyFill="1" applyBorder="1" applyAlignment="1">
      <alignment horizontal="center" vertical="center" wrapText="1"/>
    </xf>
    <xf numFmtId="0" fontId="39" fillId="17" borderId="29" xfId="0" applyFont="1" applyFill="1" applyBorder="1" applyAlignment="1">
      <alignment horizontal="center" vertical="center" wrapText="1"/>
    </xf>
    <xf numFmtId="0" fontId="39" fillId="17" borderId="28" xfId="0" applyFont="1" applyFill="1" applyBorder="1" applyAlignment="1">
      <alignment horizontal="center" vertical="center" wrapText="1"/>
    </xf>
    <xf numFmtId="0" fontId="40" fillId="0" borderId="37" xfId="0" applyFont="1" applyBorder="1" applyAlignment="1">
      <alignment horizontal="center" vertical="center" textRotation="45" wrapText="1"/>
    </xf>
    <xf numFmtId="0" fontId="45" fillId="0" borderId="66" xfId="4" applyFont="1" applyBorder="1" applyAlignment="1">
      <alignment horizontal="center"/>
    </xf>
    <xf numFmtId="0" fontId="45" fillId="0" borderId="46" xfId="4" applyFont="1" applyBorder="1" applyAlignment="1">
      <alignment horizontal="center"/>
    </xf>
    <xf numFmtId="0" fontId="42" fillId="39" borderId="49" xfId="0" applyFont="1" applyFill="1" applyBorder="1" applyAlignment="1">
      <alignment horizontal="left" vertical="center"/>
    </xf>
    <xf numFmtId="0" fontId="42" fillId="39" borderId="0" xfId="0" applyFont="1" applyFill="1" applyAlignment="1">
      <alignment horizontal="left" vertical="center"/>
    </xf>
    <xf numFmtId="0" fontId="43" fillId="25" borderId="26" xfId="0" applyFont="1" applyFill="1" applyBorder="1" applyAlignment="1">
      <alignment vertical="center"/>
    </xf>
    <xf numFmtId="0" fontId="43" fillId="25" borderId="50" xfId="0" applyFont="1" applyFill="1" applyBorder="1" applyAlignment="1">
      <alignment vertical="center"/>
    </xf>
    <xf numFmtId="0" fontId="43" fillId="25" borderId="28" xfId="0" applyFont="1" applyFill="1" applyBorder="1" applyAlignment="1">
      <alignment vertical="center"/>
    </xf>
    <xf numFmtId="0" fontId="39" fillId="17" borderId="29" xfId="0" applyFont="1" applyFill="1" applyBorder="1" applyAlignment="1">
      <alignment horizontal="right" vertical="center"/>
    </xf>
    <xf numFmtId="0" fontId="39" fillId="17" borderId="28" xfId="0" applyFont="1" applyFill="1" applyBorder="1" applyAlignment="1">
      <alignment horizontal="right" vertical="center"/>
    </xf>
    <xf numFmtId="0" fontId="39" fillId="17" borderId="38" xfId="0" applyFont="1" applyFill="1" applyBorder="1" applyAlignment="1">
      <alignment horizontal="center" vertical="center" wrapText="1"/>
    </xf>
    <xf numFmtId="0" fontId="39" fillId="17" borderId="0" xfId="0" applyFont="1" applyFill="1" applyAlignment="1">
      <alignment horizontal="center" vertical="center" wrapText="1"/>
    </xf>
    <xf numFmtId="0" fontId="39" fillId="17" borderId="45" xfId="0" applyFont="1" applyFill="1" applyBorder="1" applyAlignment="1">
      <alignment horizontal="center" vertical="center" wrapText="1"/>
    </xf>
    <xf numFmtId="0" fontId="39" fillId="17" borderId="40" xfId="0" applyFont="1" applyFill="1" applyBorder="1" applyAlignment="1">
      <alignment horizontal="center" vertical="center" wrapText="1"/>
    </xf>
    <xf numFmtId="9" fontId="39" fillId="5" borderId="27" xfId="1" applyFont="1" applyFill="1" applyBorder="1" applyAlignment="1">
      <alignment horizontal="center" vertical="center" wrapText="1"/>
    </xf>
    <xf numFmtId="9" fontId="39" fillId="5" borderId="26" xfId="1" applyFont="1" applyFill="1" applyBorder="1" applyAlignment="1">
      <alignment horizontal="center" vertical="center" wrapText="1"/>
    </xf>
    <xf numFmtId="9" fontId="39" fillId="5" borderId="49" xfId="1" applyFont="1" applyFill="1" applyBorder="1" applyAlignment="1">
      <alignment horizontal="center" vertical="center" wrapText="1"/>
    </xf>
    <xf numFmtId="9" fontId="39" fillId="5" borderId="50" xfId="1" applyFont="1" applyFill="1" applyBorder="1" applyAlignment="1">
      <alignment horizontal="center" vertical="center" wrapText="1"/>
    </xf>
    <xf numFmtId="9" fontId="39" fillId="5" borderId="45" xfId="1" applyFont="1" applyFill="1" applyBorder="1" applyAlignment="1">
      <alignment horizontal="center" vertical="center" wrapText="1"/>
    </xf>
    <xf numFmtId="9" fontId="39" fillId="5" borderId="53" xfId="1" applyFont="1" applyFill="1" applyBorder="1" applyAlignment="1">
      <alignment horizontal="center" vertical="center" wrapText="1"/>
    </xf>
    <xf numFmtId="0" fontId="39" fillId="17" borderId="37" xfId="0" applyFont="1" applyFill="1" applyBorder="1" applyAlignment="1">
      <alignment horizontal="center" vertical="center" wrapText="1"/>
    </xf>
    <xf numFmtId="0" fontId="7" fillId="6" borderId="3" xfId="0" applyFont="1" applyFill="1" applyBorder="1" applyAlignment="1">
      <alignment horizontal="center" vertical="center"/>
    </xf>
    <xf numFmtId="0" fontId="19" fillId="6" borderId="3"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24" fillId="0" borderId="57" xfId="0" applyFont="1" applyBorder="1" applyAlignment="1">
      <alignment horizontal="justify" vertical="center" wrapText="1"/>
    </xf>
    <xf numFmtId="0" fontId="24" fillId="0" borderId="55" xfId="0" applyFont="1" applyBorder="1" applyAlignment="1">
      <alignment horizontal="justify" vertical="center" wrapText="1"/>
    </xf>
    <xf numFmtId="0" fontId="88" fillId="15" borderId="4" xfId="0" applyFont="1" applyFill="1" applyBorder="1" applyAlignment="1">
      <alignment horizontal="center" vertical="center" wrapText="1"/>
    </xf>
    <xf numFmtId="0" fontId="88" fillId="15" borderId="18" xfId="0" applyFont="1" applyFill="1" applyBorder="1" applyAlignment="1">
      <alignment horizontal="center" vertical="center" wrapText="1"/>
    </xf>
    <xf numFmtId="0" fontId="35" fillId="15" borderId="3" xfId="11" applyFont="1" applyFill="1" applyBorder="1" applyAlignment="1">
      <alignment horizontal="center" vertical="center" wrapText="1"/>
    </xf>
    <xf numFmtId="0" fontId="35" fillId="15" borderId="4" xfId="11" applyFont="1" applyFill="1" applyBorder="1" applyAlignment="1">
      <alignment horizontal="center" vertical="center" wrapText="1"/>
    </xf>
    <xf numFmtId="0" fontId="35" fillId="15" borderId="19" xfId="11" applyFont="1" applyFill="1" applyBorder="1" applyAlignment="1">
      <alignment horizontal="center" vertical="center" wrapText="1"/>
    </xf>
    <xf numFmtId="0" fontId="17" fillId="15" borderId="4" xfId="11" applyFill="1" applyBorder="1" applyAlignment="1">
      <alignment horizontal="center" vertical="center" wrapText="1"/>
    </xf>
    <xf numFmtId="0" fontId="17" fillId="15" borderId="18" xfId="11" applyFill="1" applyBorder="1" applyAlignment="1">
      <alignment horizontal="center" vertical="center" wrapText="1"/>
    </xf>
    <xf numFmtId="0" fontId="77" fillId="15" borderId="4" xfId="11" applyFont="1" applyFill="1" applyBorder="1" applyAlignment="1">
      <alignment horizontal="center" vertical="center" wrapText="1"/>
    </xf>
    <xf numFmtId="0" fontId="77" fillId="15" borderId="18" xfId="11" applyFont="1" applyFill="1" applyBorder="1" applyAlignment="1">
      <alignment horizontal="center" vertical="center" wrapText="1"/>
    </xf>
    <xf numFmtId="49" fontId="44" fillId="21" borderId="38" xfId="3" applyNumberFormat="1" applyFont="1" applyFill="1" applyBorder="1" applyAlignment="1">
      <alignment horizontal="center" vertical="center" textRotation="90"/>
    </xf>
    <xf numFmtId="49" fontId="44" fillId="21" borderId="0" xfId="3" applyNumberFormat="1" applyFont="1" applyFill="1" applyAlignment="1">
      <alignment horizontal="center" vertical="center" textRotation="90"/>
    </xf>
    <xf numFmtId="0" fontId="39" fillId="6" borderId="3" xfId="0" applyFont="1" applyFill="1" applyBorder="1" applyAlignment="1">
      <alignment horizontal="center" vertical="center" wrapText="1"/>
    </xf>
    <xf numFmtId="0" fontId="44" fillId="19" borderId="38" xfId="3" applyFont="1" applyFill="1" applyBorder="1" applyAlignment="1">
      <alignment horizontal="center" vertical="center" textRotation="90"/>
    </xf>
    <xf numFmtId="0" fontId="44" fillId="19" borderId="0" xfId="3" applyFont="1" applyFill="1" applyAlignment="1">
      <alignment horizontal="center" vertical="center" textRotation="90"/>
    </xf>
    <xf numFmtId="0" fontId="44" fillId="18" borderId="38" xfId="3" applyFont="1" applyFill="1" applyBorder="1" applyAlignment="1">
      <alignment horizontal="center" vertical="center" textRotation="90"/>
    </xf>
    <xf numFmtId="0" fontId="44" fillId="18" borderId="0" xfId="3" applyFont="1" applyFill="1" applyAlignment="1">
      <alignment horizontal="center" vertical="center" textRotation="90"/>
    </xf>
    <xf numFmtId="0" fontId="44" fillId="10" borderId="38" xfId="3" applyFont="1" applyFill="1" applyBorder="1" applyAlignment="1">
      <alignment horizontal="center" vertical="center" textRotation="90"/>
    </xf>
    <xf numFmtId="0" fontId="44" fillId="10" borderId="0" xfId="3" applyFont="1" applyFill="1" applyAlignment="1">
      <alignment horizontal="center" vertical="center" textRotation="90"/>
    </xf>
    <xf numFmtId="0" fontId="44" fillId="20" borderId="38" xfId="3" applyFont="1" applyFill="1" applyBorder="1" applyAlignment="1">
      <alignment horizontal="center" vertical="center" textRotation="90"/>
    </xf>
    <xf numFmtId="0" fontId="44" fillId="20" borderId="0" xfId="3" applyFont="1" applyFill="1" applyAlignment="1">
      <alignment horizontal="center" vertical="center" textRotation="90"/>
    </xf>
    <xf numFmtId="0" fontId="44" fillId="21" borderId="38" xfId="3" applyFont="1" applyFill="1" applyBorder="1" applyAlignment="1">
      <alignment horizontal="center" vertical="center" textRotation="90"/>
    </xf>
    <xf numFmtId="0" fontId="44" fillId="21" borderId="0" xfId="3" applyFont="1" applyFill="1" applyAlignment="1">
      <alignment horizontal="center" vertical="center" textRotation="90"/>
    </xf>
    <xf numFmtId="164" fontId="39" fillId="5" borderId="24" xfId="0" applyNumberFormat="1" applyFont="1" applyFill="1" applyBorder="1" applyAlignment="1">
      <alignment horizontal="center" vertical="center" wrapText="1"/>
    </xf>
    <xf numFmtId="164" fontId="39" fillId="5" borderId="19" xfId="0" applyNumberFormat="1" applyFont="1" applyFill="1" applyBorder="1" applyAlignment="1">
      <alignment horizontal="center" vertical="center" wrapText="1"/>
    </xf>
    <xf numFmtId="164" fontId="39" fillId="5" borderId="36" xfId="0" applyNumberFormat="1" applyFont="1" applyFill="1" applyBorder="1" applyAlignment="1">
      <alignment horizontal="center" vertical="center" wrapText="1"/>
    </xf>
    <xf numFmtId="0" fontId="41" fillId="22" borderId="56" xfId="0" applyFont="1" applyFill="1" applyBorder="1" applyAlignment="1">
      <alignment horizontal="center" vertical="center"/>
    </xf>
    <xf numFmtId="0" fontId="41" fillId="22" borderId="37" xfId="0" applyFont="1" applyFill="1" applyBorder="1" applyAlignment="1">
      <alignment horizontal="center" vertical="center"/>
    </xf>
    <xf numFmtId="0" fontId="41" fillId="22" borderId="57" xfId="0" applyFont="1" applyFill="1" applyBorder="1" applyAlignment="1">
      <alignment horizontal="center" vertical="center"/>
    </xf>
    <xf numFmtId="0" fontId="39" fillId="25" borderId="27" xfId="0" applyFont="1" applyFill="1" applyBorder="1" applyAlignment="1">
      <alignment horizontal="center" vertical="center" wrapText="1"/>
    </xf>
    <xf numFmtId="0" fontId="39" fillId="25" borderId="38" xfId="0" applyFont="1" applyFill="1" applyBorder="1" applyAlignment="1">
      <alignment horizontal="center" vertical="center" wrapText="1"/>
    </xf>
    <xf numFmtId="0" fontId="39" fillId="25" borderId="49" xfId="0" applyFont="1" applyFill="1" applyBorder="1" applyAlignment="1">
      <alignment horizontal="center" vertical="center" wrapText="1"/>
    </xf>
    <xf numFmtId="0" fontId="39" fillId="25" borderId="0" xfId="0" applyFont="1" applyFill="1" applyAlignment="1">
      <alignment horizontal="center" vertical="center" wrapText="1"/>
    </xf>
    <xf numFmtId="0" fontId="39" fillId="25" borderId="29" xfId="0" applyFont="1" applyFill="1" applyBorder="1" applyAlignment="1">
      <alignment horizontal="center" vertical="center" wrapText="1"/>
    </xf>
    <xf numFmtId="0" fontId="39" fillId="25" borderId="37" xfId="0" applyFont="1" applyFill="1" applyBorder="1" applyAlignment="1">
      <alignment horizontal="center" vertical="center" wrapText="1"/>
    </xf>
    <xf numFmtId="0" fontId="24" fillId="0" borderId="57" xfId="0" applyFont="1" applyBorder="1" applyAlignment="1">
      <alignment horizontal="center" vertical="center" wrapText="1"/>
    </xf>
    <xf numFmtId="0" fontId="24" fillId="0" borderId="55" xfId="0" applyFont="1" applyBorder="1" applyAlignment="1">
      <alignment horizontal="center" vertical="center" wrapText="1"/>
    </xf>
    <xf numFmtId="0" fontId="76" fillId="0" borderId="18" xfId="0" applyFont="1" applyBorder="1" applyAlignment="1">
      <alignment horizontal="justify" vertical="center" wrapText="1"/>
    </xf>
    <xf numFmtId="0" fontId="76" fillId="0" borderId="3" xfId="0" applyFont="1" applyBorder="1" applyAlignment="1">
      <alignment horizontal="justify" vertical="center" wrapText="1"/>
    </xf>
    <xf numFmtId="0" fontId="24" fillId="0" borderId="4" xfId="0" applyFont="1" applyBorder="1" applyAlignment="1">
      <alignment horizontal="justify" vertical="center" wrapText="1"/>
    </xf>
    <xf numFmtId="0" fontId="44" fillId="10" borderId="27" xfId="3" applyFont="1" applyFill="1" applyBorder="1" applyAlignment="1">
      <alignment horizontal="center" vertical="center" textRotation="90"/>
    </xf>
    <xf numFmtId="0" fontId="44" fillId="10" borderId="29" xfId="3" applyFont="1" applyFill="1" applyBorder="1" applyAlignment="1">
      <alignment horizontal="center" vertical="center" textRotation="90"/>
    </xf>
    <xf numFmtId="0" fontId="44" fillId="18" borderId="37" xfId="3" applyFont="1" applyFill="1" applyBorder="1" applyAlignment="1">
      <alignment horizontal="center" vertical="center" textRotation="90"/>
    </xf>
    <xf numFmtId="0" fontId="44" fillId="19" borderId="37" xfId="3" applyFont="1" applyFill="1" applyBorder="1" applyAlignment="1">
      <alignment horizontal="center" vertical="center" textRotation="90"/>
    </xf>
    <xf numFmtId="0" fontId="44" fillId="20" borderId="37" xfId="3" applyFont="1" applyFill="1" applyBorder="1" applyAlignment="1">
      <alignment horizontal="center" vertical="center" textRotation="90"/>
    </xf>
    <xf numFmtId="0" fontId="7" fillId="6" borderId="4" xfId="0" applyFont="1" applyFill="1" applyBorder="1" applyAlignment="1">
      <alignment horizontal="center" vertical="center"/>
    </xf>
    <xf numFmtId="0" fontId="7" fillId="6" borderId="18" xfId="0" applyFont="1" applyFill="1" applyBorder="1" applyAlignment="1">
      <alignment horizontal="center" vertical="center"/>
    </xf>
    <xf numFmtId="0" fontId="19" fillId="6" borderId="4" xfId="0" applyFont="1" applyFill="1" applyBorder="1" applyAlignment="1">
      <alignment horizontal="center" vertical="center" wrapText="1"/>
    </xf>
    <xf numFmtId="0" fontId="19" fillId="6" borderId="18"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6" xfId="0" applyFont="1" applyFill="1" applyBorder="1" applyAlignment="1">
      <alignment horizontal="center" vertical="center" wrapText="1"/>
    </xf>
    <xf numFmtId="9" fontId="39" fillId="28" borderId="0" xfId="0" applyNumberFormat="1" applyFont="1" applyFill="1" applyAlignment="1">
      <alignment horizontal="center" vertical="center" wrapText="1"/>
    </xf>
    <xf numFmtId="0" fontId="41" fillId="45" borderId="29" xfId="0" applyFont="1" applyFill="1" applyBorder="1" applyAlignment="1">
      <alignment horizontal="center" vertical="center"/>
    </xf>
    <xf numFmtId="0" fontId="0" fillId="0" borderId="3" xfId="0" applyBorder="1" applyAlignment="1">
      <alignment horizontal="center" vertical="center"/>
    </xf>
    <xf numFmtId="0" fontId="42" fillId="39" borderId="27" xfId="0" applyFont="1" applyFill="1" applyBorder="1" applyAlignment="1">
      <alignment horizontal="left" vertical="center"/>
    </xf>
    <xf numFmtId="0" fontId="42" fillId="39" borderId="38" xfId="0" applyFont="1" applyFill="1" applyBorder="1" applyAlignment="1">
      <alignment horizontal="left" vertical="center"/>
    </xf>
    <xf numFmtId="0" fontId="42" fillId="39" borderId="26" xfId="0" applyFont="1" applyFill="1" applyBorder="1" applyAlignment="1">
      <alignment horizontal="left" vertical="center"/>
    </xf>
    <xf numFmtId="0" fontId="42" fillId="39" borderId="50" xfId="0" applyFont="1" applyFill="1" applyBorder="1" applyAlignment="1">
      <alignment horizontal="left" vertical="center"/>
    </xf>
    <xf numFmtId="0" fontId="42" fillId="39" borderId="29" xfId="0" applyFont="1" applyFill="1" applyBorder="1" applyAlignment="1">
      <alignment horizontal="left" vertical="center"/>
    </xf>
    <xf numFmtId="0" fontId="42" fillId="39" borderId="37" xfId="0" applyFont="1" applyFill="1" applyBorder="1" applyAlignment="1">
      <alignment horizontal="left" vertical="center"/>
    </xf>
    <xf numFmtId="0" fontId="42" fillId="39" borderId="28" xfId="0" applyFont="1" applyFill="1" applyBorder="1" applyAlignment="1">
      <alignment horizontal="left" vertical="center"/>
    </xf>
    <xf numFmtId="9" fontId="39" fillId="28" borderId="52" xfId="0" applyNumberFormat="1" applyFont="1" applyFill="1" applyBorder="1" applyAlignment="1">
      <alignment horizontal="center" vertical="center" wrapText="1"/>
    </xf>
    <xf numFmtId="0" fontId="90" fillId="15" borderId="4" xfId="4" applyFont="1" applyFill="1" applyBorder="1" applyAlignment="1">
      <alignment horizontal="center" vertical="center" wrapText="1"/>
    </xf>
    <xf numFmtId="0" fontId="90" fillId="15" borderId="18" xfId="4" applyFont="1" applyFill="1" applyBorder="1" applyAlignment="1">
      <alignment horizontal="center" vertical="center" wrapText="1"/>
    </xf>
    <xf numFmtId="0" fontId="39" fillId="17" borderId="4" xfId="0" applyFont="1" applyFill="1" applyBorder="1" applyAlignment="1">
      <alignment horizontal="right" vertical="center"/>
    </xf>
    <xf numFmtId="164" fontId="39" fillId="5" borderId="18" xfId="0" applyNumberFormat="1" applyFont="1" applyFill="1" applyBorder="1" applyAlignment="1">
      <alignment horizontal="center" vertical="center" wrapText="1"/>
    </xf>
    <xf numFmtId="0" fontId="39" fillId="17" borderId="4" xfId="0" applyFont="1" applyFill="1" applyBorder="1" applyAlignment="1">
      <alignment horizontal="right" vertical="center" wrapText="1"/>
    </xf>
    <xf numFmtId="0" fontId="92" fillId="0" borderId="4" xfId="0" applyFont="1" applyBorder="1" applyAlignment="1">
      <alignment horizontal="center" vertical="center" wrapText="1"/>
    </xf>
    <xf numFmtId="0" fontId="92" fillId="0" borderId="18" xfId="0" applyFont="1" applyBorder="1" applyAlignment="1">
      <alignment horizontal="center" vertical="center" wrapText="1"/>
    </xf>
    <xf numFmtId="0" fontId="91" fillId="15" borderId="4" xfId="0" applyFont="1" applyFill="1" applyBorder="1" applyAlignment="1">
      <alignment horizontal="center" vertical="center" wrapText="1"/>
    </xf>
    <xf numFmtId="0" fontId="91" fillId="15" borderId="18" xfId="0" applyFont="1" applyFill="1" applyBorder="1" applyAlignment="1">
      <alignment horizontal="center" vertical="center" wrapText="1"/>
    </xf>
    <xf numFmtId="0" fontId="74" fillId="42" borderId="19" xfId="0" applyFont="1" applyFill="1" applyBorder="1" applyAlignment="1">
      <alignment horizontal="center" vertical="center" wrapText="1"/>
    </xf>
    <xf numFmtId="0" fontId="74" fillId="42" borderId="18" xfId="0" applyFont="1" applyFill="1" applyBorder="1" applyAlignment="1">
      <alignment horizontal="center" vertical="center" wrapText="1"/>
    </xf>
    <xf numFmtId="0" fontId="33" fillId="44" borderId="42" xfId="4" applyFont="1" applyFill="1" applyBorder="1" applyAlignment="1">
      <alignment horizontal="center" vertical="center" wrapText="1"/>
    </xf>
    <xf numFmtId="0" fontId="33" fillId="44" borderId="3" xfId="4" applyFont="1" applyFill="1" applyBorder="1" applyAlignment="1">
      <alignment horizontal="center" vertical="center" wrapText="1"/>
    </xf>
    <xf numFmtId="0" fontId="34" fillId="42" borderId="24" xfId="4" applyFont="1" applyFill="1" applyBorder="1" applyAlignment="1">
      <alignment horizontal="center" vertical="center" wrapText="1"/>
    </xf>
    <xf numFmtId="0" fontId="34" fillId="42" borderId="18" xfId="4" applyFont="1" applyFill="1" applyBorder="1" applyAlignment="1">
      <alignment horizontal="center" vertical="center" wrapText="1"/>
    </xf>
    <xf numFmtId="0" fontId="34" fillId="42" borderId="4" xfId="4" applyFont="1" applyFill="1" applyBorder="1" applyAlignment="1">
      <alignment horizontal="center" vertical="center" wrapText="1"/>
    </xf>
    <xf numFmtId="0" fontId="73" fillId="0" borderId="3" xfId="0" applyFont="1" applyBorder="1" applyAlignment="1">
      <alignment horizontal="left" vertical="center" wrapText="1"/>
    </xf>
    <xf numFmtId="0" fontId="73" fillId="0" borderId="4" xfId="0" applyFont="1" applyBorder="1" applyAlignment="1">
      <alignment horizontal="center" vertical="center" wrapText="1"/>
    </xf>
    <xf numFmtId="0" fontId="73" fillId="0" borderId="18" xfId="0" applyFont="1" applyBorder="1" applyAlignment="1">
      <alignment horizontal="center" vertical="center" wrapText="1"/>
    </xf>
    <xf numFmtId="14" fontId="37" fillId="25" borderId="27" xfId="2" applyNumberFormat="1" applyFont="1" applyFill="1" applyBorder="1" applyAlignment="1">
      <alignment horizontal="center" vertical="center" wrapText="1"/>
    </xf>
    <xf numFmtId="14" fontId="37" fillId="25" borderId="29" xfId="2" applyNumberFormat="1" applyFont="1" applyFill="1" applyBorder="1" applyAlignment="1">
      <alignment horizontal="center" vertical="center" wrapText="1"/>
    </xf>
    <xf numFmtId="0" fontId="81" fillId="0" borderId="57" xfId="0" applyFont="1" applyBorder="1" applyAlignment="1">
      <alignment horizontal="justify" vertical="center" wrapText="1"/>
    </xf>
    <xf numFmtId="0" fontId="81" fillId="0" borderId="55" xfId="0" applyFont="1" applyBorder="1" applyAlignment="1">
      <alignment horizontal="justify" vertical="center" wrapText="1"/>
    </xf>
    <xf numFmtId="0" fontId="37" fillId="25" borderId="3" xfId="2" applyFont="1" applyFill="1" applyBorder="1" applyAlignment="1">
      <alignment horizontal="center" vertical="center" wrapText="1"/>
    </xf>
    <xf numFmtId="0" fontId="81" fillId="0" borderId="50" xfId="0" applyFont="1" applyBorder="1" applyAlignment="1">
      <alignment horizontal="center" vertical="center" wrapText="1"/>
    </xf>
    <xf numFmtId="0" fontId="81" fillId="0" borderId="28" xfId="0" applyFont="1" applyBorder="1" applyAlignment="1">
      <alignment horizontal="center" vertical="center" wrapText="1"/>
    </xf>
    <xf numFmtId="0" fontId="81" fillId="0" borderId="18" xfId="0" applyFont="1" applyBorder="1" applyAlignment="1">
      <alignment horizontal="justify" vertical="center" wrapText="1"/>
    </xf>
    <xf numFmtId="0" fontId="81" fillId="0" borderId="3" xfId="0" applyFont="1" applyBorder="1" applyAlignment="1">
      <alignment horizontal="justify" vertical="center" wrapText="1"/>
    </xf>
    <xf numFmtId="0" fontId="2" fillId="25" borderId="3" xfId="2" applyFont="1" applyFill="1" applyBorder="1" applyAlignment="1">
      <alignment horizontal="center" vertical="center" wrapText="1"/>
    </xf>
    <xf numFmtId="14" fontId="37" fillId="25" borderId="3" xfId="2" applyNumberFormat="1" applyFont="1" applyFill="1" applyBorder="1" applyAlignment="1">
      <alignment horizontal="center" vertical="center" wrapText="1"/>
    </xf>
    <xf numFmtId="0" fontId="37" fillId="25" borderId="27" xfId="2" applyFont="1" applyFill="1" applyBorder="1" applyAlignment="1">
      <alignment horizontal="center" vertical="center" wrapText="1"/>
    </xf>
    <xf numFmtId="0" fontId="37" fillId="25" borderId="29" xfId="2" applyFont="1" applyFill="1" applyBorder="1" applyAlignment="1">
      <alignment horizontal="center" vertical="center" wrapText="1"/>
    </xf>
    <xf numFmtId="0" fontId="2" fillId="25" borderId="4" xfId="2" applyFont="1" applyFill="1" applyBorder="1" applyAlignment="1">
      <alignment horizontal="center" vertical="center" wrapText="1"/>
    </xf>
    <xf numFmtId="0" fontId="2" fillId="25" borderId="18" xfId="2" applyFont="1" applyFill="1" applyBorder="1" applyAlignment="1">
      <alignment horizontal="center" vertical="center" wrapText="1"/>
    </xf>
    <xf numFmtId="0" fontId="41" fillId="45" borderId="49" xfId="0" applyFont="1" applyFill="1" applyBorder="1" applyAlignment="1">
      <alignment horizontal="center" vertical="center"/>
    </xf>
    <xf numFmtId="0" fontId="41" fillId="45" borderId="52" xfId="0" applyFont="1" applyFill="1" applyBorder="1" applyAlignment="1">
      <alignment horizontal="center" vertical="center"/>
    </xf>
    <xf numFmtId="9" fontId="35" fillId="15" borderId="4" xfId="0" applyNumberFormat="1" applyFont="1" applyFill="1" applyBorder="1" applyAlignment="1">
      <alignment horizontal="center" vertical="center" wrapText="1"/>
    </xf>
    <xf numFmtId="9" fontId="35" fillId="15" borderId="19" xfId="0" applyNumberFormat="1" applyFont="1" applyFill="1" applyBorder="1" applyAlignment="1">
      <alignment horizontal="center" vertical="center" wrapText="1"/>
    </xf>
    <xf numFmtId="9" fontId="35" fillId="15" borderId="18" xfId="0" applyNumberFormat="1" applyFont="1" applyFill="1" applyBorder="1" applyAlignment="1">
      <alignment horizontal="center" vertical="center" wrapText="1"/>
    </xf>
    <xf numFmtId="9" fontId="35" fillId="15" borderId="3" xfId="0" applyNumberFormat="1" applyFont="1" applyFill="1" applyBorder="1" applyAlignment="1">
      <alignment horizontal="center" vertical="center" wrapText="1"/>
    </xf>
    <xf numFmtId="0" fontId="62" fillId="0" borderId="0" xfId="4" applyFont="1"/>
    <xf numFmtId="164" fontId="64" fillId="34" borderId="30" xfId="4" applyNumberFormat="1" applyFont="1" applyFill="1" applyBorder="1" applyAlignment="1">
      <alignment horizontal="center" vertical="center"/>
    </xf>
    <xf numFmtId="164" fontId="64" fillId="34" borderId="9" xfId="4" applyNumberFormat="1" applyFont="1" applyFill="1" applyBorder="1" applyAlignment="1">
      <alignment horizontal="center" vertical="center"/>
    </xf>
    <xf numFmtId="164" fontId="64" fillId="34" borderId="11" xfId="4" applyNumberFormat="1" applyFont="1" applyFill="1" applyBorder="1" applyAlignment="1">
      <alignment horizontal="center" vertical="center"/>
    </xf>
    <xf numFmtId="164" fontId="64" fillId="15" borderId="8" xfId="4" applyNumberFormat="1" applyFont="1" applyFill="1" applyBorder="1" applyAlignment="1">
      <alignment horizontal="center" vertical="center"/>
    </xf>
    <xf numFmtId="0" fontId="64" fillId="15" borderId="10" xfId="4" applyFont="1" applyFill="1" applyBorder="1" applyAlignment="1">
      <alignment horizontal="center" vertical="center"/>
    </xf>
    <xf numFmtId="0" fontId="64" fillId="15" borderId="12" xfId="4" applyFont="1" applyFill="1" applyBorder="1" applyAlignment="1">
      <alignment horizontal="center" vertical="center"/>
    </xf>
    <xf numFmtId="164" fontId="64" fillId="34" borderId="23" xfId="4" applyNumberFormat="1" applyFont="1" applyFill="1" applyBorder="1" applyAlignment="1">
      <alignment horizontal="center" vertical="center"/>
    </xf>
    <xf numFmtId="164" fontId="64" fillId="34" borderId="60" xfId="4" applyNumberFormat="1" applyFont="1" applyFill="1" applyBorder="1" applyAlignment="1">
      <alignment horizontal="center" vertical="center"/>
    </xf>
    <xf numFmtId="0" fontId="64" fillId="34" borderId="9" xfId="4" applyFont="1" applyFill="1" applyBorder="1" applyAlignment="1">
      <alignment horizontal="center" vertical="center"/>
    </xf>
    <xf numFmtId="0" fontId="64" fillId="34" borderId="11" xfId="4" applyFont="1" applyFill="1" applyBorder="1" applyAlignment="1">
      <alignment horizontal="center" vertical="center"/>
    </xf>
    <xf numFmtId="164" fontId="64" fillId="34" borderId="17" xfId="4" applyNumberFormat="1" applyFont="1" applyFill="1" applyBorder="1" applyAlignment="1">
      <alignment horizontal="center" vertical="center"/>
    </xf>
    <xf numFmtId="164" fontId="64" fillId="34" borderId="7" xfId="4" applyNumberFormat="1" applyFont="1" applyFill="1" applyBorder="1" applyAlignment="1">
      <alignment horizontal="center" vertical="center"/>
    </xf>
    <xf numFmtId="0" fontId="35" fillId="15" borderId="39" xfId="4" applyFont="1" applyFill="1" applyBorder="1" applyAlignment="1">
      <alignment horizontal="left" vertical="center" wrapText="1"/>
    </xf>
    <xf numFmtId="0" fontId="90" fillId="15" borderId="19" xfId="4" applyFont="1" applyFill="1" applyBorder="1" applyAlignment="1">
      <alignment horizontal="center" vertical="center" wrapText="1"/>
    </xf>
    <xf numFmtId="0" fontId="35" fillId="0" borderId="0" xfId="4" applyFont="1"/>
    <xf numFmtId="14" fontId="90" fillId="0" borderId="19" xfId="4" applyNumberFormat="1" applyFont="1" applyBorder="1" applyAlignment="1">
      <alignment horizontal="center" vertical="center"/>
    </xf>
    <xf numFmtId="14" fontId="90" fillId="0" borderId="18" xfId="4" applyNumberFormat="1" applyFont="1" applyBorder="1" applyAlignment="1">
      <alignment horizontal="center" vertical="center"/>
    </xf>
    <xf numFmtId="14" fontId="90" fillId="0" borderId="50" xfId="4" applyNumberFormat="1" applyFont="1" applyBorder="1" applyAlignment="1">
      <alignment horizontal="center" vertical="center"/>
    </xf>
    <xf numFmtId="14" fontId="90" fillId="0" borderId="28" xfId="4" applyNumberFormat="1" applyFont="1" applyBorder="1" applyAlignment="1">
      <alignment horizontal="center" vertical="center"/>
    </xf>
    <xf numFmtId="0" fontId="35" fillId="15" borderId="39" xfId="4" applyFont="1" applyFill="1" applyBorder="1" applyAlignment="1">
      <alignment vertical="center" wrapText="1"/>
    </xf>
    <xf numFmtId="0" fontId="95" fillId="15" borderId="3" xfId="4" applyFont="1" applyFill="1" applyBorder="1" applyAlignment="1">
      <alignment horizontal="center" vertical="center" wrapText="1"/>
    </xf>
    <xf numFmtId="0" fontId="95" fillId="15" borderId="4" xfId="4" applyFont="1" applyFill="1" applyBorder="1" applyAlignment="1">
      <alignment horizontal="center" vertical="center" wrapText="1"/>
    </xf>
    <xf numFmtId="164" fontId="64" fillId="15" borderId="31" xfId="4" applyNumberFormat="1" applyFont="1" applyFill="1" applyBorder="1" applyAlignment="1">
      <alignment horizontal="center" vertical="center"/>
    </xf>
    <xf numFmtId="164" fontId="64" fillId="15" borderId="10" xfId="4" applyNumberFormat="1" applyFont="1" applyFill="1" applyBorder="1" applyAlignment="1">
      <alignment horizontal="center" vertical="center"/>
    </xf>
    <xf numFmtId="164" fontId="64" fillId="15" borderId="12" xfId="4" applyNumberFormat="1" applyFont="1" applyFill="1" applyBorder="1" applyAlignment="1">
      <alignment horizontal="center" vertical="center"/>
    </xf>
    <xf numFmtId="0" fontId="58" fillId="25" borderId="55" xfId="4" applyFont="1" applyFill="1" applyBorder="1" applyAlignment="1">
      <alignment horizontal="left" vertical="center" wrapText="1"/>
    </xf>
    <xf numFmtId="0" fontId="58" fillId="25" borderId="39" xfId="4" applyFont="1" applyFill="1" applyBorder="1" applyAlignment="1">
      <alignment horizontal="justify" vertical="center" wrapText="1"/>
    </xf>
    <xf numFmtId="0" fontId="58" fillId="25" borderId="41" xfId="4" applyFont="1" applyFill="1" applyBorder="1" applyAlignment="1">
      <alignment horizontal="justify" vertical="center" wrapText="1"/>
    </xf>
    <xf numFmtId="0" fontId="58" fillId="0" borderId="39" xfId="4" applyFont="1" applyBorder="1" applyAlignment="1">
      <alignment horizontal="left" vertical="center" wrapText="1"/>
    </xf>
    <xf numFmtId="0" fontId="58" fillId="0" borderId="41" xfId="4" applyFont="1" applyBorder="1" applyAlignment="1">
      <alignment horizontal="left" vertical="center" wrapText="1"/>
    </xf>
    <xf numFmtId="164" fontId="60" fillId="0" borderId="10" xfId="1" applyNumberFormat="1" applyFont="1" applyBorder="1" applyAlignment="1">
      <alignment horizontal="center" vertical="center"/>
    </xf>
    <xf numFmtId="164" fontId="60" fillId="0" borderId="13" xfId="1" applyNumberFormat="1" applyFont="1" applyBorder="1" applyAlignment="1">
      <alignment horizontal="center" vertical="center"/>
    </xf>
    <xf numFmtId="0" fontId="35" fillId="15" borderId="41" xfId="4" applyFont="1" applyFill="1" applyBorder="1" applyAlignment="1">
      <alignment horizontal="left" vertical="center" wrapText="1"/>
    </xf>
    <xf numFmtId="0" fontId="90" fillId="15" borderId="3" xfId="4" applyFont="1" applyFill="1" applyBorder="1" applyAlignment="1">
      <alignment horizontal="center" vertical="center" wrapText="1"/>
    </xf>
    <xf numFmtId="0" fontId="90" fillId="15" borderId="6" xfId="4" applyFont="1" applyFill="1" applyBorder="1" applyAlignment="1">
      <alignment horizontal="center" vertical="center" wrapText="1"/>
    </xf>
    <xf numFmtId="0" fontId="95" fillId="15" borderId="6" xfId="4" applyFont="1" applyFill="1" applyBorder="1" applyAlignment="1">
      <alignment horizontal="center" vertical="center" wrapText="1"/>
    </xf>
    <xf numFmtId="0" fontId="95" fillId="0" borderId="3" xfId="4" applyFont="1" applyBorder="1" applyAlignment="1">
      <alignment horizontal="center" vertical="center" wrapText="1"/>
    </xf>
    <xf numFmtId="0" fontId="95" fillId="0" borderId="4" xfId="4" applyFont="1" applyBorder="1" applyAlignment="1">
      <alignment horizontal="center" vertical="center" wrapText="1"/>
    </xf>
    <xf numFmtId="0" fontId="95" fillId="15" borderId="5" xfId="4" applyFont="1" applyFill="1" applyBorder="1" applyAlignment="1">
      <alignment horizontal="center" vertical="center" wrapText="1"/>
    </xf>
    <xf numFmtId="0" fontId="90" fillId="0" borderId="3" xfId="4" applyFont="1" applyBorder="1" applyAlignment="1">
      <alignment horizontal="center" vertical="center" wrapText="1"/>
    </xf>
    <xf numFmtId="0" fontId="90" fillId="0" borderId="5" xfId="4" applyFont="1" applyBorder="1" applyAlignment="1">
      <alignment horizontal="center" vertical="center" wrapText="1"/>
    </xf>
    <xf numFmtId="164" fontId="60" fillId="0" borderId="8" xfId="1" applyNumberFormat="1" applyFont="1" applyBorder="1" applyAlignment="1">
      <alignment horizontal="center" vertical="center"/>
    </xf>
    <xf numFmtId="0" fontId="58" fillId="23" borderId="39" xfId="4" applyFont="1" applyFill="1" applyBorder="1" applyAlignment="1">
      <alignment horizontal="left" vertical="center" wrapText="1"/>
    </xf>
    <xf numFmtId="0" fontId="58" fillId="23" borderId="41" xfId="4" applyFont="1" applyFill="1" applyBorder="1" applyAlignment="1">
      <alignment horizontal="left" vertical="center" wrapText="1"/>
    </xf>
    <xf numFmtId="0" fontId="60" fillId="29" borderId="3" xfId="4" applyFont="1" applyFill="1" applyBorder="1" applyAlignment="1">
      <alignment horizontal="center" vertical="center"/>
    </xf>
    <xf numFmtId="0" fontId="60" fillId="29" borderId="4" xfId="4" applyFont="1" applyFill="1" applyBorder="1" applyAlignment="1">
      <alignment horizontal="center" vertical="center"/>
    </xf>
    <xf numFmtId="0" fontId="58" fillId="25" borderId="39" xfId="4" applyFont="1" applyFill="1" applyBorder="1" applyAlignment="1">
      <alignment horizontal="left" vertical="center" wrapText="1"/>
    </xf>
    <xf numFmtId="164" fontId="60" fillId="0" borderId="10" xfId="4" applyNumberFormat="1" applyFont="1" applyBorder="1" applyAlignment="1">
      <alignment horizontal="center" vertical="center"/>
    </xf>
    <xf numFmtId="0" fontId="35" fillId="0" borderId="52" xfId="4" applyFont="1" applyBorder="1"/>
    <xf numFmtId="0" fontId="48" fillId="0" borderId="66" xfId="4" applyFont="1" applyBorder="1" applyAlignment="1">
      <alignment horizontal="center" vertical="center"/>
    </xf>
    <xf numFmtId="0" fontId="48" fillId="0" borderId="46" xfId="4" applyFont="1" applyBorder="1" applyAlignment="1">
      <alignment horizontal="center" vertical="center"/>
    </xf>
    <xf numFmtId="0" fontId="48" fillId="0" borderId="73" xfId="4" applyFont="1" applyBorder="1" applyAlignment="1">
      <alignment horizontal="center" vertical="center"/>
    </xf>
    <xf numFmtId="0" fontId="93" fillId="15" borderId="7" xfId="4" applyFont="1" applyFill="1" applyBorder="1" applyAlignment="1">
      <alignment horizontal="center" vertical="center" wrapText="1"/>
    </xf>
    <xf numFmtId="0" fontId="93" fillId="15" borderId="9" xfId="4" applyFont="1" applyFill="1" applyBorder="1" applyAlignment="1">
      <alignment horizontal="center" vertical="center" wrapText="1"/>
    </xf>
    <xf numFmtId="0" fontId="94" fillId="16" borderId="5" xfId="4" applyFont="1" applyFill="1" applyBorder="1" applyAlignment="1">
      <alignment horizontal="center" vertical="center" wrapText="1"/>
    </xf>
    <xf numFmtId="0" fontId="94" fillId="16" borderId="3" xfId="4" applyFont="1" applyFill="1" applyBorder="1" applyAlignment="1">
      <alignment horizontal="center" vertical="center" wrapText="1"/>
    </xf>
    <xf numFmtId="0" fontId="94" fillId="16" borderId="6" xfId="4" applyFont="1" applyFill="1" applyBorder="1" applyAlignment="1">
      <alignment horizontal="center" vertical="center" wrapText="1"/>
    </xf>
    <xf numFmtId="0" fontId="90" fillId="15" borderId="5" xfId="4" applyFont="1" applyFill="1" applyBorder="1" applyAlignment="1">
      <alignment horizontal="center" vertical="center" wrapText="1"/>
    </xf>
    <xf numFmtId="0" fontId="93" fillId="15" borderId="11" xfId="4" applyFont="1" applyFill="1" applyBorder="1" applyAlignment="1">
      <alignment horizontal="center" vertical="center" wrapText="1"/>
    </xf>
    <xf numFmtId="0" fontId="58" fillId="0" borderId="55" xfId="4" applyFont="1" applyBorder="1" applyAlignment="1">
      <alignment horizontal="left" vertical="center" wrapText="1"/>
    </xf>
    <xf numFmtId="164" fontId="63" fillId="0" borderId="25" xfId="4" applyNumberFormat="1" applyFont="1" applyBorder="1" applyAlignment="1">
      <alignment horizontal="center" vertical="center" wrapText="1"/>
    </xf>
    <xf numFmtId="164" fontId="63" fillId="0" borderId="20" xfId="4" applyNumberFormat="1" applyFont="1" applyBorder="1" applyAlignment="1">
      <alignment horizontal="center" vertical="center" wrapText="1"/>
    </xf>
    <xf numFmtId="164" fontId="60" fillId="0" borderId="12" xfId="1" applyNumberFormat="1" applyFont="1" applyBorder="1" applyAlignment="1">
      <alignment horizontal="center" vertical="center"/>
    </xf>
    <xf numFmtId="0" fontId="58" fillId="25" borderId="78" xfId="4" applyFont="1" applyFill="1" applyBorder="1" applyAlignment="1">
      <alignment horizontal="left" vertical="center" wrapText="1"/>
    </xf>
    <xf numFmtId="0" fontId="35" fillId="23" borderId="15" xfId="4" applyFont="1" applyFill="1" applyBorder="1" applyAlignment="1">
      <alignment horizontal="left" vertical="center" wrapText="1"/>
    </xf>
    <xf numFmtId="0" fontId="35" fillId="23" borderId="16" xfId="4" applyFont="1" applyFill="1" applyBorder="1" applyAlignment="1">
      <alignment horizontal="left" vertical="center" wrapText="1"/>
    </xf>
    <xf numFmtId="0" fontId="35" fillId="15" borderId="15" xfId="4" applyFont="1" applyFill="1" applyBorder="1" applyAlignment="1">
      <alignment horizontal="left" vertical="center" wrapText="1"/>
    </xf>
    <xf numFmtId="0" fontId="35" fillId="15" borderId="16" xfId="4" applyFont="1" applyFill="1" applyBorder="1" applyAlignment="1">
      <alignment horizontal="left" vertical="center" wrapText="1"/>
    </xf>
    <xf numFmtId="164" fontId="69" fillId="35" borderId="23" xfId="4" applyNumberFormat="1" applyFont="1" applyFill="1" applyBorder="1" applyAlignment="1">
      <alignment horizontal="center" vertical="center" wrapText="1"/>
    </xf>
    <xf numFmtId="164" fontId="69" fillId="35" borderId="60" xfId="4" applyNumberFormat="1" applyFont="1" applyFill="1" applyBorder="1" applyAlignment="1">
      <alignment horizontal="center" vertical="center" wrapText="1"/>
    </xf>
    <xf numFmtId="0" fontId="35" fillId="0" borderId="74" xfId="4" applyFont="1" applyBorder="1" applyAlignment="1">
      <alignment horizontal="justify" vertical="center" wrapText="1"/>
    </xf>
    <xf numFmtId="0" fontId="35" fillId="0" borderId="15" xfId="4" applyFont="1" applyBorder="1" applyAlignment="1">
      <alignment horizontal="justify" vertical="center" wrapText="1"/>
    </xf>
    <xf numFmtId="9" fontId="68" fillId="0" borderId="77" xfId="4" applyNumberFormat="1" applyFont="1" applyBorder="1" applyAlignment="1">
      <alignment horizontal="center" vertical="center"/>
    </xf>
    <xf numFmtId="0" fontId="68" fillId="0" borderId="75" xfId="4" applyFont="1" applyBorder="1" applyAlignment="1">
      <alignment horizontal="center" vertical="center"/>
    </xf>
    <xf numFmtId="0" fontId="68" fillId="0" borderId="76" xfId="4" applyFont="1" applyBorder="1" applyAlignment="1">
      <alignment horizontal="center" vertical="center"/>
    </xf>
    <xf numFmtId="0" fontId="35" fillId="0" borderId="15" xfId="4" applyFont="1" applyBorder="1" applyAlignment="1">
      <alignment horizontal="center" vertical="center" wrapText="1"/>
    </xf>
    <xf numFmtId="9" fontId="64" fillId="0" borderId="31" xfId="4" applyNumberFormat="1" applyFont="1" applyBorder="1" applyAlignment="1">
      <alignment horizontal="center" vertical="center"/>
    </xf>
    <xf numFmtId="0" fontId="64" fillId="0" borderId="10" xfId="4" applyFont="1" applyBorder="1" applyAlignment="1">
      <alignment horizontal="center" vertical="center"/>
    </xf>
    <xf numFmtId="0" fontId="64" fillId="0" borderId="12" xfId="4" applyFont="1" applyBorder="1" applyAlignment="1">
      <alignment horizontal="center" vertical="center"/>
    </xf>
    <xf numFmtId="0" fontId="58" fillId="0" borderId="57" xfId="4" applyFont="1" applyBorder="1" applyAlignment="1">
      <alignment horizontal="left" vertical="center" wrapText="1"/>
    </xf>
    <xf numFmtId="9" fontId="64" fillId="0" borderId="25" xfId="4" applyNumberFormat="1" applyFont="1" applyBorder="1" applyAlignment="1">
      <alignment horizontal="center" vertical="center"/>
    </xf>
    <xf numFmtId="9" fontId="64" fillId="0" borderId="20" xfId="4" applyNumberFormat="1" applyFont="1" applyBorder="1" applyAlignment="1">
      <alignment horizontal="center" vertical="center"/>
    </xf>
    <xf numFmtId="9" fontId="64" fillId="0" borderId="54" xfId="4" applyNumberFormat="1" applyFont="1" applyBorder="1" applyAlignment="1">
      <alignment horizontal="center" vertical="center"/>
    </xf>
    <xf numFmtId="0" fontId="90" fillId="15" borderId="4" xfId="0" applyFont="1" applyFill="1" applyBorder="1" applyAlignment="1">
      <alignment horizontal="center" vertical="center" wrapText="1"/>
    </xf>
    <xf numFmtId="0" fontId="90" fillId="15" borderId="18" xfId="0" applyFont="1" applyFill="1" applyBorder="1" applyAlignment="1">
      <alignment horizontal="center" vertical="center" wrapText="1"/>
    </xf>
    <xf numFmtId="0" fontId="58" fillId="23" borderId="10" xfId="4" applyFont="1" applyFill="1" applyBorder="1" applyAlignment="1">
      <alignment horizontal="left" vertical="center" wrapText="1"/>
    </xf>
    <xf numFmtId="0" fontId="58" fillId="23" borderId="12" xfId="4" applyFont="1" applyFill="1" applyBorder="1" applyAlignment="1">
      <alignment horizontal="left" vertical="center" wrapText="1"/>
    </xf>
    <xf numFmtId="9" fontId="67" fillId="0" borderId="62" xfId="4" applyNumberFormat="1" applyFont="1" applyBorder="1" applyAlignment="1">
      <alignment horizontal="center" vertical="center"/>
    </xf>
    <xf numFmtId="0" fontId="67" fillId="0" borderId="61" xfId="4" applyFont="1" applyBorder="1" applyAlignment="1">
      <alignment horizontal="center" vertical="center"/>
    </xf>
    <xf numFmtId="0" fontId="67" fillId="0" borderId="35" xfId="4" applyFont="1" applyBorder="1" applyAlignment="1">
      <alignment horizontal="center" vertical="center"/>
    </xf>
    <xf numFmtId="164" fontId="69" fillId="35" borderId="64" xfId="4" applyNumberFormat="1" applyFont="1" applyFill="1" applyBorder="1" applyAlignment="1">
      <alignment horizontal="center" vertical="center" wrapText="1"/>
    </xf>
    <xf numFmtId="164" fontId="63" fillId="0" borderId="54" xfId="4" applyNumberFormat="1" applyFont="1" applyBorder="1" applyAlignment="1">
      <alignment horizontal="center" vertical="center" wrapText="1"/>
    </xf>
    <xf numFmtId="0" fontId="48" fillId="0" borderId="56" xfId="4" applyFont="1" applyBorder="1" applyAlignment="1">
      <alignment horizontal="center" vertical="center"/>
    </xf>
    <xf numFmtId="0" fontId="94" fillId="50" borderId="5" xfId="4" applyFont="1" applyFill="1" applyBorder="1" applyAlignment="1">
      <alignment horizontal="center" vertical="center" wrapText="1"/>
    </xf>
    <xf numFmtId="0" fontId="94" fillId="50" borderId="3" xfId="4" applyFont="1" applyFill="1" applyBorder="1" applyAlignment="1">
      <alignment horizontal="center" vertical="center" wrapText="1"/>
    </xf>
    <xf numFmtId="0" fontId="94" fillId="50" borderId="4" xfId="4" applyFont="1" applyFill="1" applyBorder="1" applyAlignment="1">
      <alignment horizontal="center" vertical="center" wrapText="1"/>
    </xf>
    <xf numFmtId="0" fontId="58" fillId="25" borderId="57" xfId="4" applyFont="1" applyFill="1" applyBorder="1" applyAlignment="1">
      <alignment horizontal="left" vertical="center" wrapText="1"/>
    </xf>
    <xf numFmtId="0" fontId="58" fillId="23" borderId="37" xfId="4" applyFont="1" applyFill="1" applyBorder="1" applyAlignment="1">
      <alignment horizontal="left" vertical="center" wrapText="1"/>
    </xf>
    <xf numFmtId="0" fontId="48" fillId="0" borderId="70" xfId="4" applyFont="1" applyBorder="1" applyAlignment="1">
      <alignment horizontal="center" vertical="center"/>
    </xf>
    <xf numFmtId="0" fontId="93" fillId="15" borderId="17" xfId="4" applyFont="1" applyFill="1" applyBorder="1" applyAlignment="1">
      <alignment horizontal="center" vertical="center" wrapText="1"/>
    </xf>
    <xf numFmtId="0" fontId="90" fillId="0" borderId="4" xfId="4" applyFont="1" applyBorder="1" applyAlignment="1">
      <alignment horizontal="center" vertical="center" wrapText="1"/>
    </xf>
    <xf numFmtId="0" fontId="93" fillId="0" borderId="9" xfId="4" applyFont="1" applyBorder="1" applyAlignment="1">
      <alignment horizontal="center" vertical="center" wrapText="1"/>
    </xf>
    <xf numFmtId="0" fontId="93" fillId="0" borderId="17" xfId="4" applyFont="1" applyBorder="1" applyAlignment="1">
      <alignment horizontal="center" vertical="center" wrapText="1"/>
    </xf>
    <xf numFmtId="9" fontId="67" fillId="0" borderId="77" xfId="4" applyNumberFormat="1" applyFont="1" applyBorder="1" applyAlignment="1">
      <alignment horizontal="center" vertical="center"/>
    </xf>
    <xf numFmtId="0" fontId="67" fillId="0" borderId="75" xfId="4" applyFont="1" applyBorder="1" applyAlignment="1">
      <alignment horizontal="center" vertical="center"/>
    </xf>
    <xf numFmtId="0" fontId="67" fillId="0" borderId="76" xfId="4" applyFont="1" applyBorder="1" applyAlignment="1">
      <alignment horizontal="center" vertical="center"/>
    </xf>
    <xf numFmtId="0" fontId="59" fillId="25" borderId="39" xfId="4" applyFont="1" applyFill="1" applyBorder="1" applyAlignment="1">
      <alignment horizontal="left" vertical="center" wrapText="1"/>
    </xf>
    <xf numFmtId="0" fontId="35" fillId="25" borderId="39" xfId="4" applyFont="1" applyFill="1" applyBorder="1" applyAlignment="1">
      <alignment horizontal="justify" vertical="center" wrapText="1"/>
    </xf>
    <xf numFmtId="0" fontId="58" fillId="15" borderId="39" xfId="4" applyFont="1" applyFill="1" applyBorder="1" applyAlignment="1">
      <alignment horizontal="justify" vertical="center" wrapText="1"/>
    </xf>
    <xf numFmtId="0" fontId="69" fillId="35" borderId="60" xfId="4" applyFont="1" applyFill="1" applyBorder="1" applyAlignment="1">
      <alignment horizontal="center" vertical="center" wrapText="1"/>
    </xf>
    <xf numFmtId="0" fontId="58" fillId="0" borderId="37" xfId="4" applyFont="1" applyBorder="1" applyAlignment="1">
      <alignment horizontal="left" vertical="center" wrapText="1"/>
    </xf>
    <xf numFmtId="164" fontId="64" fillId="15" borderId="13" xfId="4" applyNumberFormat="1" applyFont="1" applyFill="1" applyBorder="1" applyAlignment="1">
      <alignment horizontal="center" vertical="center"/>
    </xf>
    <xf numFmtId="10" fontId="63" fillId="0" borderId="25" xfId="4" applyNumberFormat="1" applyFont="1" applyBorder="1" applyAlignment="1">
      <alignment horizontal="center" vertical="center" wrapText="1"/>
    </xf>
    <xf numFmtId="10" fontId="63" fillId="0" borderId="20" xfId="4" applyNumberFormat="1" applyFont="1" applyBorder="1" applyAlignment="1">
      <alignment horizontal="center" vertical="center" wrapText="1"/>
    </xf>
    <xf numFmtId="0" fontId="93" fillId="0" borderId="7" xfId="4" applyFont="1" applyBorder="1" applyAlignment="1">
      <alignment horizontal="center" vertical="center" wrapText="1"/>
    </xf>
    <xf numFmtId="0" fontId="94" fillId="49" borderId="5" xfId="4" applyFont="1" applyFill="1" applyBorder="1" applyAlignment="1">
      <alignment horizontal="center" vertical="center" wrapText="1"/>
    </xf>
    <xf numFmtId="0" fontId="94" fillId="49" borderId="3" xfId="4" applyFont="1" applyFill="1" applyBorder="1" applyAlignment="1">
      <alignment horizontal="center" vertical="center" wrapText="1"/>
    </xf>
    <xf numFmtId="0" fontId="94" fillId="49" borderId="4" xfId="4" applyFont="1" applyFill="1" applyBorder="1" applyAlignment="1">
      <alignment horizontal="center" vertical="center" wrapText="1"/>
    </xf>
    <xf numFmtId="164" fontId="60" fillId="0" borderId="13" xfId="4" applyNumberFormat="1" applyFont="1" applyBorder="1" applyAlignment="1">
      <alignment horizontal="center" vertical="center"/>
    </xf>
    <xf numFmtId="0" fontId="35" fillId="0" borderId="39" xfId="4" applyFont="1" applyBorder="1" applyAlignment="1">
      <alignment horizontal="center" vertical="center" wrapText="1"/>
    </xf>
    <xf numFmtId="0" fontId="35" fillId="15" borderId="43" xfId="4" applyFont="1" applyFill="1" applyBorder="1" applyAlignment="1">
      <alignment horizontal="left" vertical="center" wrapText="1"/>
    </xf>
    <xf numFmtId="0" fontId="35" fillId="15" borderId="0" xfId="4" applyFont="1" applyFill="1"/>
    <xf numFmtId="0" fontId="35" fillId="15" borderId="52" xfId="4" applyFont="1" applyFill="1" applyBorder="1"/>
    <xf numFmtId="0" fontId="35" fillId="15" borderId="39" xfId="4" applyFont="1" applyFill="1" applyBorder="1" applyAlignment="1">
      <alignment horizontal="justify" vertical="center" wrapText="1"/>
    </xf>
    <xf numFmtId="0" fontId="16" fillId="0" borderId="37" xfId="0" applyFont="1" applyBorder="1" applyAlignment="1">
      <alignment horizontal="left" vertical="center" wrapText="1"/>
    </xf>
    <xf numFmtId="0" fontId="16" fillId="0" borderId="39" xfId="0" applyFont="1" applyBorder="1" applyAlignment="1">
      <alignment horizontal="left" vertical="center" wrapText="1"/>
    </xf>
    <xf numFmtId="0" fontId="48" fillId="15" borderId="66" xfId="4" applyFont="1" applyFill="1" applyBorder="1" applyAlignment="1">
      <alignment horizontal="center" vertical="center"/>
    </xf>
    <xf numFmtId="0" fontId="48" fillId="15" borderId="46" xfId="4" applyFont="1" applyFill="1" applyBorder="1" applyAlignment="1">
      <alignment horizontal="center" vertical="center"/>
    </xf>
    <xf numFmtId="0" fontId="48" fillId="15" borderId="73" xfId="4" applyFont="1" applyFill="1" applyBorder="1" applyAlignment="1">
      <alignment horizontal="center" vertical="center"/>
    </xf>
    <xf numFmtId="0" fontId="94" fillId="48" borderId="5" xfId="4" applyFont="1" applyFill="1" applyBorder="1" applyAlignment="1">
      <alignment horizontal="center" vertical="center" wrapText="1"/>
    </xf>
    <xf numFmtId="0" fontId="94" fillId="48" borderId="3" xfId="4" applyFont="1" applyFill="1" applyBorder="1" applyAlignment="1">
      <alignment horizontal="center" vertical="center" wrapText="1"/>
    </xf>
    <xf numFmtId="0" fontId="94" fillId="48" borderId="4" xfId="4" applyFont="1" applyFill="1" applyBorder="1" applyAlignment="1">
      <alignment horizontal="center" vertical="center" wrapText="1"/>
    </xf>
    <xf numFmtId="0" fontId="95" fillId="0" borderId="5" xfId="4" applyFont="1" applyBorder="1" applyAlignment="1">
      <alignment horizontal="center" vertical="center" wrapText="1"/>
    </xf>
    <xf numFmtId="164" fontId="60" fillId="0" borderId="8" xfId="4" applyNumberFormat="1" applyFont="1" applyBorder="1" applyAlignment="1">
      <alignment horizontal="center" vertical="center"/>
    </xf>
    <xf numFmtId="0" fontId="93" fillId="15" borderId="13" xfId="4" applyFont="1" applyFill="1" applyBorder="1" applyAlignment="1">
      <alignment horizontal="center" vertical="center" wrapText="1"/>
    </xf>
    <xf numFmtId="0" fontId="93" fillId="15" borderId="20" xfId="4" applyFont="1" applyFill="1" applyBorder="1" applyAlignment="1">
      <alignment horizontal="center" vertical="center" wrapText="1"/>
    </xf>
    <xf numFmtId="0" fontId="90" fillId="15" borderId="17" xfId="4" applyFont="1" applyFill="1" applyBorder="1" applyAlignment="1">
      <alignment horizontal="center" vertical="center" wrapText="1"/>
    </xf>
    <xf numFmtId="0" fontId="90" fillId="15" borderId="60" xfId="4" applyFont="1" applyFill="1" applyBorder="1" applyAlignment="1">
      <alignment horizontal="center" vertical="center" wrapText="1"/>
    </xf>
    <xf numFmtId="0" fontId="95" fillId="15" borderId="19" xfId="4" applyFont="1" applyFill="1" applyBorder="1" applyAlignment="1">
      <alignment horizontal="center" vertical="center" wrapText="1"/>
    </xf>
    <xf numFmtId="0" fontId="95" fillId="15" borderId="36" xfId="4" applyFont="1" applyFill="1" applyBorder="1" applyAlignment="1">
      <alignment horizontal="center" vertical="center" wrapText="1"/>
    </xf>
    <xf numFmtId="9" fontId="60" fillId="0" borderId="63" xfId="4" applyNumberFormat="1" applyFont="1" applyBorder="1" applyAlignment="1">
      <alignment horizontal="center" vertical="center"/>
    </xf>
    <xf numFmtId="9" fontId="60" fillId="0" borderId="65" xfId="4" applyNumberFormat="1" applyFont="1" applyBorder="1" applyAlignment="1">
      <alignment horizontal="center" vertical="center"/>
    </xf>
    <xf numFmtId="0" fontId="95" fillId="15" borderId="18" xfId="4" applyFont="1" applyFill="1" applyBorder="1" applyAlignment="1">
      <alignment horizontal="center" vertical="center" wrapText="1"/>
    </xf>
    <xf numFmtId="9" fontId="60" fillId="0" borderId="13" xfId="4" applyNumberFormat="1" applyFont="1" applyBorder="1" applyAlignment="1">
      <alignment horizontal="center" vertical="center"/>
    </xf>
    <xf numFmtId="9" fontId="60" fillId="0" borderId="31" xfId="4" applyNumberFormat="1" applyFont="1" applyBorder="1" applyAlignment="1">
      <alignment horizontal="center" vertical="center"/>
    </xf>
    <xf numFmtId="9" fontId="68" fillId="0" borderId="34" xfId="4" applyNumberFormat="1" applyFont="1" applyBorder="1" applyAlignment="1">
      <alignment horizontal="center" vertical="center"/>
    </xf>
    <xf numFmtId="0" fontId="37" fillId="15" borderId="39" xfId="4" applyFont="1" applyFill="1" applyBorder="1" applyAlignment="1">
      <alignment horizontal="left" vertical="center" wrapText="1"/>
    </xf>
    <xf numFmtId="0" fontId="37" fillId="15" borderId="39" xfId="4" applyFont="1" applyFill="1" applyBorder="1" applyAlignment="1">
      <alignment vertical="center" wrapText="1"/>
    </xf>
    <xf numFmtId="0" fontId="95" fillId="15" borderId="49" xfId="4" applyFont="1" applyFill="1" applyBorder="1" applyAlignment="1">
      <alignment horizontal="center" vertical="center" wrapText="1"/>
    </xf>
    <xf numFmtId="0" fontId="95" fillId="15" borderId="29" xfId="4" applyFont="1" applyFill="1" applyBorder="1" applyAlignment="1">
      <alignment horizontal="center" vertical="center" wrapText="1"/>
    </xf>
    <xf numFmtId="0" fontId="93" fillId="15" borderId="31" xfId="4" applyFont="1" applyFill="1" applyBorder="1" applyAlignment="1">
      <alignment horizontal="center" vertical="center" wrapText="1"/>
    </xf>
    <xf numFmtId="0" fontId="90" fillId="15" borderId="30" xfId="4" applyFont="1" applyFill="1" applyBorder="1" applyAlignment="1">
      <alignment horizontal="center" vertical="center" wrapText="1"/>
    </xf>
    <xf numFmtId="0" fontId="96" fillId="15" borderId="4" xfId="4" applyFont="1" applyFill="1" applyBorder="1" applyAlignment="1">
      <alignment horizontal="center" vertical="center" wrapText="1"/>
    </xf>
    <xf numFmtId="0" fontId="96" fillId="15" borderId="18" xfId="4" applyFont="1" applyFill="1" applyBorder="1" applyAlignment="1">
      <alignment horizontal="center" vertical="center" wrapText="1"/>
    </xf>
    <xf numFmtId="0" fontId="35" fillId="15" borderId="37" xfId="4" applyFont="1" applyFill="1" applyBorder="1" applyAlignment="1">
      <alignment horizontal="left" vertical="center" wrapText="1"/>
    </xf>
    <xf numFmtId="0" fontId="35" fillId="15" borderId="37" xfId="4" applyFont="1" applyFill="1" applyBorder="1" applyAlignment="1">
      <alignment vertical="center" wrapText="1"/>
    </xf>
    <xf numFmtId="0" fontId="95" fillId="15" borderId="24" xfId="4" applyFont="1" applyFill="1" applyBorder="1" applyAlignment="1">
      <alignment horizontal="center" vertical="center" wrapText="1"/>
    </xf>
    <xf numFmtId="9" fontId="60" fillId="0" borderId="20" xfId="4" applyNumberFormat="1" applyFont="1" applyBorder="1" applyAlignment="1">
      <alignment horizontal="center" vertical="center"/>
    </xf>
    <xf numFmtId="0" fontId="48" fillId="0" borderId="23" xfId="4" applyFont="1" applyBorder="1" applyAlignment="1">
      <alignment horizontal="center" vertical="center"/>
    </xf>
    <xf numFmtId="0" fontId="48" fillId="0" borderId="60" xfId="4" applyFont="1" applyBorder="1" applyAlignment="1">
      <alignment horizontal="center" vertical="center"/>
    </xf>
    <xf numFmtId="0" fontId="48" fillId="0" borderId="64" xfId="4" applyFont="1" applyBorder="1" applyAlignment="1">
      <alignment horizontal="center" vertical="center"/>
    </xf>
    <xf numFmtId="0" fontId="94" fillId="47" borderId="61" xfId="4" applyFont="1" applyFill="1" applyBorder="1" applyAlignment="1">
      <alignment horizontal="center" vertical="center" wrapText="1"/>
    </xf>
    <xf numFmtId="0" fontId="35" fillId="0" borderId="50" xfId="4" applyFont="1" applyBorder="1"/>
    <xf numFmtId="0" fontId="62" fillId="0" borderId="40" xfId="4" applyFont="1" applyBorder="1" applyAlignment="1">
      <alignment horizontal="center" vertical="center"/>
    </xf>
    <xf numFmtId="0" fontId="35" fillId="0" borderId="49" xfId="4" applyFont="1" applyBorder="1"/>
    <xf numFmtId="0" fontId="35" fillId="23" borderId="39" xfId="10" applyFont="1" applyFill="1" applyBorder="1" applyAlignment="1">
      <alignment horizontal="left" vertical="center" wrapText="1"/>
    </xf>
    <xf numFmtId="0" fontId="35" fillId="23" borderId="41" xfId="10" applyFont="1" applyFill="1" applyBorder="1" applyAlignment="1">
      <alignment horizontal="left" vertical="center" wrapText="1"/>
    </xf>
    <xf numFmtId="0" fontId="47" fillId="15" borderId="27" xfId="4" applyFont="1" applyFill="1" applyBorder="1" applyAlignment="1">
      <alignment horizontal="center" vertical="center" wrapText="1"/>
    </xf>
    <xf numFmtId="0" fontId="47" fillId="15" borderId="38" xfId="4" applyFont="1" applyFill="1" applyBorder="1" applyAlignment="1">
      <alignment horizontal="center" vertical="center" wrapText="1"/>
    </xf>
    <xf numFmtId="0" fontId="47" fillId="15" borderId="26" xfId="4" applyFont="1" applyFill="1" applyBorder="1" applyAlignment="1">
      <alignment horizontal="center" vertical="center" wrapText="1"/>
    </xf>
    <xf numFmtId="0" fontId="47" fillId="15" borderId="49" xfId="4" applyFont="1" applyFill="1" applyBorder="1" applyAlignment="1">
      <alignment horizontal="center" vertical="center" wrapText="1"/>
    </xf>
    <xf numFmtId="0" fontId="47" fillId="15" borderId="0" xfId="4" applyFont="1" applyFill="1" applyAlignment="1">
      <alignment horizontal="center" vertical="center" wrapText="1"/>
    </xf>
    <xf numFmtId="0" fontId="47" fillId="15" borderId="50" xfId="4" applyFont="1" applyFill="1" applyBorder="1" applyAlignment="1">
      <alignment horizontal="center" vertical="center" wrapText="1"/>
    </xf>
    <xf numFmtId="0" fontId="42" fillId="24" borderId="27" xfId="0" applyFont="1" applyFill="1" applyBorder="1" applyAlignment="1">
      <alignment horizontal="center" vertical="center"/>
    </xf>
    <xf numFmtId="0" fontId="42" fillId="24" borderId="38" xfId="0" applyFont="1" applyFill="1" applyBorder="1" applyAlignment="1">
      <alignment horizontal="center" vertical="center"/>
    </xf>
    <xf numFmtId="0" fontId="42" fillId="24" borderId="26" xfId="0" applyFont="1" applyFill="1" applyBorder="1" applyAlignment="1">
      <alignment horizontal="center" vertical="center"/>
    </xf>
    <xf numFmtId="0" fontId="42" fillId="24" borderId="29" xfId="0" applyFont="1" applyFill="1" applyBorder="1" applyAlignment="1">
      <alignment horizontal="center" vertical="center"/>
    </xf>
    <xf numFmtId="0" fontId="42" fillId="24" borderId="37" xfId="0" applyFont="1" applyFill="1" applyBorder="1" applyAlignment="1">
      <alignment horizontal="center" vertical="center"/>
    </xf>
    <xf numFmtId="0" fontId="42" fillId="24" borderId="28" xfId="0" applyFont="1" applyFill="1" applyBorder="1" applyAlignment="1">
      <alignment horizontal="center" vertical="center"/>
    </xf>
    <xf numFmtId="0" fontId="43" fillId="25" borderId="27" xfId="0" applyFont="1" applyFill="1" applyBorder="1" applyAlignment="1">
      <alignment horizontal="center" vertical="center"/>
    </xf>
    <xf numFmtId="0" fontId="43" fillId="25" borderId="38" xfId="0" applyFont="1" applyFill="1" applyBorder="1" applyAlignment="1">
      <alignment horizontal="center" vertical="center"/>
    </xf>
    <xf numFmtId="0" fontId="43" fillId="25" borderId="26" xfId="0" applyFont="1" applyFill="1" applyBorder="1" applyAlignment="1">
      <alignment horizontal="center" vertical="center"/>
    </xf>
    <xf numFmtId="0" fontId="43" fillId="25" borderId="29" xfId="0" applyFont="1" applyFill="1" applyBorder="1" applyAlignment="1">
      <alignment horizontal="center" vertical="center"/>
    </xf>
    <xf numFmtId="0" fontId="43" fillId="25" borderId="37" xfId="0" applyFont="1" applyFill="1" applyBorder="1" applyAlignment="1">
      <alignment horizontal="center" vertical="center"/>
    </xf>
    <xf numFmtId="0" fontId="43" fillId="25" borderId="28" xfId="0" applyFont="1" applyFill="1" applyBorder="1" applyAlignment="1">
      <alignment horizontal="center" vertical="center"/>
    </xf>
    <xf numFmtId="0" fontId="35" fillId="0" borderId="49" xfId="4" applyFont="1" applyBorder="1" applyAlignment="1">
      <alignment horizontal="center"/>
    </xf>
    <xf numFmtId="0" fontId="35" fillId="0" borderId="0" xfId="4" applyFont="1" applyAlignment="1">
      <alignment horizontal="center"/>
    </xf>
    <xf numFmtId="0" fontId="42" fillId="51" borderId="38" xfId="0" applyFont="1" applyFill="1" applyBorder="1" applyAlignment="1">
      <alignment horizontal="left" vertical="center"/>
    </xf>
    <xf numFmtId="0" fontId="42" fillId="51" borderId="26" xfId="0" applyFont="1" applyFill="1" applyBorder="1" applyAlignment="1">
      <alignment horizontal="left" vertical="center"/>
    </xf>
    <xf numFmtId="0" fontId="42" fillId="51" borderId="0" xfId="0" applyFont="1" applyFill="1" applyAlignment="1">
      <alignment horizontal="left" vertical="center"/>
    </xf>
    <xf numFmtId="0" fontId="42" fillId="51" borderId="50" xfId="0" applyFont="1" applyFill="1" applyBorder="1" applyAlignment="1">
      <alignment horizontal="left" vertical="center"/>
    </xf>
    <xf numFmtId="0" fontId="41" fillId="44" borderId="40" xfId="0" applyFont="1" applyFill="1" applyBorder="1" applyAlignment="1">
      <alignment horizontal="center" vertical="center" wrapText="1"/>
    </xf>
    <xf numFmtId="0" fontId="41" fillId="44" borderId="53" xfId="0" applyFont="1" applyFill="1" applyBorder="1" applyAlignment="1">
      <alignment horizontal="center" vertical="center" wrapText="1"/>
    </xf>
    <xf numFmtId="0" fontId="41" fillId="45" borderId="45" xfId="0" applyFont="1" applyFill="1" applyBorder="1" applyAlignment="1">
      <alignment horizontal="center" vertical="center"/>
    </xf>
    <xf numFmtId="0" fontId="41" fillId="45" borderId="40" xfId="0" applyFont="1" applyFill="1" applyBorder="1" applyAlignment="1">
      <alignment horizontal="center" vertical="center"/>
    </xf>
    <xf numFmtId="0" fontId="17" fillId="0" borderId="3" xfId="0" applyFont="1" applyBorder="1" applyAlignment="1">
      <alignment horizontal="center" vertical="center" wrapText="1"/>
    </xf>
    <xf numFmtId="0" fontId="0" fillId="0" borderId="3" xfId="0" applyBorder="1" applyAlignment="1">
      <alignment horizontal="center" vertical="center" wrapText="1"/>
    </xf>
    <xf numFmtId="0" fontId="77" fillId="0" borderId="0" xfId="0" applyFont="1" applyAlignment="1">
      <alignment horizontal="center" vertical="center" wrapText="1"/>
    </xf>
    <xf numFmtId="0" fontId="77" fillId="0" borderId="3" xfId="0" applyFont="1" applyBorder="1" applyAlignment="1">
      <alignment horizontal="center" vertical="center" wrapText="1"/>
    </xf>
    <xf numFmtId="0" fontId="35" fillId="0" borderId="3" xfId="0" applyFont="1" applyBorder="1" applyAlignment="1">
      <alignment horizontal="center" vertical="center" wrapText="1"/>
    </xf>
    <xf numFmtId="14" fontId="37" fillId="15" borderId="18" xfId="0" applyNumberFormat="1" applyFont="1" applyFill="1" applyBorder="1" applyAlignment="1">
      <alignment horizontal="center" vertical="center" wrapText="1"/>
    </xf>
    <xf numFmtId="0" fontId="35" fillId="31" borderId="4" xfId="0" applyFont="1" applyFill="1" applyBorder="1" applyAlignment="1">
      <alignment horizontal="center" vertical="center" wrapText="1"/>
    </xf>
    <xf numFmtId="0" fontId="35" fillId="31" borderId="18" xfId="0" applyFont="1" applyFill="1" applyBorder="1" applyAlignment="1">
      <alignment horizontal="center" vertical="center" wrapText="1"/>
    </xf>
    <xf numFmtId="0" fontId="17" fillId="0" borderId="3" xfId="0" applyFont="1" applyBorder="1" applyAlignment="1">
      <alignment horizontal="center" vertical="center"/>
    </xf>
    <xf numFmtId="0" fontId="17" fillId="0" borderId="18" xfId="0" applyFont="1" applyBorder="1" applyAlignment="1">
      <alignment horizontal="justify" vertical="center" wrapText="1"/>
    </xf>
    <xf numFmtId="0" fontId="17" fillId="0" borderId="3" xfId="0" applyFont="1" applyBorder="1" applyAlignment="1">
      <alignment horizontal="justify" vertical="center" wrapText="1"/>
    </xf>
    <xf numFmtId="0" fontId="17" fillId="0" borderId="0" xfId="0" applyFont="1" applyAlignment="1">
      <alignment horizontal="center" vertical="center" wrapText="1"/>
    </xf>
    <xf numFmtId="0" fontId="34" fillId="37" borderId="4" xfId="0" applyFont="1" applyFill="1" applyBorder="1" applyAlignment="1">
      <alignment horizontal="center" vertical="center" wrapText="1"/>
    </xf>
    <xf numFmtId="0" fontId="34" fillId="37" borderId="18" xfId="0" applyFont="1" applyFill="1" applyBorder="1" applyAlignment="1">
      <alignment horizontal="center" vertical="center" wrapText="1"/>
    </xf>
    <xf numFmtId="0" fontId="34" fillId="37" borderId="24" xfId="0" applyFont="1" applyFill="1" applyBorder="1" applyAlignment="1">
      <alignment horizontal="center" vertical="center" wrapText="1"/>
    </xf>
    <xf numFmtId="14" fontId="77" fillId="15" borderId="4" xfId="0" applyNumberFormat="1" applyFont="1" applyFill="1" applyBorder="1" applyAlignment="1">
      <alignment horizontal="center" vertical="center" wrapText="1"/>
    </xf>
    <xf numFmtId="14" fontId="77" fillId="15" borderId="18" xfId="0" applyNumberFormat="1" applyFont="1" applyFill="1" applyBorder="1" applyAlignment="1">
      <alignment horizontal="center" vertical="center" wrapText="1"/>
    </xf>
    <xf numFmtId="0" fontId="77" fillId="15" borderId="4" xfId="0" applyFont="1" applyFill="1" applyBorder="1" applyAlignment="1">
      <alignment horizontal="center" vertical="center" wrapText="1"/>
    </xf>
    <xf numFmtId="0" fontId="77" fillId="15" borderId="18" xfId="0" applyFont="1" applyFill="1" applyBorder="1" applyAlignment="1">
      <alignment horizontal="center" vertical="center" wrapText="1"/>
    </xf>
    <xf numFmtId="0" fontId="0" fillId="0" borderId="4" xfId="0" applyBorder="1" applyAlignment="1">
      <alignment horizontal="center" vertical="center" wrapText="1"/>
    </xf>
    <xf numFmtId="0" fontId="0" fillId="0" borderId="18" xfId="0"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89" fillId="0" borderId="4" xfId="0" applyFont="1" applyBorder="1" applyAlignment="1">
      <alignment horizontal="center" vertical="center" wrapText="1"/>
    </xf>
    <xf numFmtId="0" fontId="89" fillId="0" borderId="18" xfId="0" applyFont="1" applyBorder="1" applyAlignment="1">
      <alignment horizontal="center" vertical="center" wrapText="1"/>
    </xf>
    <xf numFmtId="0" fontId="77" fillId="0" borderId="4" xfId="0" applyFont="1" applyBorder="1" applyAlignment="1">
      <alignment horizontal="center" vertical="center" wrapText="1"/>
    </xf>
    <xf numFmtId="0" fontId="77" fillId="0" borderId="18" xfId="0" applyFont="1" applyBorder="1" applyAlignment="1">
      <alignment horizontal="center" vertical="center" wrapText="1"/>
    </xf>
    <xf numFmtId="14" fontId="77" fillId="0" borderId="4" xfId="0" applyNumberFormat="1" applyFont="1" applyBorder="1" applyAlignment="1">
      <alignment horizontal="center" vertical="center" wrapText="1"/>
    </xf>
    <xf numFmtId="14" fontId="77" fillId="0" borderId="18" xfId="0" applyNumberFormat="1"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39" fillId="17" borderId="27" xfId="0" applyFont="1" applyFill="1" applyBorder="1" applyAlignment="1">
      <alignment horizontal="center" vertical="center"/>
    </xf>
    <xf numFmtId="0" fontId="39" fillId="17" borderId="49" xfId="0" applyFont="1" applyFill="1" applyBorder="1" applyAlignment="1">
      <alignment horizontal="center" vertical="center"/>
    </xf>
    <xf numFmtId="0" fontId="39" fillId="17" borderId="45" xfId="0" applyFont="1" applyFill="1" applyBorder="1" applyAlignment="1">
      <alignment horizontal="center" vertical="center"/>
    </xf>
    <xf numFmtId="0" fontId="25" fillId="25" borderId="3" xfId="0" applyFont="1" applyFill="1" applyBorder="1" applyAlignment="1">
      <alignment vertical="center" wrapText="1"/>
    </xf>
    <xf numFmtId="0" fontId="25" fillId="25" borderId="3" xfId="0" applyFont="1" applyFill="1" applyBorder="1" applyAlignment="1">
      <alignment vertical="center"/>
    </xf>
    <xf numFmtId="1" fontId="0" fillId="0" borderId="3" xfId="6" applyNumberFormat="1" applyFont="1" applyFill="1" applyBorder="1" applyAlignment="1">
      <alignment horizontal="center" vertical="center"/>
    </xf>
    <xf numFmtId="1" fontId="17" fillId="0" borderId="3" xfId="0" applyNumberFormat="1" applyFont="1" applyBorder="1" applyAlignment="1">
      <alignment horizontal="center" vertical="center" wrapText="1"/>
    </xf>
    <xf numFmtId="1" fontId="50" fillId="0" borderId="3" xfId="6" applyNumberFormat="1" applyFill="1" applyBorder="1" applyAlignment="1">
      <alignment horizontal="center" vertical="center"/>
    </xf>
    <xf numFmtId="49" fontId="50" fillId="0" borderId="3" xfId="6" applyFill="1" applyBorder="1" applyAlignment="1">
      <alignment horizontal="center" vertical="center"/>
    </xf>
    <xf numFmtId="0" fontId="17" fillId="0" borderId="3" xfId="0" applyFont="1" applyBorder="1" applyAlignment="1">
      <alignment horizontal="center" wrapText="1"/>
    </xf>
    <xf numFmtId="0" fontId="0" fillId="0" borderId="3" xfId="6" applyNumberFormat="1" applyFont="1" applyFill="1" applyBorder="1" applyAlignment="1">
      <alignment horizontal="center" vertical="center" wrapText="1"/>
    </xf>
    <xf numFmtId="49" fontId="35" fillId="0" borderId="3" xfId="0" applyNumberFormat="1" applyFont="1" applyBorder="1" applyAlignment="1">
      <alignment horizontal="center" vertical="center" wrapText="1"/>
    </xf>
    <xf numFmtId="49" fontId="0" fillId="0" borderId="3" xfId="6" applyFont="1" applyFill="1" applyBorder="1" applyAlignment="1">
      <alignment horizontal="center" vertical="center" wrapText="1"/>
    </xf>
    <xf numFmtId="0" fontId="35" fillId="0" borderId="3" xfId="0" applyFont="1" applyBorder="1" applyAlignment="1">
      <alignment horizontal="center" vertical="center"/>
    </xf>
    <xf numFmtId="0" fontId="35" fillId="0" borderId="3" xfId="0" applyFont="1" applyBorder="1" applyAlignment="1">
      <alignment horizontal="center"/>
    </xf>
    <xf numFmtId="49" fontId="0" fillId="0" borderId="3" xfId="6" applyFont="1" applyFill="1" applyBorder="1" applyAlignment="1">
      <alignment horizontal="center" vertical="center"/>
    </xf>
    <xf numFmtId="0" fontId="35" fillId="0" borderId="3" xfId="0" applyFont="1" applyBorder="1" applyAlignment="1">
      <alignment horizontal="center" wrapText="1"/>
    </xf>
    <xf numFmtId="0" fontId="58" fillId="0" borderId="3" xfId="0" applyFont="1" applyBorder="1" applyAlignment="1">
      <alignment horizontal="center" vertical="center" wrapText="1"/>
    </xf>
    <xf numFmtId="1" fontId="0" fillId="0" borderId="3" xfId="0" applyNumberFormat="1" applyBorder="1" applyAlignment="1">
      <alignment horizontal="center" vertical="center" wrapText="1"/>
    </xf>
    <xf numFmtId="1" fontId="0" fillId="0" borderId="3" xfId="0" applyNumberFormat="1" applyBorder="1" applyAlignment="1">
      <alignment horizontal="center" vertical="center"/>
    </xf>
    <xf numFmtId="1" fontId="37" fillId="0" borderId="3" xfId="0" applyNumberFormat="1" applyFont="1" applyBorder="1" applyAlignment="1">
      <alignment horizontal="center" vertical="center" wrapText="1"/>
    </xf>
    <xf numFmtId="0" fontId="17" fillId="0" borderId="3" xfId="0" applyFont="1" applyBorder="1" applyAlignment="1">
      <alignment vertical="center" wrapText="1"/>
    </xf>
    <xf numFmtId="0" fontId="17" fillId="0" borderId="3" xfId="0" applyFont="1" applyBorder="1" applyAlignment="1">
      <alignment horizontal="justify" vertical="justify" wrapText="1"/>
    </xf>
    <xf numFmtId="0" fontId="0" fillId="0" borderId="3" xfId="0" applyBorder="1" applyAlignment="1">
      <alignment vertical="center" wrapText="1"/>
    </xf>
    <xf numFmtId="0" fontId="0" fillId="0" borderId="3" xfId="0" applyBorder="1" applyAlignment="1">
      <alignment horizontal="justify" vertical="justify" wrapText="1"/>
    </xf>
    <xf numFmtId="0" fontId="35" fillId="0" borderId="3" xfId="0" applyFont="1" applyBorder="1" applyAlignment="1">
      <alignment vertical="center" wrapText="1"/>
    </xf>
    <xf numFmtId="0" fontId="17" fillId="0" borderId="3" xfId="0" applyFont="1" applyBorder="1" applyAlignment="1">
      <alignment wrapText="1"/>
    </xf>
    <xf numFmtId="0" fontId="101" fillId="0" borderId="3" xfId="0" applyFont="1" applyBorder="1" applyAlignment="1">
      <alignment vertical="center" wrapText="1"/>
    </xf>
    <xf numFmtId="0" fontId="19" fillId="0" borderId="3" xfId="0" applyFont="1" applyBorder="1" applyAlignment="1">
      <alignment vertical="center" wrapText="1"/>
    </xf>
    <xf numFmtId="0" fontId="104" fillId="0" borderId="3" xfId="0" applyFont="1" applyBorder="1" applyAlignment="1">
      <alignment horizontal="center" wrapText="1"/>
    </xf>
    <xf numFmtId="0" fontId="17" fillId="0" borderId="3" xfId="0" applyFont="1" applyBorder="1" applyAlignment="1">
      <alignment horizontal="left" vertical="center" wrapText="1"/>
    </xf>
    <xf numFmtId="0" fontId="37" fillId="0" borderId="3" xfId="0" applyFont="1" applyBorder="1" applyAlignment="1">
      <alignment vertical="center" wrapText="1"/>
    </xf>
    <xf numFmtId="0" fontId="35" fillId="0" borderId="3" xfId="0" applyFont="1" applyBorder="1" applyAlignment="1">
      <alignment wrapText="1"/>
    </xf>
    <xf numFmtId="0" fontId="58" fillId="0" borderId="3" xfId="0" applyFont="1" applyBorder="1" applyAlignment="1">
      <alignment horizontal="left" vertical="center" wrapText="1"/>
    </xf>
    <xf numFmtId="0" fontId="78" fillId="0" borderId="3" xfId="0" applyFont="1" applyBorder="1" applyAlignment="1">
      <alignment vertical="center" wrapText="1"/>
    </xf>
    <xf numFmtId="0" fontId="78" fillId="0" borderId="3" xfId="0" applyFont="1" applyBorder="1"/>
    <xf numFmtId="0" fontId="78" fillId="0" borderId="3" xfId="0" applyFont="1" applyBorder="1" applyAlignment="1">
      <alignment wrapText="1"/>
    </xf>
    <xf numFmtId="0" fontId="78" fillId="0" borderId="3" xfId="0" applyFont="1" applyBorder="1" applyAlignment="1">
      <alignment horizontal="left" vertical="center"/>
    </xf>
    <xf numFmtId="0" fontId="0" fillId="0" borderId="3" xfId="0" applyBorder="1" applyAlignment="1">
      <alignment wrapText="1"/>
    </xf>
    <xf numFmtId="0" fontId="105" fillId="0" borderId="3" xfId="0" applyFont="1" applyBorder="1" applyAlignment="1">
      <alignment wrapText="1"/>
    </xf>
    <xf numFmtId="0" fontId="78" fillId="0" borderId="3" xfId="0" applyFont="1" applyBorder="1" applyAlignment="1">
      <alignment horizontal="left" vertical="center" wrapText="1"/>
    </xf>
    <xf numFmtId="0" fontId="106" fillId="0" borderId="3" xfId="0" applyFont="1" applyBorder="1"/>
    <xf numFmtId="49" fontId="0" fillId="0" borderId="3" xfId="0" applyNumberFormat="1" applyBorder="1" applyAlignment="1">
      <alignment vertical="center" wrapText="1"/>
    </xf>
    <xf numFmtId="0" fontId="105" fillId="0" borderId="3" xfId="0" applyFont="1" applyBorder="1" applyAlignment="1">
      <alignment vertical="center" wrapText="1"/>
    </xf>
    <xf numFmtId="0" fontId="77" fillId="0" borderId="3" xfId="0" applyFont="1" applyBorder="1"/>
    <xf numFmtId="0" fontId="34" fillId="42" borderId="14" xfId="0" applyFont="1" applyFill="1" applyBorder="1" applyAlignment="1">
      <alignment horizontal="center" vertical="center" wrapText="1"/>
    </xf>
    <xf numFmtId="0" fontId="8" fillId="0" borderId="3" xfId="0" applyFont="1" applyBorder="1" applyAlignment="1">
      <alignment horizontal="center" vertical="center" wrapText="1"/>
    </xf>
    <xf numFmtId="0" fontId="17" fillId="0" borderId="3" xfId="0" applyFont="1" applyBorder="1" applyAlignment="1">
      <alignment horizontal="center"/>
    </xf>
    <xf numFmtId="0" fontId="37" fillId="0" borderId="3" xfId="0" applyFont="1" applyBorder="1" applyAlignment="1">
      <alignment horizontal="center" vertical="center" wrapText="1"/>
    </xf>
    <xf numFmtId="17" fontId="0" fillId="0" borderId="3" xfId="0" applyNumberFormat="1" applyBorder="1" applyAlignment="1">
      <alignment horizontal="center" vertical="center" wrapText="1"/>
    </xf>
    <xf numFmtId="0" fontId="8" fillId="0" borderId="3" xfId="0" applyFont="1" applyBorder="1" applyAlignment="1">
      <alignment horizontal="center" wrapText="1"/>
    </xf>
    <xf numFmtId="0" fontId="78" fillId="0" borderId="3" xfId="0" applyFont="1" applyBorder="1" applyAlignment="1">
      <alignment horizontal="center" wrapText="1"/>
    </xf>
    <xf numFmtId="42" fontId="17" fillId="0" borderId="3" xfId="13" applyFont="1" applyFill="1" applyBorder="1" applyAlignment="1">
      <alignment horizontal="right" vertical="center" wrapText="1"/>
    </xf>
    <xf numFmtId="42" fontId="17" fillId="0" borderId="3" xfId="13" applyFont="1" applyFill="1" applyBorder="1" applyAlignment="1">
      <alignment horizontal="right" wrapText="1"/>
    </xf>
    <xf numFmtId="42" fontId="78" fillId="0" borderId="3" xfId="13" applyFont="1" applyFill="1" applyBorder="1" applyAlignment="1">
      <alignment horizontal="right" vertical="center" wrapText="1"/>
    </xf>
    <xf numFmtId="42" fontId="35" fillId="0" borderId="3" xfId="13" applyFont="1" applyFill="1" applyBorder="1" applyAlignment="1">
      <alignment horizontal="center" vertical="center" wrapText="1"/>
    </xf>
    <xf numFmtId="41" fontId="0" fillId="0" borderId="3" xfId="0" applyNumberFormat="1" applyBorder="1" applyAlignment="1">
      <alignment horizontal="center" vertical="center" wrapText="1"/>
    </xf>
    <xf numFmtId="42" fontId="35" fillId="0" borderId="3" xfId="14" applyFont="1" applyFill="1" applyBorder="1" applyAlignment="1">
      <alignment horizontal="center" vertical="center" wrapText="1"/>
    </xf>
    <xf numFmtId="42" fontId="58" fillId="0" borderId="3" xfId="13" applyFont="1" applyFill="1" applyBorder="1" applyAlignment="1">
      <alignment horizontal="right" vertical="center" wrapText="1"/>
    </xf>
    <xf numFmtId="42" fontId="108" fillId="0" borderId="80" xfId="0" applyNumberFormat="1" applyFont="1" applyBorder="1" applyAlignment="1">
      <alignment horizontal="left" vertical="center" wrapText="1"/>
    </xf>
    <xf numFmtId="42" fontId="17" fillId="0" borderId="3" xfId="14" applyFont="1" applyFill="1" applyBorder="1" applyAlignment="1">
      <alignment horizontal="right" vertical="center" wrapText="1"/>
    </xf>
    <xf numFmtId="42" fontId="0" fillId="0" borderId="3" xfId="14" applyFont="1" applyFill="1" applyBorder="1" applyAlignment="1">
      <alignment vertical="center"/>
    </xf>
    <xf numFmtId="44" fontId="17" fillId="0" borderId="3" xfId="12" applyFont="1" applyFill="1" applyBorder="1" applyAlignment="1">
      <alignment wrapText="1"/>
    </xf>
    <xf numFmtId="42" fontId="17" fillId="0" borderId="3" xfId="12" applyNumberFormat="1" applyFont="1" applyFill="1" applyBorder="1" applyAlignment="1">
      <alignment horizontal="center" vertical="center" wrapText="1"/>
    </xf>
    <xf numFmtId="42" fontId="17" fillId="0" borderId="3" xfId="12" applyNumberFormat="1" applyFont="1" applyFill="1" applyBorder="1" applyAlignment="1">
      <alignment wrapText="1"/>
    </xf>
    <xf numFmtId="6" fontId="17" fillId="0" borderId="3" xfId="14" applyNumberFormat="1" applyFont="1" applyFill="1" applyBorder="1" applyAlignment="1">
      <alignment horizontal="right" vertical="center" wrapText="1"/>
    </xf>
    <xf numFmtId="42" fontId="77" fillId="0" borderId="3" xfId="14" applyFont="1" applyFill="1" applyBorder="1" applyAlignment="1">
      <alignment vertical="center" wrapText="1"/>
    </xf>
    <xf numFmtId="42" fontId="17" fillId="0" borderId="3" xfId="0" applyNumberFormat="1" applyFont="1" applyBorder="1" applyAlignment="1">
      <alignment horizontal="center" vertical="center" wrapText="1"/>
    </xf>
    <xf numFmtId="42" fontId="0" fillId="0" borderId="3" xfId="14" applyFont="1" applyFill="1" applyBorder="1" applyAlignment="1">
      <alignment horizontal="center" vertical="center" wrapText="1"/>
    </xf>
    <xf numFmtId="42" fontId="88" fillId="0" borderId="3" xfId="14" applyFont="1" applyFill="1" applyBorder="1" applyAlignment="1">
      <alignment horizontal="center" vertical="center" wrapText="1"/>
    </xf>
    <xf numFmtId="42" fontId="35" fillId="0" borderId="3" xfId="0" applyNumberFormat="1" applyFont="1" applyBorder="1" applyAlignment="1">
      <alignment vertical="center" wrapText="1"/>
    </xf>
    <xf numFmtId="42" fontId="35" fillId="0" borderId="3" xfId="0" applyNumberFormat="1" applyFont="1" applyBorder="1" applyAlignment="1">
      <alignment wrapText="1"/>
    </xf>
    <xf numFmtId="42" fontId="35" fillId="0" borderId="3" xfId="14" applyFont="1" applyFill="1" applyBorder="1" applyAlignment="1">
      <alignment horizontal="right" vertical="center" wrapText="1"/>
    </xf>
    <xf numFmtId="42" fontId="58" fillId="0" borderId="3" xfId="14" applyFont="1" applyFill="1" applyBorder="1" applyAlignment="1">
      <alignment horizontal="left" vertical="center" wrapText="1"/>
    </xf>
    <xf numFmtId="42" fontId="58" fillId="0" borderId="3" xfId="0" applyNumberFormat="1" applyFont="1" applyBorder="1" applyAlignment="1">
      <alignment horizontal="left" vertical="center" wrapText="1"/>
    </xf>
    <xf numFmtId="42" fontId="58" fillId="0" borderId="3" xfId="12" applyNumberFormat="1" applyFont="1" applyFill="1" applyBorder="1" applyAlignment="1">
      <alignment horizontal="left" vertical="center" wrapText="1"/>
    </xf>
    <xf numFmtId="42" fontId="78" fillId="0" borderId="3" xfId="14" applyFont="1" applyFill="1" applyBorder="1" applyAlignment="1">
      <alignment horizontal="right" vertical="center" wrapText="1"/>
    </xf>
    <xf numFmtId="0" fontId="8" fillId="0" borderId="3" xfId="0" applyFont="1" applyBorder="1" applyAlignment="1">
      <alignment wrapText="1"/>
    </xf>
    <xf numFmtId="0" fontId="17" fillId="0" borderId="3" xfId="0" applyFont="1" applyBorder="1" applyAlignment="1">
      <alignment horizontal="left" wrapText="1"/>
    </xf>
    <xf numFmtId="0" fontId="17" fillId="0" borderId="3" xfId="0" applyFont="1" applyBorder="1" applyAlignment="1">
      <alignment vertical="center"/>
    </xf>
    <xf numFmtId="0" fontId="35" fillId="0" borderId="3" xfId="0" applyFont="1" applyBorder="1" applyAlignment="1">
      <alignment horizontal="left" vertical="center" wrapText="1"/>
    </xf>
    <xf numFmtId="0" fontId="88" fillId="0" borderId="3" xfId="0" applyFont="1" applyBorder="1" applyAlignment="1">
      <alignment vertical="center" wrapText="1"/>
    </xf>
    <xf numFmtId="0" fontId="35" fillId="0" borderId="3" xfId="0" applyFont="1" applyBorder="1" applyAlignment="1">
      <alignment horizontal="left" wrapText="1"/>
    </xf>
    <xf numFmtId="0" fontId="58" fillId="0" borderId="3" xfId="0" applyFont="1" applyBorder="1" applyAlignment="1">
      <alignment vertical="center" wrapText="1"/>
    </xf>
    <xf numFmtId="166" fontId="78" fillId="0" borderId="3" xfId="0" applyNumberFormat="1" applyFont="1" applyBorder="1" applyAlignment="1">
      <alignment horizontal="left" vertical="center" wrapText="1"/>
    </xf>
    <xf numFmtId="0" fontId="0" fillId="0" borderId="3" xfId="0" applyBorder="1" applyAlignment="1">
      <alignment horizontal="left"/>
    </xf>
    <xf numFmtId="0" fontId="78" fillId="0" borderId="3" xfId="0" applyFont="1" applyBorder="1" applyAlignment="1">
      <alignment horizontal="left" wrapText="1"/>
    </xf>
    <xf numFmtId="0" fontId="109" fillId="0" borderId="3" xfId="0" applyFont="1" applyBorder="1" applyAlignment="1">
      <alignment horizontal="left" wrapText="1"/>
    </xf>
  </cellXfs>
  <cellStyles count="15">
    <cellStyle name="BodyStyle" xfId="6" xr:uid="{4B07DE25-44A9-4C6D-9D4A-C1DCA38E3160}"/>
    <cellStyle name="Currency" xfId="7" xr:uid="{03572155-C162-4791-9109-C10292CBF250}"/>
    <cellStyle name="HeaderStyle" xfId="5" xr:uid="{ACF2BE0B-6308-4E70-9C67-70CC8A6F1CE4}"/>
    <cellStyle name="Moneda" xfId="12" builtinId="4"/>
    <cellStyle name="Moneda [0]" xfId="13" builtinId="7"/>
    <cellStyle name="Moneda [0] 2" xfId="14"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4" xfId="11" xr:uid="{9F39EDBA-C3B6-4186-879C-9E462FD6FBA0}"/>
    <cellStyle name="Normal 98" xfId="3" xr:uid="{FE56FDC3-B997-4D23-979B-AD55E7AB71E0}"/>
    <cellStyle name="Porcentaje" xfId="1" builtinId="5"/>
    <cellStyle name="Porcentaje 2" xfId="9" xr:uid="{4373C23F-B165-471E-A82A-D4734129498A}"/>
  </cellStyles>
  <dxfs count="188">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532963"/>
      <color rgb="FF9B4CBA"/>
      <color rgb="FFE63992"/>
      <color rgb="FF95E069"/>
      <color rgb="FFBB0113"/>
      <color rgb="FF5BE3F5"/>
      <color rgb="FFFF33CC"/>
      <color rgb="FFC3FF9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1.0526315789473681</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0.83</c:v>
                </c:pt>
                <c:pt idx="8">
                  <c:v>1.0368421052631578</c:v>
                </c:pt>
                <c:pt idx="9">
                  <c:v>1.0003560981813557</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1.3157894736842106</c:v>
                </c:pt>
                <c:pt idx="7">
                  <c:v>0</c:v>
                </c:pt>
                <c:pt idx="8">
                  <c:v>1.0424342105263156</c:v>
                </c:pt>
                <c:pt idx="9">
                  <c:v>0.96727777777777779</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0.78947368421052633</c:v>
                </c:pt>
                <c:pt idx="7">
                  <c:v>0</c:v>
                </c:pt>
                <c:pt idx="8">
                  <c:v>1.0526315789473688</c:v>
                </c:pt>
                <c:pt idx="9">
                  <c:v>1.0005913535660733</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1</c:v>
                </c:pt>
                <c:pt idx="7">
                  <c:v>0</c:v>
                </c:pt>
                <c:pt idx="8">
                  <c:v>0.99755102040816401</c:v>
                </c:pt>
                <c:pt idx="9">
                  <c:v>0.98940840984173561</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8. PII'!&#193;rea_de_impresi&#243;n"/><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6. PIC'!A1"/><Relationship Id="rId17" Type="http://schemas.openxmlformats.org/officeDocument/2006/relationships/image" Target="../media/image4.svg"/><Relationship Id="rId2" Type="http://schemas.openxmlformats.org/officeDocument/2006/relationships/hyperlink" Target="#'02. PINAR'!&#193;rea_de_impresi&#243;n"/><Relationship Id="rId16" Type="http://schemas.openxmlformats.org/officeDocument/2006/relationships/image" Target="../media/image3.png"/><Relationship Id="rId1" Type="http://schemas.openxmlformats.org/officeDocument/2006/relationships/hyperlink" Target="#'01. INSTITUCIONAL'!&#193;rea_de_impresi&#243;n"/><Relationship Id="rId6" Type="http://schemas.openxmlformats.org/officeDocument/2006/relationships/hyperlink" Target="#'10 PAAC'!&#193;rea_de_impresi&#243;n"/><Relationship Id="rId11" Type="http://schemas.openxmlformats.org/officeDocument/2006/relationships/hyperlink" Target="#'06. PETH'!A1"/><Relationship Id="rId5" Type="http://schemas.openxmlformats.org/officeDocument/2006/relationships/hyperlink" Target="#'11.PETI'!&#193;rea_de_impresi&#243;n"/><Relationship Id="rId15" Type="http://schemas.openxmlformats.org/officeDocument/2006/relationships/image" Target="../media/image2.png"/><Relationship Id="rId10" Type="http://schemas.openxmlformats.org/officeDocument/2006/relationships/hyperlink" Target="#'03. PAA'!&#193;rea_de_impresi&#243;n"/><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10.png"/><Relationship Id="rId4" Type="http://schemas.openxmlformats.org/officeDocument/2006/relationships/hyperlink" Target="#INICIO!A1"/></Relationships>
</file>

<file path=xl/drawings/_rels/drawing11.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5.png"/><Relationship Id="rId5" Type="http://schemas.openxmlformats.org/officeDocument/2006/relationships/image" Target="../media/image10.png"/><Relationship Id="rId4" Type="http://schemas.openxmlformats.org/officeDocument/2006/relationships/hyperlink" Target="#INICIO!A1"/></Relationships>
</file>

<file path=xl/drawings/_rels/drawing1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6.png"/><Relationship Id="rId5" Type="http://schemas.openxmlformats.org/officeDocument/2006/relationships/image" Target="../media/image10.png"/><Relationship Id="rId4" Type="http://schemas.openxmlformats.org/officeDocument/2006/relationships/hyperlink" Target="#INICIO!A1"/></Relationships>
</file>

<file path=xl/drawings/_rels/drawing1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hyperlink" Target="#INICIO!A1"/></Relationships>
</file>

<file path=xl/drawings/_rels/drawing1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hyperlink" Target="#INICIO!A1"/></Relationships>
</file>

<file path=xl/drawings/_rels/drawing1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hyperlink" Target="#INICIO!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9.png"/><Relationship Id="rId5" Type="http://schemas.openxmlformats.org/officeDocument/2006/relationships/image" Target="../media/image10.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hyperlink" Target="#INICIO!A1"/></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9.png"/><Relationship Id="rId5" Type="http://schemas.openxmlformats.org/officeDocument/2006/relationships/image" Target="../media/image10.png"/><Relationship Id="rId4" Type="http://schemas.openxmlformats.org/officeDocument/2006/relationships/hyperlink" Target="#INICIO!A1"/></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2.png"/><Relationship Id="rId5" Type="http://schemas.openxmlformats.org/officeDocument/2006/relationships/image" Target="../media/image10.png"/><Relationship Id="rId4" Type="http://schemas.openxmlformats.org/officeDocument/2006/relationships/hyperlink" Target="#INICIO!A1"/></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3.png"/><Relationship Id="rId5" Type="http://schemas.openxmlformats.org/officeDocument/2006/relationships/image" Target="../media/image10.png"/><Relationship Id="rId4" Type="http://schemas.openxmlformats.org/officeDocument/2006/relationships/hyperlink" Target="#INICIO!A1"/></Relationships>
</file>

<file path=xl/drawings/_rels/drawing9.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4.png"/><Relationship Id="rId5" Type="http://schemas.openxmlformats.org/officeDocument/2006/relationships/image" Target="../media/image10.png"/><Relationship Id="rId4" Type="http://schemas.openxmlformats.org/officeDocument/2006/relationships/hyperlink" Target="#INICIO!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6</xdr:col>
      <xdr:colOff>564844</xdr:colOff>
      <xdr:row>6</xdr:row>
      <xdr:rowOff>11956</xdr:rowOff>
    </xdr:from>
    <xdr:to>
      <xdr:col>9</xdr:col>
      <xdr:colOff>409298</xdr:colOff>
      <xdr:row>18</xdr:row>
      <xdr:rowOff>140798</xdr:rowOff>
    </xdr:to>
    <xdr:sp macro="" textlink="">
      <xdr:nvSpPr>
        <xdr:cNvPr id="64" name="Lágrima 63">
          <a:extLst>
            <a:ext uri="{FF2B5EF4-FFF2-40B4-BE49-F238E27FC236}">
              <a16:creationId xmlns:a16="http://schemas.microsoft.com/office/drawing/2014/main" id="{00000000-0008-0000-0000-000040000000}"/>
            </a:ext>
          </a:extLst>
        </xdr:cNvPr>
        <xdr:cNvSpPr/>
      </xdr:nvSpPr>
      <xdr:spPr>
        <a:xfrm rot="19034445">
          <a:off x="5368757" y="964456"/>
          <a:ext cx="2246411" cy="23651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2024</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0000000-0008-0000-0000-00001C000000}"/>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0"/>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1"/>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2"/>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editAs="oneCell">
    <xdr:from>
      <xdr:col>0</xdr:col>
      <xdr:colOff>0</xdr:colOff>
      <xdr:row>0</xdr:row>
      <xdr:rowOff>1</xdr:rowOff>
    </xdr:from>
    <xdr:to>
      <xdr:col>5</xdr:col>
      <xdr:colOff>152469</xdr:colOff>
      <xdr:row>6</xdr:row>
      <xdr:rowOff>47687</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
          <a:ext cx="4329545" cy="965550"/>
        </a:xfrm>
        <a:prstGeom prst="rect">
          <a:avLst/>
        </a:prstGeom>
      </xdr:spPr>
    </xdr:pic>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7</xdr:col>
      <xdr:colOff>0</xdr:colOff>
      <xdr:row>35</xdr:row>
      <xdr:rowOff>42331</xdr:rowOff>
    </xdr:from>
    <xdr:to>
      <xdr:col>9</xdr:col>
      <xdr:colOff>0</xdr:colOff>
      <xdr:row>42</xdr:row>
      <xdr:rowOff>1043</xdr:rowOff>
    </xdr:to>
    <xdr:pic>
      <xdr:nvPicPr>
        <xdr:cNvPr id="69" name="Imagen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15"/>
        <a:srcRect t="1" r="78791" b="-8889"/>
        <a:stretch/>
      </xdr:blipFill>
      <xdr:spPr>
        <a:xfrm>
          <a:off x="5630333" y="6667498"/>
          <a:ext cx="1608667" cy="1292212"/>
        </a:xfrm>
        <a:prstGeom prst="rect">
          <a:avLst/>
        </a:prstGeom>
      </xdr:spPr>
    </xdr:pic>
    <xdr:clientData/>
  </xdr:twoCellAnchor>
  <xdr:twoCellAnchor editAs="oneCell">
    <xdr:from>
      <xdr:col>5</xdr:col>
      <xdr:colOff>169332</xdr:colOff>
      <xdr:row>41</xdr:row>
      <xdr:rowOff>148167</xdr:rowOff>
    </xdr:from>
    <xdr:to>
      <xdr:col>10</xdr:col>
      <xdr:colOff>571500</xdr:colOff>
      <xdr:row>47</xdr:row>
      <xdr:rowOff>11372</xdr:rowOff>
    </xdr:to>
    <xdr:pic>
      <xdr:nvPicPr>
        <xdr:cNvPr id="70" name="Gráfico 17">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6">
          <a:extLst>
            <a:ext uri="{96DAC541-7B7A-43D3-8B79-37D633B846F1}">
              <asvg:svgBlip xmlns:asvg="http://schemas.microsoft.com/office/drawing/2016/SVG/main" r:embed="rId17"/>
            </a:ext>
          </a:extLst>
        </a:blip>
        <a:srcRect l="24104" t="3226"/>
        <a:stretch/>
      </xdr:blipFill>
      <xdr:spPr>
        <a:xfrm>
          <a:off x="4190999" y="7916334"/>
          <a:ext cx="4423834" cy="9830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12269</xdr:colOff>
      <xdr:row>2</xdr:row>
      <xdr:rowOff>159962</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40616" cy="611996"/>
        </a:xfrm>
        <a:prstGeom prst="rect">
          <a:avLst/>
        </a:prstGeom>
      </xdr:spPr>
    </xdr:pic>
    <xdr:clientData/>
  </xdr:twoCellAnchor>
  <xdr:twoCellAnchor editAs="oneCell">
    <xdr:from>
      <xdr:col>0</xdr:col>
      <xdr:colOff>122910</xdr:colOff>
      <xdr:row>2</xdr:row>
      <xdr:rowOff>248708</xdr:rowOff>
    </xdr:from>
    <xdr:to>
      <xdr:col>1</xdr:col>
      <xdr:colOff>2028657</xdr:colOff>
      <xdr:row>2</xdr:row>
      <xdr:rowOff>656229</xdr:rowOff>
    </xdr:to>
    <xdr:pic>
      <xdr:nvPicPr>
        <xdr:cNvPr id="2" name="Gráfico 17">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2910" y="700742"/>
          <a:ext cx="2503078" cy="407521"/>
        </a:xfrm>
        <a:prstGeom prst="rect">
          <a:avLst/>
        </a:prstGeom>
      </xdr:spPr>
    </xdr:pic>
    <xdr:clientData/>
  </xdr:twoCellAnchor>
  <xdr:twoCellAnchor editAs="oneCell">
    <xdr:from>
      <xdr:col>2</xdr:col>
      <xdr:colOff>290594</xdr:colOff>
      <xdr:row>0</xdr:row>
      <xdr:rowOff>32287</xdr:rowOff>
    </xdr:from>
    <xdr:to>
      <xdr:col>2</xdr:col>
      <xdr:colOff>1879682</xdr:colOff>
      <xdr:row>10</xdr:row>
      <xdr:rowOff>20990</xdr:rowOff>
    </xdr:to>
    <xdr:pic>
      <xdr:nvPicPr>
        <xdr:cNvPr id="3" name="Imagen 2">
          <a:hlinkClick xmlns:r="http://schemas.openxmlformats.org/officeDocument/2006/relationships" r:id="rId4"/>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234334</xdr:colOff>
      <xdr:row>2</xdr:row>
      <xdr:rowOff>150437</xdr:rowOff>
    </xdr:to>
    <xdr:pic>
      <xdr:nvPicPr>
        <xdr:cNvPr id="5" name="Imagen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6424" cy="591146"/>
        </a:xfrm>
        <a:prstGeom prst="rect">
          <a:avLst/>
        </a:prstGeom>
      </xdr:spPr>
    </xdr:pic>
    <xdr:clientData/>
  </xdr:twoCellAnchor>
  <xdr:twoCellAnchor editAs="oneCell">
    <xdr:from>
      <xdr:col>0</xdr:col>
      <xdr:colOff>133445</xdr:colOff>
      <xdr:row>2</xdr:row>
      <xdr:rowOff>256076</xdr:rowOff>
    </xdr:from>
    <xdr:to>
      <xdr:col>2</xdr:col>
      <xdr:colOff>135274</xdr:colOff>
      <xdr:row>2</xdr:row>
      <xdr:rowOff>663597</xdr:rowOff>
    </xdr:to>
    <xdr:pic>
      <xdr:nvPicPr>
        <xdr:cNvPr id="3" name="Gráfico 17">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445" y="696785"/>
          <a:ext cx="2503919" cy="407521"/>
        </a:xfrm>
        <a:prstGeom prst="rect">
          <a:avLst/>
        </a:prstGeom>
      </xdr:spPr>
    </xdr:pic>
    <xdr:clientData/>
  </xdr:twoCellAnchor>
  <xdr:twoCellAnchor editAs="oneCell">
    <xdr:from>
      <xdr:col>2</xdr:col>
      <xdr:colOff>315936</xdr:colOff>
      <xdr:row>0</xdr:row>
      <xdr:rowOff>52175</xdr:rowOff>
    </xdr:from>
    <xdr:to>
      <xdr:col>2</xdr:col>
      <xdr:colOff>1901849</xdr:colOff>
      <xdr:row>10</xdr:row>
      <xdr:rowOff>14216</xdr:rowOff>
    </xdr:to>
    <xdr:pic>
      <xdr:nvPicPr>
        <xdr:cNvPr id="4" name="Imagen 3">
          <a:hlinkClick xmlns:r="http://schemas.openxmlformats.org/officeDocument/2006/relationships" r:id="rId4"/>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9</xdr:col>
      <xdr:colOff>46463</xdr:colOff>
      <xdr:row>13</xdr:row>
      <xdr:rowOff>15487</xdr:rowOff>
    </xdr:from>
    <xdr:to>
      <xdr:col>31</xdr:col>
      <xdr:colOff>1982438</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0</xdr:col>
      <xdr:colOff>0</xdr:colOff>
      <xdr:row>0</xdr:row>
      <xdr:rowOff>10295</xdr:rowOff>
    </xdr:from>
    <xdr:to>
      <xdr:col>4</xdr:col>
      <xdr:colOff>2792845</xdr:colOff>
      <xdr:row>5</xdr:row>
      <xdr:rowOff>112067</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0295"/>
          <a:ext cx="3594003" cy="863772"/>
        </a:xfrm>
        <a:prstGeom prst="rect">
          <a:avLst/>
        </a:prstGeom>
      </xdr:spPr>
    </xdr:pic>
    <xdr:clientData/>
  </xdr:twoCellAnchor>
  <xdr:twoCellAnchor editAs="oneCell">
    <xdr:from>
      <xdr:col>3</xdr:col>
      <xdr:colOff>232833</xdr:colOff>
      <xdr:row>5</xdr:row>
      <xdr:rowOff>169333</xdr:rowOff>
    </xdr:from>
    <xdr:to>
      <xdr:col>4</xdr:col>
      <xdr:colOff>2391833</xdr:colOff>
      <xdr:row>8</xdr:row>
      <xdr:rowOff>83846</xdr:rowOff>
    </xdr:to>
    <xdr:pic>
      <xdr:nvPicPr>
        <xdr:cNvPr id="2" name="Gráfico 17">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32833" y="931333"/>
          <a:ext cx="2966508" cy="482838"/>
        </a:xfrm>
        <a:prstGeom prst="rect">
          <a:avLst/>
        </a:prstGeom>
      </xdr:spPr>
    </xdr:pic>
    <xdr:clientData/>
  </xdr:twoCellAnchor>
  <xdr:twoCellAnchor editAs="oneCell">
    <xdr:from>
      <xdr:col>4</xdr:col>
      <xdr:colOff>2709334</xdr:colOff>
      <xdr:row>1</xdr:row>
      <xdr:rowOff>102659</xdr:rowOff>
    </xdr:from>
    <xdr:to>
      <xdr:col>5</xdr:col>
      <xdr:colOff>48683</xdr:colOff>
      <xdr:row>9</xdr:row>
      <xdr:rowOff>8742</xdr:rowOff>
    </xdr:to>
    <xdr:pic>
      <xdr:nvPicPr>
        <xdr:cNvPr id="3" name="Imagen 2">
          <a:hlinkClick xmlns:r="http://schemas.openxmlformats.org/officeDocument/2006/relationships" r:id="rId4"/>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00000000-0008-0000-0C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241255</xdr:colOff>
      <xdr:row>2</xdr:row>
      <xdr:rowOff>158985</xdr:rowOff>
    </xdr:to>
    <xdr:pic>
      <xdr:nvPicPr>
        <xdr:cNvPr id="5" name="Imagen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4785" cy="609546"/>
        </a:xfrm>
        <a:prstGeom prst="rect">
          <a:avLst/>
        </a:prstGeom>
      </xdr:spPr>
    </xdr:pic>
    <xdr:clientData/>
  </xdr:twoCellAnchor>
  <xdr:twoCellAnchor editAs="oneCell">
    <xdr:from>
      <xdr:col>0</xdr:col>
      <xdr:colOff>127197</xdr:colOff>
      <xdr:row>2</xdr:row>
      <xdr:rowOff>230181</xdr:rowOff>
    </xdr:from>
    <xdr:to>
      <xdr:col>2</xdr:col>
      <xdr:colOff>141868</xdr:colOff>
      <xdr:row>2</xdr:row>
      <xdr:rowOff>635371</xdr:rowOff>
    </xdr:to>
    <xdr:pic>
      <xdr:nvPicPr>
        <xdr:cNvPr id="3" name="Gráfico 17">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7197" y="677567"/>
          <a:ext cx="2508201" cy="408365"/>
        </a:xfrm>
        <a:prstGeom prst="rect">
          <a:avLst/>
        </a:prstGeom>
      </xdr:spPr>
    </xdr:pic>
    <xdr:clientData/>
  </xdr:twoCellAnchor>
  <xdr:twoCellAnchor editAs="oneCell">
    <xdr:from>
      <xdr:col>2</xdr:col>
      <xdr:colOff>331932</xdr:colOff>
      <xdr:row>0</xdr:row>
      <xdr:rowOff>28863</xdr:rowOff>
    </xdr:from>
    <xdr:to>
      <xdr:col>2</xdr:col>
      <xdr:colOff>1921020</xdr:colOff>
      <xdr:row>10</xdr:row>
      <xdr:rowOff>16098</xdr:rowOff>
    </xdr:to>
    <xdr:pic>
      <xdr:nvPicPr>
        <xdr:cNvPr id="4" name="Imagen 3">
          <a:hlinkClick xmlns:r="http://schemas.openxmlformats.org/officeDocument/2006/relationships" r:id="rId4"/>
          <a:extLst>
            <a:ext uri="{FF2B5EF4-FFF2-40B4-BE49-F238E27FC236}">
              <a16:creationId xmlns:a16="http://schemas.microsoft.com/office/drawing/2014/main" id="{6CA5DDFD-7353-4E53-A81D-04EA7C387D54}"/>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28637" y="28863"/>
          <a:ext cx="1589088" cy="119950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243417</xdr:colOff>
      <xdr:row>2</xdr:row>
      <xdr:rowOff>166312</xdr:rowOff>
    </xdr:to>
    <xdr:pic>
      <xdr:nvPicPr>
        <xdr:cNvPr id="5" name="Imagen 4">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0500" cy="602875"/>
        </a:xfrm>
        <a:prstGeom prst="rect">
          <a:avLst/>
        </a:prstGeom>
      </xdr:spPr>
    </xdr:pic>
    <xdr:clientData/>
  </xdr:twoCellAnchor>
  <xdr:twoCellAnchor editAs="oneCell">
    <xdr:from>
      <xdr:col>0</xdr:col>
      <xdr:colOff>126999</xdr:colOff>
      <xdr:row>2</xdr:row>
      <xdr:rowOff>238125</xdr:rowOff>
    </xdr:from>
    <xdr:to>
      <xdr:col>2</xdr:col>
      <xdr:colOff>145511</xdr:colOff>
      <xdr:row>2</xdr:row>
      <xdr:rowOff>646490</xdr:rowOff>
    </xdr:to>
    <xdr:pic>
      <xdr:nvPicPr>
        <xdr:cNvPr id="3" name="Gráfico 17">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6999" y="674688"/>
          <a:ext cx="2505595" cy="408365"/>
        </a:xfrm>
        <a:prstGeom prst="rect">
          <a:avLst/>
        </a:prstGeom>
      </xdr:spPr>
    </xdr:pic>
    <xdr:clientData/>
  </xdr:twoCellAnchor>
  <xdr:twoCellAnchor editAs="oneCell">
    <xdr:from>
      <xdr:col>2</xdr:col>
      <xdr:colOff>354013</xdr:colOff>
      <xdr:row>0</xdr:row>
      <xdr:rowOff>39688</xdr:rowOff>
    </xdr:from>
    <xdr:to>
      <xdr:col>2</xdr:col>
      <xdr:colOff>1949451</xdr:colOff>
      <xdr:row>10</xdr:row>
      <xdr:rowOff>23283</xdr:rowOff>
    </xdr:to>
    <xdr:pic>
      <xdr:nvPicPr>
        <xdr:cNvPr id="4" name="Imagen 3">
          <a:hlinkClick xmlns:r="http://schemas.openxmlformats.org/officeDocument/2006/relationships" r:id="rId4"/>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240957</xdr:colOff>
      <xdr:row>2</xdr:row>
      <xdr:rowOff>159962</xdr:rowOff>
    </xdr:to>
    <xdr:pic>
      <xdr:nvPicPr>
        <xdr:cNvPr id="5" name="Imagen 4">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8052" cy="610469"/>
        </a:xfrm>
        <a:prstGeom prst="rect">
          <a:avLst/>
        </a:prstGeom>
      </xdr:spPr>
    </xdr:pic>
    <xdr:clientData/>
  </xdr:twoCellAnchor>
  <xdr:twoCellAnchor editAs="oneCell">
    <xdr:from>
      <xdr:col>0</xdr:col>
      <xdr:colOff>156025</xdr:colOff>
      <xdr:row>2</xdr:row>
      <xdr:rowOff>260072</xdr:rowOff>
    </xdr:from>
    <xdr:to>
      <xdr:col>2</xdr:col>
      <xdr:colOff>167447</xdr:colOff>
      <xdr:row>2</xdr:row>
      <xdr:rowOff>658912</xdr:rowOff>
    </xdr:to>
    <xdr:pic>
      <xdr:nvPicPr>
        <xdr:cNvPr id="3" name="Gráfico 17">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56025" y="710579"/>
          <a:ext cx="2508517" cy="398840"/>
        </a:xfrm>
        <a:prstGeom prst="rect">
          <a:avLst/>
        </a:prstGeom>
      </xdr:spPr>
    </xdr:pic>
    <xdr:clientData/>
  </xdr:twoCellAnchor>
  <xdr:twoCellAnchor editAs="oneCell">
    <xdr:from>
      <xdr:col>2</xdr:col>
      <xdr:colOff>395674</xdr:colOff>
      <xdr:row>0</xdr:row>
      <xdr:rowOff>67363</xdr:rowOff>
    </xdr:from>
    <xdr:to>
      <xdr:col>2</xdr:col>
      <xdr:colOff>1968887</xdr:colOff>
      <xdr:row>10</xdr:row>
      <xdr:rowOff>28919</xdr:rowOff>
    </xdr:to>
    <xdr:pic>
      <xdr:nvPicPr>
        <xdr:cNvPr id="4" name="Imagen 3">
          <a:hlinkClick xmlns:r="http://schemas.openxmlformats.org/officeDocument/2006/relationships" r:id="rId4"/>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0</xdr:col>
      <xdr:colOff>32545</xdr:colOff>
      <xdr:row>0</xdr:row>
      <xdr:rowOff>0</xdr:rowOff>
    </xdr:from>
    <xdr:to>
      <xdr:col>2</xdr:col>
      <xdr:colOff>278607</xdr:colOff>
      <xdr:row>2</xdr:row>
      <xdr:rowOff>169487</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2545" y="0"/>
          <a:ext cx="2734468" cy="610018"/>
        </a:xfrm>
        <a:prstGeom prst="rect">
          <a:avLst/>
        </a:prstGeom>
      </xdr:spPr>
    </xdr:pic>
    <xdr:clientData/>
  </xdr:twoCellAnchor>
  <xdr:twoCellAnchor editAs="oneCell">
    <xdr:from>
      <xdr:col>0</xdr:col>
      <xdr:colOff>161711</xdr:colOff>
      <xdr:row>2</xdr:row>
      <xdr:rowOff>190298</xdr:rowOff>
    </xdr:from>
    <xdr:to>
      <xdr:col>2</xdr:col>
      <xdr:colOff>159142</xdr:colOff>
      <xdr:row>2</xdr:row>
      <xdr:rowOff>583002</xdr:rowOff>
    </xdr:to>
    <xdr:pic>
      <xdr:nvPicPr>
        <xdr:cNvPr id="2" name="Gráfico 17">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1711" y="630829"/>
          <a:ext cx="2485837" cy="392704"/>
        </a:xfrm>
        <a:prstGeom prst="rect">
          <a:avLst/>
        </a:prstGeom>
      </xdr:spPr>
    </xdr:pic>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4"/>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49</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20104</xdr:colOff>
      <xdr:row>0</xdr:row>
      <xdr:rowOff>0</xdr:rowOff>
    </xdr:from>
    <xdr:to>
      <xdr:col>2</xdr:col>
      <xdr:colOff>251105</xdr:colOff>
      <xdr:row>2</xdr:row>
      <xdr:rowOff>155199</xdr:rowOff>
    </xdr:to>
    <xdr:pic>
      <xdr:nvPicPr>
        <xdr:cNvPr id="5" name="Imagen 4" descr="Dibujo con letras&#10;&#10;Descripción generada automáticamente con confianza media">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0104" y="0"/>
          <a:ext cx="2733091" cy="595908"/>
        </a:xfrm>
        <a:prstGeom prst="rect">
          <a:avLst/>
        </a:prstGeom>
      </xdr:spPr>
    </xdr:pic>
    <xdr:clientData/>
  </xdr:twoCellAnchor>
  <xdr:twoCellAnchor editAs="oneCell">
    <xdr:from>
      <xdr:col>0</xdr:col>
      <xdr:colOff>160909</xdr:colOff>
      <xdr:row>2</xdr:row>
      <xdr:rowOff>243582</xdr:rowOff>
    </xdr:from>
    <xdr:to>
      <xdr:col>2</xdr:col>
      <xdr:colOff>148047</xdr:colOff>
      <xdr:row>2</xdr:row>
      <xdr:rowOff>636286</xdr:rowOff>
    </xdr:to>
    <xdr:pic>
      <xdr:nvPicPr>
        <xdr:cNvPr id="3" name="Gráfico 17">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0909" y="684291"/>
          <a:ext cx="2489228" cy="392704"/>
        </a:xfrm>
        <a:prstGeom prst="rect">
          <a:avLst/>
        </a:prstGeom>
      </xdr:spPr>
    </xdr:pic>
    <xdr:clientData/>
  </xdr:twoCellAnchor>
  <xdr:twoCellAnchor editAs="oneCell">
    <xdr:from>
      <xdr:col>2</xdr:col>
      <xdr:colOff>355410</xdr:colOff>
      <xdr:row>0</xdr:row>
      <xdr:rowOff>14217</xdr:rowOff>
    </xdr:from>
    <xdr:to>
      <xdr:col>2</xdr:col>
      <xdr:colOff>1947673</xdr:colOff>
      <xdr:row>2</xdr:row>
      <xdr:rowOff>763491</xdr:rowOff>
    </xdr:to>
    <xdr:pic>
      <xdr:nvPicPr>
        <xdr:cNvPr id="4" name="Imagen 3">
          <a:hlinkClick xmlns:r="http://schemas.openxmlformats.org/officeDocument/2006/relationships" r:id="rId4"/>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246780</xdr:colOff>
      <xdr:row>2</xdr:row>
      <xdr:rowOff>159962</xdr:rowOff>
    </xdr:to>
    <xdr:pic>
      <xdr:nvPicPr>
        <xdr:cNvPr id="5" name="Imagen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51985" cy="616640"/>
        </a:xfrm>
        <a:prstGeom prst="rect">
          <a:avLst/>
        </a:prstGeom>
      </xdr:spPr>
    </xdr:pic>
    <xdr:clientData/>
  </xdr:twoCellAnchor>
  <xdr:twoCellAnchor editAs="oneCell">
    <xdr:from>
      <xdr:col>0</xdr:col>
      <xdr:colOff>145848</xdr:colOff>
      <xdr:row>2</xdr:row>
      <xdr:rowOff>250100</xdr:rowOff>
    </xdr:from>
    <xdr:to>
      <xdr:col>2</xdr:col>
      <xdr:colOff>135907</xdr:colOff>
      <xdr:row>2</xdr:row>
      <xdr:rowOff>642804</xdr:rowOff>
    </xdr:to>
    <xdr:pic>
      <xdr:nvPicPr>
        <xdr:cNvPr id="3" name="Gráfico 17">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45848" y="706778"/>
          <a:ext cx="2495264" cy="392704"/>
        </a:xfrm>
        <a:prstGeom prst="rect">
          <a:avLst/>
        </a:prstGeom>
      </xdr:spPr>
    </xdr:pic>
    <xdr:clientData/>
  </xdr:twoCellAnchor>
  <xdr:twoCellAnchor editAs="oneCell">
    <xdr:from>
      <xdr:col>2</xdr:col>
      <xdr:colOff>352295</xdr:colOff>
      <xdr:row>0</xdr:row>
      <xdr:rowOff>52192</xdr:rowOff>
    </xdr:from>
    <xdr:to>
      <xdr:col>2</xdr:col>
      <xdr:colOff>1944558</xdr:colOff>
      <xdr:row>10</xdr:row>
      <xdr:rowOff>28716</xdr:rowOff>
    </xdr:to>
    <xdr:pic>
      <xdr:nvPicPr>
        <xdr:cNvPr id="4" name="Imagen 3">
          <a:hlinkClick xmlns:r="http://schemas.openxmlformats.org/officeDocument/2006/relationships" r:id="rId4"/>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15875</xdr:colOff>
      <xdr:row>0</xdr:row>
      <xdr:rowOff>0</xdr:rowOff>
    </xdr:from>
    <xdr:to>
      <xdr:col>0</xdr:col>
      <xdr:colOff>3409661</xdr:colOff>
      <xdr:row>1</xdr:row>
      <xdr:rowOff>266700</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875" y="0"/>
          <a:ext cx="3393786" cy="781050"/>
        </a:xfrm>
        <a:prstGeom prst="rect">
          <a:avLst/>
        </a:prstGeom>
      </xdr:spPr>
    </xdr:pic>
    <xdr:clientData/>
  </xdr:twoCellAnchor>
  <xdr:twoCellAnchor editAs="oneCell">
    <xdr:from>
      <xdr:col>0</xdr:col>
      <xdr:colOff>197908</xdr:colOff>
      <xdr:row>1</xdr:row>
      <xdr:rowOff>352425</xdr:rowOff>
    </xdr:from>
    <xdr:to>
      <xdr:col>0</xdr:col>
      <xdr:colOff>3181350</xdr:colOff>
      <xdr:row>2</xdr:row>
      <xdr:rowOff>324193</xdr:rowOff>
    </xdr:to>
    <xdr:pic>
      <xdr:nvPicPr>
        <xdr:cNvPr id="2" name="Gráfico 17">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97908" y="866775"/>
          <a:ext cx="2983442" cy="486118"/>
        </a:xfrm>
        <a:prstGeom prst="rect">
          <a:avLst/>
        </a:prstGeom>
      </xdr:spPr>
    </xdr:pic>
    <xdr:clientData/>
  </xdr:twoCellAnchor>
  <xdr:twoCellAnchor editAs="oneCell">
    <xdr:from>
      <xdr:col>0</xdr:col>
      <xdr:colOff>3429000</xdr:colOff>
      <xdr:row>0</xdr:row>
      <xdr:rowOff>107950</xdr:rowOff>
    </xdr:from>
    <xdr:to>
      <xdr:col>0</xdr:col>
      <xdr:colOff>5257800</xdr:colOff>
      <xdr:row>2</xdr:row>
      <xdr:rowOff>442835</xdr:rowOff>
    </xdr:to>
    <xdr:pic>
      <xdr:nvPicPr>
        <xdr:cNvPr id="3" name="Imagen 2">
          <a:hlinkClick xmlns:r="http://schemas.openxmlformats.org/officeDocument/2006/relationships" r:id="rId4"/>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30079</xdr:colOff>
      <xdr:row>0</xdr:row>
      <xdr:rowOff>0</xdr:rowOff>
    </xdr:from>
    <xdr:to>
      <xdr:col>2</xdr:col>
      <xdr:colOff>281238</xdr:colOff>
      <xdr:row>2</xdr:row>
      <xdr:rowOff>159962</xdr:rowOff>
    </xdr:to>
    <xdr:pic>
      <xdr:nvPicPr>
        <xdr:cNvPr id="5" name="Imagen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0079" y="0"/>
          <a:ext cx="2745205" cy="611146"/>
        </a:xfrm>
        <a:prstGeom prst="rect">
          <a:avLst/>
        </a:prstGeom>
      </xdr:spPr>
    </xdr:pic>
    <xdr:clientData/>
  </xdr:twoCellAnchor>
  <xdr:twoCellAnchor editAs="oneCell">
    <xdr:from>
      <xdr:col>0</xdr:col>
      <xdr:colOff>186880</xdr:colOff>
      <xdr:row>2</xdr:row>
      <xdr:rowOff>228098</xdr:rowOff>
    </xdr:from>
    <xdr:to>
      <xdr:col>2</xdr:col>
      <xdr:colOff>195606</xdr:colOff>
      <xdr:row>2</xdr:row>
      <xdr:rowOff>635619</xdr:rowOff>
    </xdr:to>
    <xdr:pic>
      <xdr:nvPicPr>
        <xdr:cNvPr id="3" name="Gráfico 17">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86880" y="679282"/>
          <a:ext cx="2502772" cy="407521"/>
        </a:xfrm>
        <a:prstGeom prst="rect">
          <a:avLst/>
        </a:prstGeom>
      </xdr:spPr>
    </xdr:pic>
    <xdr:clientData/>
  </xdr:twoCellAnchor>
  <xdr:twoCellAnchor editAs="oneCell">
    <xdr:from>
      <xdr:col>2</xdr:col>
      <xdr:colOff>664243</xdr:colOff>
      <xdr:row>0</xdr:row>
      <xdr:rowOff>25066</xdr:rowOff>
    </xdr:from>
    <xdr:to>
      <xdr:col>2</xdr:col>
      <xdr:colOff>2253331</xdr:colOff>
      <xdr:row>3</xdr:row>
      <xdr:rowOff>8883</xdr:rowOff>
    </xdr:to>
    <xdr:pic>
      <xdr:nvPicPr>
        <xdr:cNvPr id="4" name="Imagen 3">
          <a:hlinkClick xmlns:r="http://schemas.openxmlformats.org/officeDocument/2006/relationships" r:id="rId4"/>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27</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0</xdr:colOff>
      <xdr:row>0</xdr:row>
      <xdr:rowOff>0</xdr:rowOff>
    </xdr:from>
    <xdr:to>
      <xdr:col>2</xdr:col>
      <xdr:colOff>247067</xdr:colOff>
      <xdr:row>2</xdr:row>
      <xdr:rowOff>166312</xdr:rowOff>
    </xdr:to>
    <xdr:pic>
      <xdr:nvPicPr>
        <xdr:cNvPr id="5" name="Imagen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0"/>
          <a:ext cx="2735230" cy="613404"/>
        </a:xfrm>
        <a:prstGeom prst="rect">
          <a:avLst/>
        </a:prstGeom>
      </xdr:spPr>
    </xdr:pic>
    <xdr:clientData/>
  </xdr:twoCellAnchor>
  <xdr:twoCellAnchor editAs="oneCell">
    <xdr:from>
      <xdr:col>0</xdr:col>
      <xdr:colOff>133504</xdr:colOff>
      <xdr:row>2</xdr:row>
      <xdr:rowOff>234951</xdr:rowOff>
    </xdr:from>
    <xdr:to>
      <xdr:col>2</xdr:col>
      <xdr:colOff>143033</xdr:colOff>
      <xdr:row>2</xdr:row>
      <xdr:rowOff>648822</xdr:rowOff>
    </xdr:to>
    <xdr:pic>
      <xdr:nvPicPr>
        <xdr:cNvPr id="3" name="Gráfico 17">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33504" y="682043"/>
          <a:ext cx="2497692" cy="413871"/>
        </a:xfrm>
        <a:prstGeom prst="rect">
          <a:avLst/>
        </a:prstGeom>
      </xdr:spPr>
    </xdr:pic>
    <xdr:clientData/>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4"/>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sharepoint.com/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aprevisora.sharepoint.com/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laprevisora.sharepoint.com/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laprevisora.sharepoint.com/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reyesaja\AppData\Local\Microsoft\Windows\INetCache\Content.Outlook\DSN4Q9OX\PAA%202024%20PRELIMINAR.xlsx" TargetMode="External"/><Relationship Id="rId1" Type="http://schemas.openxmlformats.org/officeDocument/2006/relationships/externalLinkPath" Target="file:///C:\Users\reyesaja\AppData\Local\Microsoft\Windows\INetCache\Content.Outlook\DSN4Q9OX\PAA%202024%20PRELIMIN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A 2024 Preliminar"/>
    </sheetNames>
    <sheetDataSet>
      <sheetData sheetId="0">
        <row r="3">
          <cell r="I3">
            <v>95200000</v>
          </cell>
          <cell r="J3">
            <v>95200000</v>
          </cell>
        </row>
        <row r="4">
          <cell r="I4">
            <v>11900000</v>
          </cell>
          <cell r="J4">
            <v>11900000</v>
          </cell>
        </row>
        <row r="5">
          <cell r="I5">
            <v>44182320</v>
          </cell>
          <cell r="J5">
            <v>44182320</v>
          </cell>
        </row>
        <row r="6">
          <cell r="I6">
            <v>417334709.60159999</v>
          </cell>
          <cell r="J6">
            <v>195016219.44</v>
          </cell>
        </row>
        <row r="7">
          <cell r="I7">
            <v>76197970.519999996</v>
          </cell>
          <cell r="J7">
            <v>19853932</v>
          </cell>
        </row>
        <row r="8">
          <cell r="I8">
            <v>54264000</v>
          </cell>
          <cell r="J8">
            <v>54264000</v>
          </cell>
        </row>
        <row r="9">
          <cell r="I9">
            <v>15812549.83</v>
          </cell>
          <cell r="J9">
            <v>15812550</v>
          </cell>
        </row>
        <row r="10">
          <cell r="I10">
            <v>22015000</v>
          </cell>
          <cell r="J10">
            <v>22015000</v>
          </cell>
        </row>
        <row r="11">
          <cell r="I11">
            <v>264506358.69</v>
          </cell>
          <cell r="J11">
            <v>123605300</v>
          </cell>
        </row>
        <row r="12">
          <cell r="I12">
            <v>160607160</v>
          </cell>
          <cell r="J12">
            <v>160607160</v>
          </cell>
        </row>
        <row r="13">
          <cell r="I13">
            <v>43624210</v>
          </cell>
          <cell r="J13">
            <v>43624210</v>
          </cell>
        </row>
        <row r="14">
          <cell r="I14">
            <v>43624210</v>
          </cell>
          <cell r="J14">
            <v>43624210</v>
          </cell>
        </row>
        <row r="15">
          <cell r="I15">
            <v>315204422.54000002</v>
          </cell>
          <cell r="J15">
            <v>0</v>
          </cell>
        </row>
        <row r="16">
          <cell r="I16">
            <v>35960763.509999998</v>
          </cell>
          <cell r="J16">
            <v>35960764</v>
          </cell>
        </row>
        <row r="17">
          <cell r="I17">
            <v>53550000</v>
          </cell>
          <cell r="J17">
            <v>53550000</v>
          </cell>
        </row>
        <row r="18">
          <cell r="I18">
            <v>6902641093</v>
          </cell>
          <cell r="J18">
            <v>1992947033</v>
          </cell>
        </row>
        <row r="19">
          <cell r="I19">
            <v>762246408</v>
          </cell>
          <cell r="J19">
            <v>363171816</v>
          </cell>
        </row>
        <row r="20">
          <cell r="I20">
            <v>1960625014.0000002</v>
          </cell>
          <cell r="J20">
            <v>533797110</v>
          </cell>
        </row>
        <row r="21">
          <cell r="I21">
            <v>53550000</v>
          </cell>
          <cell r="J21">
            <v>53550000</v>
          </cell>
        </row>
        <row r="22">
          <cell r="I22">
            <v>4455000000.0100002</v>
          </cell>
          <cell r="J22">
            <v>4455000000</v>
          </cell>
        </row>
        <row r="23">
          <cell r="I23">
            <v>1000000000</v>
          </cell>
          <cell r="J23">
            <v>1000000000</v>
          </cell>
        </row>
        <row r="24">
          <cell r="I24">
            <v>999600000</v>
          </cell>
          <cell r="J24">
            <v>499800000</v>
          </cell>
        </row>
        <row r="25">
          <cell r="I25">
            <v>54264000</v>
          </cell>
          <cell r="J25">
            <v>54264000</v>
          </cell>
        </row>
        <row r="26">
          <cell r="I26">
            <v>6000000</v>
          </cell>
          <cell r="J26">
            <v>6000000</v>
          </cell>
        </row>
        <row r="27">
          <cell r="I27">
            <v>19337500</v>
          </cell>
          <cell r="J27">
            <v>10829000</v>
          </cell>
        </row>
        <row r="28">
          <cell r="I28">
            <v>2019300</v>
          </cell>
          <cell r="J28">
            <v>2019300</v>
          </cell>
        </row>
        <row r="29">
          <cell r="I29">
            <v>1341405029</v>
          </cell>
          <cell r="J29">
            <v>98499554.649999991</v>
          </cell>
        </row>
        <row r="30">
          <cell r="I30">
            <v>154456345</v>
          </cell>
          <cell r="J30">
            <v>9520000</v>
          </cell>
        </row>
        <row r="31">
          <cell r="I31">
            <v>323827603</v>
          </cell>
          <cell r="J31">
            <v>0</v>
          </cell>
        </row>
        <row r="32">
          <cell r="I32">
            <v>3804819.13</v>
          </cell>
          <cell r="J32">
            <v>3804819</v>
          </cell>
        </row>
        <row r="33">
          <cell r="I33">
            <v>349860000</v>
          </cell>
          <cell r="J33">
            <v>26299000</v>
          </cell>
        </row>
        <row r="34">
          <cell r="I34">
            <v>29750000</v>
          </cell>
          <cell r="J34">
            <v>29750000</v>
          </cell>
        </row>
        <row r="35">
          <cell r="I35">
            <v>911957912.19000006</v>
          </cell>
          <cell r="J35">
            <v>100965468.25418958</v>
          </cell>
        </row>
        <row r="36">
          <cell r="I36">
            <v>65000000</v>
          </cell>
          <cell r="J36">
            <v>54621848.739495799</v>
          </cell>
        </row>
        <row r="37">
          <cell r="I37">
            <v>172999999.99999997</v>
          </cell>
          <cell r="J37">
            <v>145378151.26050419</v>
          </cell>
        </row>
        <row r="38">
          <cell r="I38">
            <v>179800000.74399999</v>
          </cell>
          <cell r="J38">
            <v>116000000.47999999</v>
          </cell>
        </row>
        <row r="39">
          <cell r="I39">
            <v>64090000.170000002</v>
          </cell>
          <cell r="J39">
            <v>64090000.169999994</v>
          </cell>
        </row>
        <row r="40">
          <cell r="I40">
            <v>58285800.280000001</v>
          </cell>
          <cell r="J40">
            <v>24399678</v>
          </cell>
        </row>
        <row r="41">
          <cell r="I41">
            <v>42482196.274000004</v>
          </cell>
          <cell r="J41">
            <v>35209784.973999999</v>
          </cell>
        </row>
        <row r="42">
          <cell r="I42">
            <v>24024136.5</v>
          </cell>
          <cell r="J42">
            <v>24024136.5</v>
          </cell>
        </row>
        <row r="43">
          <cell r="I43">
            <v>119000000</v>
          </cell>
          <cell r="J43">
            <v>119000000</v>
          </cell>
        </row>
        <row r="44">
          <cell r="I44">
            <v>119000000</v>
          </cell>
          <cell r="J44">
            <v>119000000</v>
          </cell>
        </row>
        <row r="45">
          <cell r="I45">
            <v>476000000</v>
          </cell>
          <cell r="J45">
            <v>476000000</v>
          </cell>
        </row>
        <row r="46">
          <cell r="I46">
            <v>6783000000</v>
          </cell>
          <cell r="J46">
            <v>595000000</v>
          </cell>
        </row>
        <row r="47">
          <cell r="I47">
            <v>178500000</v>
          </cell>
          <cell r="J47">
            <v>178500000</v>
          </cell>
        </row>
        <row r="48">
          <cell r="I48">
            <v>238000000</v>
          </cell>
          <cell r="J48">
            <v>238000000</v>
          </cell>
        </row>
        <row r="49">
          <cell r="I49">
            <v>476000000</v>
          </cell>
          <cell r="J49">
            <v>476000000</v>
          </cell>
        </row>
        <row r="50">
          <cell r="I50">
            <v>535500000</v>
          </cell>
          <cell r="J50">
            <v>535500000</v>
          </cell>
        </row>
        <row r="51">
          <cell r="I51">
            <v>119000000</v>
          </cell>
          <cell r="J51">
            <v>119000000</v>
          </cell>
        </row>
        <row r="52">
          <cell r="I52">
            <v>19984860</v>
          </cell>
          <cell r="J52">
            <v>19984860</v>
          </cell>
        </row>
        <row r="53">
          <cell r="I53">
            <v>71400000</v>
          </cell>
          <cell r="J53">
            <v>71400000</v>
          </cell>
        </row>
        <row r="54">
          <cell r="I54">
            <v>58310000</v>
          </cell>
          <cell r="J54">
            <v>58310000</v>
          </cell>
        </row>
        <row r="55">
          <cell r="I55">
            <v>357000000</v>
          </cell>
          <cell r="J55">
            <v>357000000</v>
          </cell>
        </row>
        <row r="56">
          <cell r="I56">
            <v>42800730</v>
          </cell>
          <cell r="J56">
            <v>42800730</v>
          </cell>
        </row>
        <row r="57">
          <cell r="I57">
            <v>59297700</v>
          </cell>
          <cell r="J57">
            <v>59297700</v>
          </cell>
        </row>
        <row r="58">
          <cell r="I58">
            <v>357000000</v>
          </cell>
          <cell r="J58">
            <v>357000000</v>
          </cell>
        </row>
        <row r="59">
          <cell r="I59">
            <v>1190000000</v>
          </cell>
          <cell r="J59">
            <v>690200000</v>
          </cell>
        </row>
        <row r="60">
          <cell r="I60">
            <v>19724250</v>
          </cell>
          <cell r="J60">
            <v>19724250</v>
          </cell>
        </row>
        <row r="61">
          <cell r="I61">
            <v>27941704.559999999</v>
          </cell>
          <cell r="J61">
            <v>0</v>
          </cell>
        </row>
        <row r="62">
          <cell r="I62">
            <v>595000000</v>
          </cell>
          <cell r="J62" t="str">
            <v xml:space="preserve"> $                300,000,000</v>
          </cell>
        </row>
        <row r="63">
          <cell r="I63">
            <v>3429647514.6500001</v>
          </cell>
          <cell r="J63">
            <v>2790441615</v>
          </cell>
        </row>
        <row r="64">
          <cell r="I64">
            <v>3529677959.0799999</v>
          </cell>
          <cell r="J64">
            <v>543027378</v>
          </cell>
        </row>
        <row r="65">
          <cell r="I65">
            <v>923287737.12</v>
          </cell>
          <cell r="J65" t="str">
            <v xml:space="preserve"> $                  38,810,748</v>
          </cell>
        </row>
        <row r="66">
          <cell r="I66">
            <v>17850000000</v>
          </cell>
          <cell r="J66">
            <v>0</v>
          </cell>
        </row>
        <row r="67">
          <cell r="I67">
            <v>4760000</v>
          </cell>
          <cell r="J67">
            <v>4760000</v>
          </cell>
        </row>
        <row r="68">
          <cell r="I68">
            <v>45269044.659999996</v>
          </cell>
          <cell r="J68">
            <v>15269045</v>
          </cell>
        </row>
        <row r="69">
          <cell r="I69">
            <v>5481191240</v>
          </cell>
          <cell r="J69">
            <v>750850000</v>
          </cell>
        </row>
        <row r="70">
          <cell r="I70">
            <v>607719300.72000003</v>
          </cell>
          <cell r="J70">
            <v>0</v>
          </cell>
        </row>
        <row r="71">
          <cell r="I71">
            <v>6587551218</v>
          </cell>
          <cell r="J71">
            <v>456068297</v>
          </cell>
        </row>
        <row r="72">
          <cell r="I72">
            <v>4417739631.5500002</v>
          </cell>
          <cell r="J72">
            <v>189235536</v>
          </cell>
        </row>
        <row r="73">
          <cell r="I73">
            <v>374000000</v>
          </cell>
        </row>
        <row r="74">
          <cell r="I74">
            <v>51170000</v>
          </cell>
        </row>
        <row r="75">
          <cell r="I75">
            <v>2381189986</v>
          </cell>
          <cell r="J75" t="str">
            <v xml:space="preserve"> $                396,864,998</v>
          </cell>
        </row>
        <row r="76">
          <cell r="I76">
            <v>547400000</v>
          </cell>
          <cell r="J76" t="str">
            <v xml:space="preserve"> $                547,400,000</v>
          </cell>
        </row>
        <row r="77">
          <cell r="I77">
            <v>809836650</v>
          </cell>
          <cell r="J77">
            <v>95836650</v>
          </cell>
        </row>
        <row r="78">
          <cell r="I78">
            <v>1828833755.9100001</v>
          </cell>
          <cell r="J78">
            <v>455439512</v>
          </cell>
        </row>
        <row r="79">
          <cell r="I79">
            <v>2939058113.46</v>
          </cell>
          <cell r="J79" t="str">
            <v> </v>
          </cell>
        </row>
        <row r="80">
          <cell r="I80">
            <v>449820000</v>
          </cell>
          <cell r="J80">
            <v>199920000</v>
          </cell>
        </row>
        <row r="81">
          <cell r="I81">
            <v>2817612504</v>
          </cell>
          <cell r="J81">
            <v>313068056</v>
          </cell>
        </row>
        <row r="82">
          <cell r="I82">
            <v>397305300</v>
          </cell>
          <cell r="J82">
            <v>397305300</v>
          </cell>
        </row>
        <row r="83">
          <cell r="I83">
            <v>47600000</v>
          </cell>
          <cell r="J83">
            <v>48392472</v>
          </cell>
        </row>
        <row r="84">
          <cell r="I84">
            <v>8392472</v>
          </cell>
          <cell r="J84">
            <v>8392472</v>
          </cell>
        </row>
        <row r="85">
          <cell r="I85">
            <v>44182320</v>
          </cell>
          <cell r="J85">
            <v>44182320</v>
          </cell>
        </row>
        <row r="86">
          <cell r="I86">
            <v>28928900</v>
          </cell>
          <cell r="J86">
            <v>28928900</v>
          </cell>
        </row>
        <row r="87">
          <cell r="I87">
            <v>22486837.379999999</v>
          </cell>
          <cell r="J87">
            <v>22486837.379999999</v>
          </cell>
        </row>
        <row r="88">
          <cell r="I88">
            <v>5367376</v>
          </cell>
          <cell r="J88">
            <v>4510400</v>
          </cell>
        </row>
        <row r="89">
          <cell r="I89">
            <v>82889688</v>
          </cell>
          <cell r="J89">
            <v>82889688</v>
          </cell>
        </row>
        <row r="90">
          <cell r="I90">
            <v>132644064</v>
          </cell>
          <cell r="J90">
            <v>0</v>
          </cell>
        </row>
        <row r="91">
          <cell r="I91">
            <v>748034000</v>
          </cell>
          <cell r="J91">
            <v>0</v>
          </cell>
        </row>
        <row r="92">
          <cell r="I92">
            <v>424217366.04514229</v>
          </cell>
          <cell r="J92">
            <v>424217366.04514229</v>
          </cell>
        </row>
        <row r="93">
          <cell r="I93">
            <v>17790500000</v>
          </cell>
          <cell r="J93">
            <v>17790500000</v>
          </cell>
        </row>
        <row r="94">
          <cell r="I94">
            <v>178500000</v>
          </cell>
        </row>
        <row r="95">
          <cell r="I95">
            <v>178500000</v>
          </cell>
        </row>
        <row r="96">
          <cell r="I96">
            <v>178500000</v>
          </cell>
        </row>
        <row r="97">
          <cell r="I97">
            <v>178500000</v>
          </cell>
        </row>
        <row r="98">
          <cell r="I98">
            <v>178500000</v>
          </cell>
        </row>
        <row r="99">
          <cell r="I99">
            <v>178500000</v>
          </cell>
        </row>
        <row r="100">
          <cell r="I100">
            <v>178500000</v>
          </cell>
        </row>
        <row r="101">
          <cell r="I101">
            <v>178500000</v>
          </cell>
        </row>
        <row r="102">
          <cell r="I102">
            <v>178500000</v>
          </cell>
        </row>
        <row r="103">
          <cell r="I103">
            <v>178500000</v>
          </cell>
        </row>
        <row r="104">
          <cell r="I104">
            <v>178500000</v>
          </cell>
        </row>
        <row r="105">
          <cell r="I105">
            <v>178500000</v>
          </cell>
        </row>
        <row r="106">
          <cell r="I106">
            <v>178500000</v>
          </cell>
        </row>
        <row r="107">
          <cell r="I107">
            <v>178500000</v>
          </cell>
        </row>
        <row r="108">
          <cell r="I108">
            <v>178500000</v>
          </cell>
        </row>
        <row r="109">
          <cell r="I109">
            <v>178500000</v>
          </cell>
        </row>
        <row r="110">
          <cell r="I110">
            <v>35700000</v>
          </cell>
          <cell r="J110">
            <v>0</v>
          </cell>
        </row>
        <row r="111">
          <cell r="I111">
            <v>59500000</v>
          </cell>
        </row>
        <row r="112">
          <cell r="I112">
            <v>35700000</v>
          </cell>
        </row>
        <row r="113">
          <cell r="I113">
            <v>59500000</v>
          </cell>
        </row>
        <row r="114">
          <cell r="I114">
            <v>23800000</v>
          </cell>
        </row>
        <row r="115">
          <cell r="I115">
            <v>232050000</v>
          </cell>
        </row>
        <row r="116">
          <cell r="I116">
            <v>261800000</v>
          </cell>
        </row>
        <row r="117">
          <cell r="I117">
            <v>314160000</v>
          </cell>
        </row>
        <row r="118">
          <cell r="I118">
            <v>404600000</v>
          </cell>
        </row>
        <row r="119">
          <cell r="I119">
            <v>268940000</v>
          </cell>
        </row>
        <row r="120">
          <cell r="I120">
            <v>35700000</v>
          </cell>
        </row>
        <row r="121">
          <cell r="I121">
            <v>29750000</v>
          </cell>
        </row>
        <row r="122">
          <cell r="I122">
            <v>24577167349.139999</v>
          </cell>
          <cell r="J122">
            <v>8590911978</v>
          </cell>
        </row>
        <row r="123">
          <cell r="I123">
            <v>157003519.05105001</v>
          </cell>
          <cell r="J123">
            <v>157003519.05105001</v>
          </cell>
        </row>
        <row r="124">
          <cell r="I124">
            <v>600000000</v>
          </cell>
          <cell r="J124">
            <v>600000000</v>
          </cell>
        </row>
        <row r="125">
          <cell r="I125">
            <v>349900000</v>
          </cell>
          <cell r="J125">
            <v>349900000</v>
          </cell>
        </row>
        <row r="126">
          <cell r="I126">
            <v>35896294.07</v>
          </cell>
          <cell r="J126">
            <v>35896294</v>
          </cell>
        </row>
        <row r="127">
          <cell r="I127">
            <v>48502698</v>
          </cell>
          <cell r="J127">
            <v>48502698</v>
          </cell>
        </row>
        <row r="128">
          <cell r="I128">
            <v>10570175</v>
          </cell>
          <cell r="J128">
            <v>3927000</v>
          </cell>
        </row>
        <row r="129">
          <cell r="I129">
            <v>63661710.840000004</v>
          </cell>
          <cell r="J129">
            <v>63661711</v>
          </cell>
        </row>
        <row r="130">
          <cell r="I130">
            <v>49063100424.449997</v>
          </cell>
          <cell r="J130">
            <v>17149933152</v>
          </cell>
        </row>
        <row r="131">
          <cell r="I131">
            <v>2500000</v>
          </cell>
          <cell r="J131">
            <v>2500000</v>
          </cell>
        </row>
        <row r="132">
          <cell r="I132">
            <v>88060000</v>
          </cell>
          <cell r="J132">
            <v>88060000</v>
          </cell>
        </row>
        <row r="133">
          <cell r="I133">
            <v>67360800</v>
          </cell>
          <cell r="J133">
            <v>0</v>
          </cell>
        </row>
        <row r="134">
          <cell r="I134">
            <v>1232671141</v>
          </cell>
          <cell r="J134">
            <v>502576664</v>
          </cell>
        </row>
        <row r="135">
          <cell r="I135">
            <v>1719518606.0910723</v>
          </cell>
          <cell r="J135">
            <v>0</v>
          </cell>
        </row>
        <row r="136">
          <cell r="I136">
            <v>1546264044.9493389</v>
          </cell>
          <cell r="J136">
            <v>0</v>
          </cell>
        </row>
        <row r="137">
          <cell r="I137">
            <v>142600747.21199998</v>
          </cell>
          <cell r="J137">
            <v>0</v>
          </cell>
        </row>
        <row r="138">
          <cell r="I138">
            <v>9802119167.2802906</v>
          </cell>
          <cell r="J138">
            <v>5558344080.0486364</v>
          </cell>
        </row>
        <row r="139">
          <cell r="I139">
            <v>391322447.33452427</v>
          </cell>
          <cell r="J139">
            <v>0</v>
          </cell>
        </row>
        <row r="140">
          <cell r="I140">
            <v>80000000</v>
          </cell>
          <cell r="J140">
            <v>80000000</v>
          </cell>
        </row>
        <row r="141">
          <cell r="I141">
            <v>164926562.5</v>
          </cell>
          <cell r="J141">
            <v>123276563</v>
          </cell>
        </row>
        <row r="142">
          <cell r="I142">
            <v>60000000</v>
          </cell>
          <cell r="J142">
            <v>60000000</v>
          </cell>
        </row>
        <row r="143">
          <cell r="I143">
            <v>1190000</v>
          </cell>
          <cell r="J143">
            <v>1190000</v>
          </cell>
        </row>
        <row r="144">
          <cell r="I144">
            <v>147240009</v>
          </cell>
          <cell r="J144">
            <v>147240009</v>
          </cell>
        </row>
        <row r="145">
          <cell r="I145">
            <v>35700000</v>
          </cell>
          <cell r="J145">
            <v>35700000</v>
          </cell>
        </row>
        <row r="146">
          <cell r="I146">
            <v>35700000</v>
          </cell>
          <cell r="J146">
            <v>35700000</v>
          </cell>
        </row>
        <row r="147">
          <cell r="I147">
            <v>47486117</v>
          </cell>
          <cell r="J147">
            <v>47486117</v>
          </cell>
        </row>
        <row r="148">
          <cell r="I148">
            <v>59500000</v>
          </cell>
          <cell r="J148">
            <v>59500000</v>
          </cell>
        </row>
        <row r="149">
          <cell r="I149">
            <v>53550000</v>
          </cell>
          <cell r="J149">
            <v>53550000</v>
          </cell>
        </row>
        <row r="150">
          <cell r="I150">
            <v>11900000</v>
          </cell>
          <cell r="J150">
            <v>11900000</v>
          </cell>
        </row>
        <row r="151">
          <cell r="I151">
            <v>33310678.73</v>
          </cell>
          <cell r="J151">
            <v>33310678.73</v>
          </cell>
        </row>
        <row r="152">
          <cell r="I152">
            <v>11900000</v>
          </cell>
          <cell r="J152">
            <v>11900000</v>
          </cell>
        </row>
        <row r="153">
          <cell r="I153">
            <v>4291418065.1776261</v>
          </cell>
          <cell r="J153">
            <v>910607218.93636107</v>
          </cell>
        </row>
        <row r="154">
          <cell r="I154">
            <v>20000000</v>
          </cell>
          <cell r="J154">
            <v>20000000</v>
          </cell>
        </row>
        <row r="155">
          <cell r="I155">
            <v>445060000</v>
          </cell>
          <cell r="J155">
            <v>445060000</v>
          </cell>
        </row>
        <row r="156">
          <cell r="I156">
            <v>47600000</v>
          </cell>
          <cell r="J156">
            <v>47600000</v>
          </cell>
        </row>
        <row r="157">
          <cell r="I157">
            <v>9062383169.7000008</v>
          </cell>
          <cell r="J157">
            <v>7899106868</v>
          </cell>
        </row>
        <row r="158">
          <cell r="I158">
            <v>1311936747.408</v>
          </cell>
          <cell r="J158">
            <v>1307265292</v>
          </cell>
        </row>
        <row r="159">
          <cell r="I159">
            <v>110000000</v>
          </cell>
          <cell r="J159">
            <v>110000000</v>
          </cell>
        </row>
        <row r="160">
          <cell r="I160">
            <v>0</v>
          </cell>
          <cell r="J160">
            <v>0</v>
          </cell>
        </row>
        <row r="161">
          <cell r="I161">
            <v>125000000</v>
          </cell>
          <cell r="J161">
            <v>125000000</v>
          </cell>
        </row>
        <row r="162">
          <cell r="I162">
            <v>2599015732.7979598</v>
          </cell>
          <cell r="J162">
            <v>802233900</v>
          </cell>
        </row>
        <row r="163">
          <cell r="I163">
            <v>918054600</v>
          </cell>
          <cell r="J163">
            <v>0</v>
          </cell>
        </row>
        <row r="164">
          <cell r="I164">
            <v>92820000</v>
          </cell>
          <cell r="J164">
            <v>78000000</v>
          </cell>
        </row>
        <row r="165">
          <cell r="I165">
            <v>3570000</v>
          </cell>
          <cell r="J165">
            <v>3000000</v>
          </cell>
        </row>
        <row r="166">
          <cell r="I166">
            <v>37154853.809700005</v>
          </cell>
          <cell r="J166">
            <v>0</v>
          </cell>
        </row>
        <row r="167">
          <cell r="I167">
            <v>16829569.050000001</v>
          </cell>
          <cell r="J167">
            <v>5303993</v>
          </cell>
        </row>
        <row r="168">
          <cell r="I168">
            <v>2629900</v>
          </cell>
          <cell r="J168">
            <v>2629900</v>
          </cell>
        </row>
        <row r="169">
          <cell r="I169">
            <v>2335659.4950000001</v>
          </cell>
          <cell r="J169">
            <v>2335659</v>
          </cell>
        </row>
        <row r="170">
          <cell r="I170">
            <v>52054002.210000001</v>
          </cell>
          <cell r="J170">
            <v>16405296</v>
          </cell>
        </row>
        <row r="171">
          <cell r="I171">
            <v>52598483.140000001</v>
          </cell>
          <cell r="J171">
            <v>4154698.4873333336</v>
          </cell>
        </row>
        <row r="172">
          <cell r="I172">
            <v>0</v>
          </cell>
          <cell r="J172">
            <v>0</v>
          </cell>
        </row>
        <row r="173">
          <cell r="I173">
            <v>43542888.545000002</v>
          </cell>
          <cell r="J173">
            <v>36590662.642857142</v>
          </cell>
        </row>
        <row r="174">
          <cell r="I174">
            <v>2689811.74</v>
          </cell>
          <cell r="J174">
            <v>2260346</v>
          </cell>
        </row>
        <row r="175">
          <cell r="I175">
            <v>2337977191.4688001</v>
          </cell>
          <cell r="J175">
            <v>2688673770.1891198</v>
          </cell>
        </row>
        <row r="176">
          <cell r="I176">
            <v>56749034.160000011</v>
          </cell>
          <cell r="J176">
            <v>0</v>
          </cell>
        </row>
        <row r="177">
          <cell r="I177">
            <v>54303751.950000003</v>
          </cell>
          <cell r="J177">
            <v>41896119</v>
          </cell>
        </row>
        <row r="178">
          <cell r="I178">
            <v>8684981.7599999998</v>
          </cell>
          <cell r="J178">
            <v>2432768</v>
          </cell>
        </row>
        <row r="179">
          <cell r="I179">
            <v>43690247.971324503</v>
          </cell>
          <cell r="J179">
            <v>0</v>
          </cell>
        </row>
        <row r="180">
          <cell r="I180">
            <v>20031582.969999999</v>
          </cell>
          <cell r="J180">
            <v>14458500</v>
          </cell>
        </row>
        <row r="181">
          <cell r="I181">
            <v>3927805826.5165997</v>
          </cell>
          <cell r="J181">
            <v>1049608198.24</v>
          </cell>
        </row>
        <row r="182">
          <cell r="I182">
            <v>5274431796.9535055</v>
          </cell>
          <cell r="J182">
            <v>1853702610.8579998</v>
          </cell>
        </row>
        <row r="183">
          <cell r="I183">
            <v>46610962.874111995</v>
          </cell>
          <cell r="J183">
            <v>39168876.364799999</v>
          </cell>
        </row>
        <row r="184">
          <cell r="I184">
            <v>36499032.224928007</v>
          </cell>
          <cell r="J184">
            <v>30671455.651200008</v>
          </cell>
        </row>
        <row r="185">
          <cell r="I185">
            <v>12840486.75</v>
          </cell>
          <cell r="J185">
            <v>10790325</v>
          </cell>
        </row>
        <row r="186">
          <cell r="I186">
            <v>145868682.69053751</v>
          </cell>
          <cell r="J186">
            <v>98466910</v>
          </cell>
        </row>
        <row r="187">
          <cell r="I187">
            <v>189307440.06481454</v>
          </cell>
          <cell r="J187">
            <v>62874018.871950008</v>
          </cell>
        </row>
        <row r="188">
          <cell r="I188">
            <v>25209667.097999997</v>
          </cell>
          <cell r="J188">
            <v>25209667</v>
          </cell>
        </row>
        <row r="189">
          <cell r="I189">
            <v>1387063449</v>
          </cell>
          <cell r="J189">
            <v>599315057</v>
          </cell>
        </row>
        <row r="190">
          <cell r="I190">
            <v>285600000</v>
          </cell>
          <cell r="J190">
            <v>285600000</v>
          </cell>
        </row>
        <row r="191">
          <cell r="I191">
            <v>84368152.329999998</v>
          </cell>
          <cell r="J191">
            <v>84368152.329999998</v>
          </cell>
        </row>
        <row r="192">
          <cell r="I192">
            <v>107766400</v>
          </cell>
          <cell r="J192">
            <v>107766400</v>
          </cell>
        </row>
        <row r="193">
          <cell r="I193">
            <v>47600000</v>
          </cell>
          <cell r="J193">
            <v>47600000</v>
          </cell>
        </row>
        <row r="194">
          <cell r="I194">
            <v>98754508.347949997</v>
          </cell>
          <cell r="J194">
            <v>98754508.347949997</v>
          </cell>
        </row>
        <row r="195">
          <cell r="I195">
            <v>1618043568.8199999</v>
          </cell>
          <cell r="J195">
            <v>1618043568.8199999</v>
          </cell>
        </row>
        <row r="196">
          <cell r="I196">
            <v>1538538872.71</v>
          </cell>
          <cell r="J196">
            <v>1538538872.71</v>
          </cell>
        </row>
        <row r="197">
          <cell r="I197">
            <v>703996952.82000005</v>
          </cell>
          <cell r="J197">
            <v>703996952.82000005</v>
          </cell>
        </row>
        <row r="198">
          <cell r="I198">
            <v>4000000</v>
          </cell>
          <cell r="J198">
            <v>4000000</v>
          </cell>
        </row>
        <row r="199">
          <cell r="I199">
            <v>23983513.469999999</v>
          </cell>
          <cell r="J199">
            <v>23983514</v>
          </cell>
        </row>
        <row r="200">
          <cell r="I200">
            <v>384627981</v>
          </cell>
          <cell r="J200">
            <v>384627981</v>
          </cell>
        </row>
        <row r="201">
          <cell r="I201">
            <v>60960000</v>
          </cell>
          <cell r="J201">
            <v>60960000</v>
          </cell>
        </row>
        <row r="202">
          <cell r="I202">
            <v>107100000</v>
          </cell>
          <cell r="J202">
            <v>107100000</v>
          </cell>
        </row>
        <row r="203">
          <cell r="I203">
            <v>1800726956.7</v>
          </cell>
          <cell r="J203">
            <v>1500605797</v>
          </cell>
        </row>
        <row r="204">
          <cell r="I204">
            <v>292509727.86000001</v>
          </cell>
          <cell r="J204">
            <v>292509728</v>
          </cell>
        </row>
        <row r="205">
          <cell r="I205">
            <v>59500000</v>
          </cell>
          <cell r="J205">
            <v>71400000</v>
          </cell>
        </row>
        <row r="206">
          <cell r="I206">
            <v>59500000</v>
          </cell>
          <cell r="J206">
            <v>71400000</v>
          </cell>
        </row>
        <row r="207">
          <cell r="I207">
            <v>50000000</v>
          </cell>
          <cell r="J207">
            <v>50000000</v>
          </cell>
        </row>
        <row r="208">
          <cell r="I208">
            <v>33320000</v>
          </cell>
          <cell r="J208">
            <v>33320000</v>
          </cell>
        </row>
        <row r="209">
          <cell r="I209">
            <v>33320000</v>
          </cell>
          <cell r="J209">
            <v>33320000</v>
          </cell>
        </row>
        <row r="210">
          <cell r="I210">
            <v>1309000000</v>
          </cell>
          <cell r="J210">
            <v>1309000000</v>
          </cell>
        </row>
        <row r="211">
          <cell r="I211">
            <v>19999999.18</v>
          </cell>
          <cell r="J211">
            <v>20000000</v>
          </cell>
        </row>
        <row r="212">
          <cell r="I212">
            <v>374891559.56</v>
          </cell>
          <cell r="J212">
            <v>309912909.07046413</v>
          </cell>
        </row>
        <row r="213">
          <cell r="I213">
            <v>5100922243.1999998</v>
          </cell>
          <cell r="J213">
            <v>4142656120.9026732</v>
          </cell>
        </row>
        <row r="214">
          <cell r="I214">
            <v>23244950.68</v>
          </cell>
          <cell r="J214">
            <v>23244950.68</v>
          </cell>
        </row>
        <row r="215">
          <cell r="I215">
            <v>26299000</v>
          </cell>
          <cell r="J215">
            <v>26299000</v>
          </cell>
        </row>
        <row r="216">
          <cell r="I216">
            <v>308210000</v>
          </cell>
          <cell r="J216">
            <v>308210000</v>
          </cell>
        </row>
        <row r="217">
          <cell r="I217">
            <v>109123000</v>
          </cell>
          <cell r="J217">
            <v>109123000</v>
          </cell>
        </row>
        <row r="218">
          <cell r="I218">
            <v>599999.18999999994</v>
          </cell>
          <cell r="J218">
            <v>599999.18999999994</v>
          </cell>
        </row>
        <row r="219">
          <cell r="I219">
            <v>799998.92</v>
          </cell>
          <cell r="J219">
            <v>799998.92</v>
          </cell>
        </row>
        <row r="220">
          <cell r="I220">
            <v>58871156.399999999</v>
          </cell>
          <cell r="J220">
            <v>58871156.399999999</v>
          </cell>
        </row>
        <row r="221">
          <cell r="I221">
            <v>1784384.77</v>
          </cell>
          <cell r="J221">
            <v>1784384.77</v>
          </cell>
        </row>
        <row r="222">
          <cell r="I222">
            <v>3570000</v>
          </cell>
          <cell r="J222">
            <v>3570000</v>
          </cell>
        </row>
        <row r="223">
          <cell r="I223">
            <v>595000</v>
          </cell>
          <cell r="J223">
            <v>595000</v>
          </cell>
        </row>
        <row r="224">
          <cell r="I224">
            <v>1950648</v>
          </cell>
          <cell r="J224">
            <v>1950648</v>
          </cell>
        </row>
        <row r="225">
          <cell r="I225">
            <v>1950648</v>
          </cell>
          <cell r="J225">
            <v>1950648</v>
          </cell>
        </row>
        <row r="226">
          <cell r="I226">
            <v>2142000</v>
          </cell>
          <cell r="J226">
            <v>2142000</v>
          </cell>
        </row>
        <row r="227">
          <cell r="I227">
            <v>2159850</v>
          </cell>
          <cell r="J227">
            <v>2159850</v>
          </cell>
        </row>
        <row r="228">
          <cell r="I228">
            <v>3904269.81</v>
          </cell>
          <cell r="J228">
            <v>3904269.81</v>
          </cell>
        </row>
        <row r="229">
          <cell r="I229">
            <v>9996000</v>
          </cell>
          <cell r="J229">
            <v>9996000</v>
          </cell>
        </row>
        <row r="230">
          <cell r="I230">
            <v>4760000</v>
          </cell>
          <cell r="J230">
            <v>4760000</v>
          </cell>
        </row>
        <row r="231">
          <cell r="I231">
            <v>4760000</v>
          </cell>
          <cell r="J231">
            <v>4760000</v>
          </cell>
        </row>
        <row r="232">
          <cell r="I232">
            <v>714000</v>
          </cell>
          <cell r="J232">
            <v>714000</v>
          </cell>
        </row>
        <row r="233">
          <cell r="I233">
            <v>4760000</v>
          </cell>
          <cell r="J233">
            <v>4760000</v>
          </cell>
        </row>
        <row r="234">
          <cell r="I234">
            <v>3570000</v>
          </cell>
          <cell r="J234">
            <v>3570000</v>
          </cell>
        </row>
        <row r="235">
          <cell r="I235">
            <v>3570000</v>
          </cell>
          <cell r="J235">
            <v>3570000</v>
          </cell>
        </row>
        <row r="236">
          <cell r="I236">
            <v>1428000</v>
          </cell>
          <cell r="J236">
            <v>1428000</v>
          </cell>
        </row>
        <row r="237">
          <cell r="I237">
            <v>30940000</v>
          </cell>
          <cell r="J237">
            <v>30940000</v>
          </cell>
        </row>
        <row r="238">
          <cell r="I238">
            <v>5950000</v>
          </cell>
          <cell r="J238">
            <v>5950000</v>
          </cell>
        </row>
        <row r="239">
          <cell r="I239">
            <v>3213000</v>
          </cell>
          <cell r="J239">
            <v>3213000</v>
          </cell>
        </row>
        <row r="240">
          <cell r="I240">
            <v>11900000</v>
          </cell>
          <cell r="J240">
            <v>11900000</v>
          </cell>
        </row>
        <row r="241">
          <cell r="I241">
            <v>1487500</v>
          </cell>
          <cell r="J241">
            <v>1487500</v>
          </cell>
        </row>
        <row r="242">
          <cell r="I242">
            <v>4760000</v>
          </cell>
          <cell r="J242">
            <v>4760000</v>
          </cell>
        </row>
        <row r="243">
          <cell r="I243">
            <v>714000</v>
          </cell>
          <cell r="J243">
            <v>714000</v>
          </cell>
        </row>
        <row r="244">
          <cell r="I244">
            <v>12208210</v>
          </cell>
          <cell r="J244">
            <v>12208210</v>
          </cell>
        </row>
        <row r="245">
          <cell r="I245">
            <v>1054589.8999999999</v>
          </cell>
          <cell r="J245">
            <v>1054589.8999999999</v>
          </cell>
        </row>
        <row r="246">
          <cell r="I246">
            <v>11900000</v>
          </cell>
          <cell r="J246">
            <v>11900000</v>
          </cell>
        </row>
        <row r="247">
          <cell r="I247">
            <v>11900000</v>
          </cell>
          <cell r="J247">
            <v>11900000</v>
          </cell>
        </row>
        <row r="248">
          <cell r="I248">
            <v>3000000</v>
          </cell>
          <cell r="J248">
            <v>3000000</v>
          </cell>
        </row>
        <row r="249">
          <cell r="I249">
            <v>664299.65</v>
          </cell>
          <cell r="J249">
            <v>664299.65</v>
          </cell>
        </row>
        <row r="250">
          <cell r="I250">
            <v>3769999.73</v>
          </cell>
          <cell r="J250">
            <v>3769999.73</v>
          </cell>
        </row>
        <row r="251">
          <cell r="I251">
            <v>2992000.34</v>
          </cell>
          <cell r="J251">
            <v>2992000.34</v>
          </cell>
        </row>
        <row r="252">
          <cell r="I252">
            <v>3094000</v>
          </cell>
          <cell r="J252">
            <v>3094000</v>
          </cell>
        </row>
        <row r="253">
          <cell r="I253">
            <v>3094000</v>
          </cell>
          <cell r="J253">
            <v>3094000</v>
          </cell>
        </row>
        <row r="254">
          <cell r="I254">
            <v>2142000</v>
          </cell>
          <cell r="J254">
            <v>2142000</v>
          </cell>
        </row>
        <row r="255">
          <cell r="I255">
            <v>3570000</v>
          </cell>
          <cell r="J255">
            <v>3570000</v>
          </cell>
        </row>
        <row r="256">
          <cell r="I256">
            <v>26353819.73</v>
          </cell>
          <cell r="J256">
            <v>26353819.73</v>
          </cell>
        </row>
        <row r="257">
          <cell r="I257">
            <v>7497000</v>
          </cell>
          <cell r="J257">
            <v>7497000</v>
          </cell>
        </row>
        <row r="258">
          <cell r="I258">
            <v>7140000</v>
          </cell>
          <cell r="J258">
            <v>7140000</v>
          </cell>
        </row>
        <row r="259">
          <cell r="I259">
            <v>1190000</v>
          </cell>
          <cell r="J259">
            <v>1190000</v>
          </cell>
        </row>
        <row r="260">
          <cell r="I260">
            <v>17017000</v>
          </cell>
          <cell r="J260">
            <v>17017000</v>
          </cell>
        </row>
        <row r="261">
          <cell r="I261">
            <v>17017000</v>
          </cell>
          <cell r="J261">
            <v>17017000</v>
          </cell>
        </row>
        <row r="262">
          <cell r="I262">
            <v>6832471.8700000001</v>
          </cell>
          <cell r="J262">
            <v>6832471.8700000001</v>
          </cell>
        </row>
        <row r="263">
          <cell r="I263">
            <v>4518752.49</v>
          </cell>
          <cell r="J263">
            <v>4518752.49</v>
          </cell>
        </row>
        <row r="264">
          <cell r="I264">
            <v>3494116.08</v>
          </cell>
          <cell r="J264">
            <v>3494116.08</v>
          </cell>
        </row>
        <row r="265">
          <cell r="I265">
            <v>595000</v>
          </cell>
          <cell r="J265">
            <v>595000</v>
          </cell>
        </row>
        <row r="266">
          <cell r="I266">
            <v>33829320</v>
          </cell>
          <cell r="J266">
            <v>33829320</v>
          </cell>
        </row>
        <row r="267">
          <cell r="I267">
            <v>33829320</v>
          </cell>
          <cell r="J267">
            <v>33829320</v>
          </cell>
        </row>
        <row r="268">
          <cell r="I268">
            <v>3570000</v>
          </cell>
          <cell r="J268">
            <v>3570000</v>
          </cell>
        </row>
        <row r="269">
          <cell r="I269">
            <v>595000</v>
          </cell>
          <cell r="J269">
            <v>595000</v>
          </cell>
        </row>
        <row r="270">
          <cell r="I270">
            <v>2142000</v>
          </cell>
          <cell r="J270">
            <v>2142000</v>
          </cell>
        </row>
        <row r="271">
          <cell r="I271">
            <v>2142000</v>
          </cell>
          <cell r="J271">
            <v>2142000</v>
          </cell>
        </row>
        <row r="272">
          <cell r="I272">
            <v>833000</v>
          </cell>
          <cell r="J272">
            <v>833000</v>
          </cell>
        </row>
        <row r="273">
          <cell r="I273">
            <v>714000</v>
          </cell>
          <cell r="J273">
            <v>714000</v>
          </cell>
        </row>
        <row r="274">
          <cell r="I274">
            <v>2142000</v>
          </cell>
          <cell r="J274">
            <v>2142000</v>
          </cell>
        </row>
        <row r="275">
          <cell r="I275">
            <v>2928202.06</v>
          </cell>
          <cell r="J275">
            <v>2928202.06</v>
          </cell>
        </row>
        <row r="276">
          <cell r="I276">
            <v>2499000</v>
          </cell>
          <cell r="J276">
            <v>2499000</v>
          </cell>
        </row>
        <row r="277">
          <cell r="I277">
            <v>952000</v>
          </cell>
          <cell r="J277">
            <v>952000</v>
          </cell>
        </row>
        <row r="278">
          <cell r="I278">
            <v>178500</v>
          </cell>
          <cell r="J278">
            <v>178500</v>
          </cell>
        </row>
        <row r="279">
          <cell r="I279">
            <v>5357779.84</v>
          </cell>
          <cell r="J279">
            <v>5357779.84</v>
          </cell>
        </row>
        <row r="280">
          <cell r="I280">
            <v>5357779.84</v>
          </cell>
          <cell r="J280">
            <v>5357779.84</v>
          </cell>
        </row>
        <row r="281">
          <cell r="I281">
            <v>2737000</v>
          </cell>
          <cell r="J281">
            <v>2737000</v>
          </cell>
        </row>
        <row r="282">
          <cell r="I282">
            <v>30177181.440000001</v>
          </cell>
          <cell r="J282">
            <v>30177181.440000001</v>
          </cell>
        </row>
        <row r="283">
          <cell r="I283">
            <v>2975000</v>
          </cell>
          <cell r="J283">
            <v>2975000</v>
          </cell>
        </row>
        <row r="284">
          <cell r="I284">
            <v>2975000</v>
          </cell>
          <cell r="J284">
            <v>2975000</v>
          </cell>
        </row>
        <row r="285">
          <cell r="I285">
            <v>6545000</v>
          </cell>
          <cell r="J285">
            <v>6545000</v>
          </cell>
        </row>
        <row r="286">
          <cell r="I286">
            <v>6545000</v>
          </cell>
          <cell r="J286">
            <v>6545000</v>
          </cell>
        </row>
        <row r="287">
          <cell r="I287">
            <v>14280000</v>
          </cell>
          <cell r="J287">
            <v>14280000</v>
          </cell>
        </row>
        <row r="288">
          <cell r="I288">
            <v>4998000</v>
          </cell>
          <cell r="J288">
            <v>4998000</v>
          </cell>
        </row>
        <row r="289">
          <cell r="I289">
            <v>2975000</v>
          </cell>
          <cell r="J289">
            <v>2975000</v>
          </cell>
        </row>
        <row r="290">
          <cell r="I290">
            <v>4760000</v>
          </cell>
          <cell r="J290">
            <v>4760000</v>
          </cell>
        </row>
        <row r="291">
          <cell r="I291">
            <v>2142000</v>
          </cell>
          <cell r="J291">
            <v>2142000</v>
          </cell>
        </row>
        <row r="292">
          <cell r="I292">
            <v>3332000</v>
          </cell>
          <cell r="J292">
            <v>3332000</v>
          </cell>
        </row>
        <row r="293">
          <cell r="I293">
            <v>1785000</v>
          </cell>
          <cell r="J293">
            <v>1785000</v>
          </cell>
        </row>
        <row r="294">
          <cell r="I294">
            <v>2159850.0000000005</v>
          </cell>
          <cell r="J294">
            <v>2159850.0000000005</v>
          </cell>
        </row>
        <row r="295">
          <cell r="I295">
            <v>3904269.81</v>
          </cell>
          <cell r="J295">
            <v>3904269.81</v>
          </cell>
        </row>
        <row r="296">
          <cell r="I296">
            <v>8784606.1799999997</v>
          </cell>
          <cell r="J296">
            <v>8784606.1799999997</v>
          </cell>
        </row>
        <row r="297">
          <cell r="I297">
            <v>1428000</v>
          </cell>
          <cell r="J297">
            <v>1428000</v>
          </cell>
        </row>
        <row r="298">
          <cell r="I298">
            <v>2380000</v>
          </cell>
          <cell r="J298">
            <v>2380000</v>
          </cell>
        </row>
        <row r="299">
          <cell r="I299">
            <v>2380000</v>
          </cell>
          <cell r="J299">
            <v>2380000</v>
          </cell>
        </row>
        <row r="300">
          <cell r="I300">
            <v>35700000</v>
          </cell>
          <cell r="J300">
            <v>35700000</v>
          </cell>
        </row>
        <row r="301">
          <cell r="I301">
            <v>15470000</v>
          </cell>
          <cell r="J301">
            <v>15470000</v>
          </cell>
        </row>
        <row r="302">
          <cell r="I302">
            <v>595000</v>
          </cell>
          <cell r="J302">
            <v>595000</v>
          </cell>
        </row>
        <row r="303">
          <cell r="I303">
            <v>6545000</v>
          </cell>
          <cell r="J303">
            <v>6545000</v>
          </cell>
        </row>
        <row r="304">
          <cell r="I304">
            <v>6545000</v>
          </cell>
          <cell r="J304">
            <v>6545000</v>
          </cell>
        </row>
        <row r="305">
          <cell r="I305">
            <v>10710000</v>
          </cell>
          <cell r="J305">
            <v>10710000</v>
          </cell>
        </row>
        <row r="306">
          <cell r="I306">
            <v>10710000</v>
          </cell>
          <cell r="J306">
            <v>10710000</v>
          </cell>
        </row>
        <row r="307">
          <cell r="I307">
            <v>3570000</v>
          </cell>
          <cell r="J307">
            <v>3570000</v>
          </cell>
        </row>
        <row r="308">
          <cell r="I308">
            <v>11900000</v>
          </cell>
          <cell r="J308">
            <v>11900000</v>
          </cell>
        </row>
        <row r="309">
          <cell r="I309">
            <v>3570000</v>
          </cell>
          <cell r="J309">
            <v>3570000</v>
          </cell>
        </row>
        <row r="310">
          <cell r="I310">
            <v>6545000</v>
          </cell>
          <cell r="J310">
            <v>6545000</v>
          </cell>
        </row>
        <row r="311">
          <cell r="I311">
            <v>4165000</v>
          </cell>
          <cell r="J311">
            <v>4165000</v>
          </cell>
        </row>
        <row r="312">
          <cell r="I312">
            <v>4165000</v>
          </cell>
          <cell r="J312">
            <v>4165000</v>
          </cell>
        </row>
        <row r="313">
          <cell r="I313">
            <v>4165000</v>
          </cell>
          <cell r="J313">
            <v>4165000</v>
          </cell>
        </row>
        <row r="314">
          <cell r="I314">
            <v>8330000</v>
          </cell>
          <cell r="J314">
            <v>8330000</v>
          </cell>
        </row>
        <row r="315">
          <cell r="I315">
            <v>2380000</v>
          </cell>
          <cell r="J315">
            <v>2380000</v>
          </cell>
        </row>
        <row r="316">
          <cell r="I316">
            <v>16593145.800000001</v>
          </cell>
          <cell r="J316">
            <v>16593145.800000001</v>
          </cell>
        </row>
        <row r="317">
          <cell r="I317">
            <v>714000</v>
          </cell>
          <cell r="J317">
            <v>714000</v>
          </cell>
        </row>
        <row r="318">
          <cell r="I318">
            <v>3280899</v>
          </cell>
          <cell r="J318">
            <v>3280899</v>
          </cell>
        </row>
        <row r="319">
          <cell r="I319">
            <v>1374450</v>
          </cell>
          <cell r="J319">
            <v>1374450</v>
          </cell>
        </row>
        <row r="320">
          <cell r="I320">
            <v>1237600</v>
          </cell>
          <cell r="J320">
            <v>1237600</v>
          </cell>
        </row>
        <row r="321">
          <cell r="I321">
            <v>1606500</v>
          </cell>
          <cell r="J321">
            <v>1606500</v>
          </cell>
        </row>
        <row r="322">
          <cell r="I322">
            <v>2470820.7999999998</v>
          </cell>
          <cell r="J322">
            <v>2470820.7999999998</v>
          </cell>
        </row>
        <row r="323">
          <cell r="I323">
            <v>2470820.7999999998</v>
          </cell>
          <cell r="J323">
            <v>2470820.7999999998</v>
          </cell>
        </row>
        <row r="324">
          <cell r="I324">
            <v>5355000</v>
          </cell>
          <cell r="J324">
            <v>5355000</v>
          </cell>
        </row>
        <row r="325">
          <cell r="I325">
            <v>5355000</v>
          </cell>
          <cell r="J325">
            <v>5355000</v>
          </cell>
        </row>
        <row r="326">
          <cell r="I326">
            <v>3904269.81</v>
          </cell>
          <cell r="J326">
            <v>3904269.81</v>
          </cell>
        </row>
        <row r="327">
          <cell r="I327">
            <v>1785000</v>
          </cell>
          <cell r="J327">
            <v>1785000</v>
          </cell>
        </row>
        <row r="328">
          <cell r="I328">
            <v>1785000</v>
          </cell>
          <cell r="J328">
            <v>1785000</v>
          </cell>
        </row>
        <row r="329">
          <cell r="I329">
            <v>4328753.5199999996</v>
          </cell>
          <cell r="J329">
            <v>4328753.5199999996</v>
          </cell>
        </row>
        <row r="330">
          <cell r="I330">
            <v>5000000</v>
          </cell>
          <cell r="J330">
            <v>5000000</v>
          </cell>
        </row>
        <row r="331">
          <cell r="I331">
            <v>1790100</v>
          </cell>
          <cell r="J331">
            <v>1790100</v>
          </cell>
        </row>
        <row r="332">
          <cell r="I332">
            <v>2996110.6</v>
          </cell>
          <cell r="J332">
            <v>2996110.6</v>
          </cell>
        </row>
        <row r="333">
          <cell r="I333">
            <v>2564546.39</v>
          </cell>
          <cell r="J333">
            <v>2564546.39</v>
          </cell>
        </row>
        <row r="334">
          <cell r="I334">
            <v>1893386.3900000001</v>
          </cell>
          <cell r="J334">
            <v>1893386.3900000001</v>
          </cell>
        </row>
        <row r="335">
          <cell r="I335">
            <v>5355000</v>
          </cell>
          <cell r="J335">
            <v>5355000</v>
          </cell>
        </row>
        <row r="336">
          <cell r="I336">
            <v>5355000</v>
          </cell>
          <cell r="J336">
            <v>5355000</v>
          </cell>
        </row>
        <row r="337">
          <cell r="I337">
            <v>3570000</v>
          </cell>
          <cell r="J337">
            <v>3570000</v>
          </cell>
        </row>
        <row r="338">
          <cell r="I338">
            <v>714000</v>
          </cell>
          <cell r="J338">
            <v>714000</v>
          </cell>
        </row>
        <row r="339">
          <cell r="I339">
            <v>4760000</v>
          </cell>
          <cell r="J339">
            <v>4760000</v>
          </cell>
        </row>
        <row r="340">
          <cell r="I340">
            <v>22253000</v>
          </cell>
          <cell r="J340">
            <v>22253000</v>
          </cell>
        </row>
        <row r="341">
          <cell r="I341">
            <v>1785000</v>
          </cell>
          <cell r="J341">
            <v>1785000</v>
          </cell>
        </row>
        <row r="342">
          <cell r="I342">
            <v>2380000</v>
          </cell>
          <cell r="J342">
            <v>2380000</v>
          </cell>
        </row>
        <row r="343">
          <cell r="I343">
            <v>5950000</v>
          </cell>
          <cell r="J343">
            <v>5950000</v>
          </cell>
        </row>
        <row r="344">
          <cell r="I344">
            <v>5950000</v>
          </cell>
          <cell r="J344">
            <v>5950000</v>
          </cell>
        </row>
        <row r="345">
          <cell r="I345">
            <v>2928202.06</v>
          </cell>
          <cell r="J345">
            <v>2928202.06</v>
          </cell>
        </row>
        <row r="346">
          <cell r="I346">
            <v>5856405.3100000005</v>
          </cell>
          <cell r="J346">
            <v>5856405.3100000005</v>
          </cell>
        </row>
        <row r="347">
          <cell r="I347">
            <v>1190000</v>
          </cell>
          <cell r="J347">
            <v>1190000</v>
          </cell>
        </row>
        <row r="348">
          <cell r="I348">
            <v>2380000</v>
          </cell>
          <cell r="J348">
            <v>2380000</v>
          </cell>
        </row>
        <row r="349">
          <cell r="I349">
            <v>4760000</v>
          </cell>
          <cell r="J349">
            <v>4760000</v>
          </cell>
        </row>
        <row r="350">
          <cell r="I350">
            <v>7140000</v>
          </cell>
          <cell r="J350">
            <v>7140000</v>
          </cell>
        </row>
        <row r="351">
          <cell r="I351">
            <v>7140000</v>
          </cell>
          <cell r="J351">
            <v>7140000</v>
          </cell>
        </row>
        <row r="352">
          <cell r="I352">
            <v>3400000.17</v>
          </cell>
          <cell r="J352">
            <v>3400000.17</v>
          </cell>
        </row>
        <row r="353">
          <cell r="I353">
            <v>729300</v>
          </cell>
          <cell r="J353">
            <v>729300</v>
          </cell>
        </row>
        <row r="354">
          <cell r="I354">
            <v>795600</v>
          </cell>
          <cell r="J354">
            <v>795600</v>
          </cell>
        </row>
        <row r="355">
          <cell r="I355">
            <v>988974.49</v>
          </cell>
          <cell r="J355">
            <v>988974.49</v>
          </cell>
        </row>
        <row r="356">
          <cell r="I356">
            <v>3570000</v>
          </cell>
          <cell r="J356">
            <v>3570000</v>
          </cell>
        </row>
        <row r="357">
          <cell r="I357">
            <v>3570000</v>
          </cell>
          <cell r="J357">
            <v>3570000</v>
          </cell>
        </row>
        <row r="358">
          <cell r="I358">
            <v>1950648</v>
          </cell>
          <cell r="J358">
            <v>1950648</v>
          </cell>
        </row>
        <row r="359">
          <cell r="I359">
            <v>1950648</v>
          </cell>
          <cell r="J359">
            <v>1950648</v>
          </cell>
        </row>
        <row r="360">
          <cell r="I360">
            <v>540000</v>
          </cell>
          <cell r="J360">
            <v>540000</v>
          </cell>
        </row>
        <row r="361">
          <cell r="I361">
            <v>2856000</v>
          </cell>
          <cell r="J361">
            <v>2856000</v>
          </cell>
        </row>
        <row r="362">
          <cell r="I362">
            <v>773500</v>
          </cell>
          <cell r="J362">
            <v>773500</v>
          </cell>
        </row>
        <row r="363">
          <cell r="I363">
            <v>19992000</v>
          </cell>
          <cell r="J363">
            <v>19992000</v>
          </cell>
        </row>
        <row r="364">
          <cell r="I364">
            <v>369005.91000000003</v>
          </cell>
          <cell r="J364">
            <v>369005.91000000003</v>
          </cell>
        </row>
        <row r="365">
          <cell r="I365">
            <v>3681860</v>
          </cell>
          <cell r="J365">
            <v>3681860</v>
          </cell>
        </row>
        <row r="366">
          <cell r="I366">
            <v>1428000</v>
          </cell>
          <cell r="J366">
            <v>1428000</v>
          </cell>
        </row>
        <row r="367">
          <cell r="I367">
            <v>1428000</v>
          </cell>
          <cell r="J367">
            <v>1428000</v>
          </cell>
        </row>
        <row r="368">
          <cell r="I368">
            <v>1963500</v>
          </cell>
          <cell r="J368">
            <v>1963500</v>
          </cell>
        </row>
        <row r="369">
          <cell r="I369">
            <v>3094000</v>
          </cell>
          <cell r="J369">
            <v>3094000</v>
          </cell>
        </row>
        <row r="370">
          <cell r="I370">
            <v>714000</v>
          </cell>
          <cell r="J370">
            <v>714000</v>
          </cell>
        </row>
        <row r="371">
          <cell r="I371">
            <v>2380000</v>
          </cell>
          <cell r="J371">
            <v>2380000</v>
          </cell>
        </row>
        <row r="372">
          <cell r="I372">
            <v>2380000</v>
          </cell>
          <cell r="J372">
            <v>2380000</v>
          </cell>
        </row>
        <row r="373">
          <cell r="I373">
            <v>810000</v>
          </cell>
          <cell r="J373">
            <v>810000</v>
          </cell>
        </row>
        <row r="374">
          <cell r="I374">
            <v>3332000</v>
          </cell>
          <cell r="J374">
            <v>3332000</v>
          </cell>
        </row>
        <row r="375">
          <cell r="I375">
            <v>2600864</v>
          </cell>
          <cell r="J375">
            <v>2600864</v>
          </cell>
        </row>
        <row r="376">
          <cell r="I376">
            <v>2600864</v>
          </cell>
          <cell r="J376">
            <v>2600864</v>
          </cell>
        </row>
        <row r="377">
          <cell r="I377">
            <v>3570000</v>
          </cell>
          <cell r="J377">
            <v>3570000</v>
          </cell>
        </row>
        <row r="378">
          <cell r="I378">
            <v>1190000</v>
          </cell>
          <cell r="J378">
            <v>1190000</v>
          </cell>
        </row>
        <row r="379">
          <cell r="I379">
            <v>4879000</v>
          </cell>
          <cell r="J379">
            <v>4879000</v>
          </cell>
        </row>
        <row r="380">
          <cell r="I380">
            <v>3332000</v>
          </cell>
          <cell r="J380">
            <v>3332000</v>
          </cell>
        </row>
        <row r="381">
          <cell r="I381">
            <v>2380000</v>
          </cell>
          <cell r="J381">
            <v>2380000</v>
          </cell>
        </row>
        <row r="382">
          <cell r="I382">
            <v>2380000</v>
          </cell>
          <cell r="J382">
            <v>2380000</v>
          </cell>
        </row>
        <row r="383">
          <cell r="I383">
            <v>2169667.5</v>
          </cell>
          <cell r="J383">
            <v>2169667.5</v>
          </cell>
        </row>
        <row r="384">
          <cell r="I384">
            <v>1732532.9</v>
          </cell>
          <cell r="J384">
            <v>1732532.9</v>
          </cell>
        </row>
        <row r="385">
          <cell r="I385">
            <v>3840000</v>
          </cell>
          <cell r="J385">
            <v>3840000</v>
          </cell>
        </row>
        <row r="386">
          <cell r="I386">
            <v>39448500</v>
          </cell>
          <cell r="J386">
            <v>39448500</v>
          </cell>
        </row>
        <row r="387">
          <cell r="I387">
            <v>5950000</v>
          </cell>
          <cell r="J387">
            <v>5950000</v>
          </cell>
        </row>
        <row r="388">
          <cell r="I388">
            <v>5950000</v>
          </cell>
          <cell r="J388">
            <v>5950000</v>
          </cell>
        </row>
        <row r="389">
          <cell r="I389">
            <v>5950000</v>
          </cell>
          <cell r="J389">
            <v>5950000</v>
          </cell>
        </row>
        <row r="390">
          <cell r="I390">
            <v>4880337.5600000005</v>
          </cell>
          <cell r="J390">
            <v>4880337.5600000005</v>
          </cell>
        </row>
        <row r="391">
          <cell r="I391">
            <v>2023000</v>
          </cell>
          <cell r="J391">
            <v>2023000</v>
          </cell>
        </row>
        <row r="392">
          <cell r="I392">
            <v>2023000</v>
          </cell>
          <cell r="J392">
            <v>2023000</v>
          </cell>
        </row>
        <row r="393">
          <cell r="I393">
            <v>1785000</v>
          </cell>
          <cell r="J393">
            <v>1785000</v>
          </cell>
        </row>
        <row r="394">
          <cell r="I394">
            <v>1190000</v>
          </cell>
          <cell r="J394">
            <v>1190000</v>
          </cell>
        </row>
        <row r="395">
          <cell r="I395">
            <v>714000</v>
          </cell>
          <cell r="J395">
            <v>714000</v>
          </cell>
        </row>
        <row r="396">
          <cell r="I396">
            <v>7140000</v>
          </cell>
          <cell r="J396">
            <v>7140000</v>
          </cell>
        </row>
        <row r="397">
          <cell r="I397">
            <v>4760000</v>
          </cell>
          <cell r="J397">
            <v>4760000</v>
          </cell>
        </row>
        <row r="398">
          <cell r="I398">
            <v>13090000</v>
          </cell>
          <cell r="J398">
            <v>13090000</v>
          </cell>
        </row>
        <row r="399">
          <cell r="I399">
            <v>1428000</v>
          </cell>
          <cell r="J399">
            <v>1428000</v>
          </cell>
        </row>
        <row r="400">
          <cell r="I400">
            <v>714000</v>
          </cell>
          <cell r="J400">
            <v>714000</v>
          </cell>
        </row>
        <row r="401">
          <cell r="I401">
            <v>4760000</v>
          </cell>
          <cell r="J401">
            <v>4760000</v>
          </cell>
        </row>
        <row r="402">
          <cell r="I402">
            <v>4760000</v>
          </cell>
          <cell r="J402">
            <v>4760000</v>
          </cell>
        </row>
        <row r="403">
          <cell r="I403">
            <v>22248240</v>
          </cell>
          <cell r="J403">
            <v>22248240</v>
          </cell>
        </row>
        <row r="404">
          <cell r="I404">
            <v>3788157.94</v>
          </cell>
          <cell r="J404">
            <v>3788157.94</v>
          </cell>
        </row>
        <row r="405">
          <cell r="I405">
            <v>3788157.94</v>
          </cell>
          <cell r="J405">
            <v>3788157.94</v>
          </cell>
        </row>
      </sheetData>
    </sheetDataSet>
  </externalBook>
</externalLink>
</file>

<file path=xl/persons/person.xml><?xml version="1.0" encoding="utf-8"?>
<personList xmlns="http://schemas.microsoft.com/office/spreadsheetml/2018/threadedcomments" xmlns:x="http://schemas.openxmlformats.org/spreadsheetml/2006/main">
  <person displayName="LEYDI PAOLA PADILLA TEQUIA" id="{C9B30A15-B1F7-4146-98D1-F4E03EA4201A}" userId="S::LEYDI.PADILLA@PREVISORA.GOV.CO::974a4c6b-0938-40ec-84d4-71eb8cb85931" providerId="AD"/>
  <person displayName="SANDRA JANET RAMIREZ SAYAGO" id="{B5E8F6BF-6446-4DB6-A9CC-151CD252CED4}" userId="S::SANDRAJ.RAMIREZ@PREVISORA.GOV.CO::a3d9a81f-c13c-47a8-a51b-8c07268a5ed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8" dT="2024-01-19T21:37:32.10" personId="{C9B30A15-B1F7-4146-98D1-F4E03EA4201A}" id="{0F348147-FB7B-4BF5-94E6-A1B58052DDCC}">
    <text>Audatex?</text>
  </threadedComment>
  <threadedComment ref="G31" dT="2024-01-19T21:38:35.15" personId="{C9B30A15-B1F7-4146-98D1-F4E03EA4201A}" id="{30FA5701-58F3-4774-BC43-073D48C0E948}">
    <text>Son los 12 contratos de ajustadores?</text>
  </threadedComment>
  <threadedComment ref="G45" dT="2024-01-23T17:49:26.98" personId="{B5E8F6BF-6446-4DB6-A9CC-151CD252CED4}" id="{DE3FD828-6395-4315-B312-7290C6A49C41}">
    <text>Enviaron como aceptación de oferta</text>
  </threadedComment>
  <threadedComment ref="G47" dT="2024-01-19T21:36:30.04" personId="{C9B30A15-B1F7-4146-98D1-F4E03EA4201A}" id="{B8EAD5FA-6F6E-498B-B120-FBEBC901D530}">
    <text xml:space="preserve">No es claro porq es directa
</text>
  </threadedComment>
  <threadedComment ref="E97" dT="2024-01-19T21:47:21.08" personId="{C9B30A15-B1F7-4146-98D1-F4E03EA4201A}" id="{EFB06182-FD3A-44B3-9628-755EC369AA54}">
    <text>No estimado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80"/>
  <sheetViews>
    <sheetView showGridLines="0" tabSelected="1" view="pageLayout" zoomScale="80" zoomScaleNormal="30" zoomScaleSheetLayoutView="40" zoomScalePageLayoutView="80" workbookViewId="0"/>
  </sheetViews>
  <sheetFormatPr baseColWidth="10" defaultColWidth="0" defaultRowHeight="14.5" x14ac:dyDescent="0.35"/>
  <cols>
    <col min="1" max="1" width="14.26953125" style="70" customWidth="1"/>
    <col min="2" max="16" width="11.453125" style="70" customWidth="1"/>
    <col min="17" max="4945" width="0" style="70" hidden="1" customWidth="1"/>
    <col min="4946" max="15759" width="11.453125" style="70" hidden="1"/>
    <col min="15760" max="16382" width="0" style="70" hidden="1"/>
    <col min="16383" max="16383" width="12.453125" style="70" hidden="1"/>
    <col min="16384" max="16384" width="48.1796875" style="70" hidden="1" customWidth="1"/>
  </cols>
  <sheetData>
    <row r="1" spans="14:14" ht="4.5" customHeight="1" x14ac:dyDescent="0.35"/>
    <row r="7" spans="14:14" x14ac:dyDescent="0.35">
      <c r="N7" s="211" t="s">
        <v>0</v>
      </c>
    </row>
    <row r="18" spans="8:8" ht="21" x14ac:dyDescent="0.5">
      <c r="H18" s="86"/>
    </row>
    <row r="41" spans="1:11" x14ac:dyDescent="0.35">
      <c r="A41" s="87"/>
      <c r="B41" s="87"/>
      <c r="C41" s="87"/>
      <c r="D41" s="87"/>
      <c r="E41" s="87"/>
      <c r="F41" s="87"/>
      <c r="G41" s="87"/>
      <c r="H41" s="87"/>
      <c r="I41" s="87"/>
      <c r="J41" s="87"/>
      <c r="K41" s="87"/>
    </row>
    <row r="42" spans="1:11" x14ac:dyDescent="0.35">
      <c r="A42" s="87"/>
      <c r="B42" s="87"/>
      <c r="C42" s="87"/>
      <c r="D42" s="87"/>
      <c r="E42" s="87"/>
      <c r="F42" s="87"/>
      <c r="G42" s="87"/>
      <c r="H42" s="87"/>
      <c r="I42" s="87"/>
      <c r="J42" s="87"/>
      <c r="K42" s="87"/>
    </row>
    <row r="57" hidden="1" x14ac:dyDescent="0.35"/>
    <row r="75" spans="1:16" ht="26" x14ac:dyDescent="0.6">
      <c r="A75" s="244" t="s">
        <v>1</v>
      </c>
      <c r="B75" s="244"/>
      <c r="C75" s="244"/>
      <c r="D75" s="244"/>
      <c r="E75" s="244"/>
      <c r="F75" s="244"/>
      <c r="G75" s="244"/>
      <c r="H75" s="244"/>
      <c r="I75" s="244"/>
      <c r="J75" s="244"/>
      <c r="K75" s="244"/>
      <c r="L75" s="244"/>
      <c r="M75" s="244"/>
      <c r="N75" s="244"/>
      <c r="O75" s="244"/>
      <c r="P75" s="244"/>
    </row>
    <row r="76" spans="1:16" ht="14.9" customHeight="1" x14ac:dyDescent="0.35">
      <c r="A76" s="245" t="s">
        <v>2</v>
      </c>
      <c r="B76" s="246"/>
      <c r="C76" s="246"/>
      <c r="D76" s="246"/>
      <c r="E76" s="246"/>
      <c r="F76" s="246"/>
      <c r="G76" s="246"/>
      <c r="H76" s="246"/>
      <c r="I76" s="246"/>
      <c r="J76" s="246"/>
      <c r="K76" s="246"/>
      <c r="L76" s="246"/>
      <c r="M76" s="246"/>
      <c r="N76" s="246"/>
      <c r="O76" s="246"/>
      <c r="P76" s="247"/>
    </row>
    <row r="77" spans="1:16" ht="15" customHeight="1" x14ac:dyDescent="0.35">
      <c r="A77" s="248"/>
      <c r="B77" s="249"/>
      <c r="C77" s="249"/>
      <c r="D77" s="249"/>
      <c r="E77" s="249"/>
      <c r="F77" s="249"/>
      <c r="G77" s="249"/>
      <c r="H77" s="249"/>
      <c r="I77" s="249"/>
      <c r="J77" s="249"/>
      <c r="K77" s="249"/>
      <c r="L77" s="249"/>
      <c r="M77" s="249"/>
      <c r="N77" s="249"/>
      <c r="O77" s="249"/>
      <c r="P77" s="250"/>
    </row>
    <row r="78" spans="1:16" ht="44.15" customHeight="1" x14ac:dyDescent="0.35">
      <c r="A78" s="88" t="s">
        <v>3</v>
      </c>
      <c r="B78" s="251" t="s">
        <v>4</v>
      </c>
      <c r="C78" s="252"/>
      <c r="D78" s="252"/>
      <c r="E78" s="252"/>
      <c r="F78" s="253"/>
      <c r="G78" s="251" t="s">
        <v>5</v>
      </c>
      <c r="H78" s="252"/>
      <c r="I78" s="252"/>
      <c r="J78" s="252"/>
      <c r="K78" s="252"/>
      <c r="L78" s="252"/>
      <c r="M78" s="252"/>
      <c r="N78" s="252"/>
      <c r="O78" s="252"/>
      <c r="P78" s="253"/>
    </row>
    <row r="79" spans="1:16" ht="65.150000000000006" customHeight="1" x14ac:dyDescent="0.35">
      <c r="A79" s="89">
        <v>1</v>
      </c>
      <c r="B79" s="254">
        <v>45322</v>
      </c>
      <c r="C79" s="255"/>
      <c r="D79" s="255"/>
      <c r="E79" s="255"/>
      <c r="F79" s="256"/>
      <c r="G79" s="257" t="s">
        <v>6</v>
      </c>
      <c r="H79" s="258"/>
      <c r="I79" s="258"/>
      <c r="J79" s="258"/>
      <c r="K79" s="258"/>
      <c r="L79" s="258"/>
      <c r="M79" s="258"/>
      <c r="N79" s="258"/>
      <c r="O79" s="258"/>
      <c r="P79" s="259"/>
    </row>
    <row r="80" spans="1:16" ht="86.9" customHeight="1" x14ac:dyDescent="0.35"/>
  </sheetData>
  <sheetProtection autoFilter="0"/>
  <mergeCells count="6">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dimension ref="A1:AO89"/>
  <sheetViews>
    <sheetView view="pageBreakPreview" zoomScale="59" zoomScaleNormal="60" zoomScaleSheetLayoutView="59" workbookViewId="0">
      <selection sqref="A1:AI26"/>
    </sheetView>
  </sheetViews>
  <sheetFormatPr baseColWidth="10" defaultColWidth="11.453125" defaultRowHeight="14.5" x14ac:dyDescent="0.35"/>
  <cols>
    <col min="1" max="1" width="8.6328125" style="70" customWidth="1"/>
    <col min="2" max="15" width="30.453125" style="70" customWidth="1"/>
    <col min="16" max="18" width="17.7265625" style="70" hidden="1" customWidth="1"/>
    <col min="19" max="31" width="0" style="70" hidden="1" customWidth="1"/>
    <col min="32" max="35" width="38.7265625" style="70" hidden="1" customWidth="1"/>
    <col min="36" max="41" width="0" style="70" hidden="1" customWidth="1"/>
    <col min="42" max="16384" width="11.453125" style="70"/>
  </cols>
  <sheetData>
    <row r="1" spans="1:41" s="58" customFormat="1" ht="15" customHeight="1" x14ac:dyDescent="0.35">
      <c r="A1" s="338"/>
      <c r="B1" s="339"/>
      <c r="C1" s="340"/>
      <c r="D1" s="549" t="s">
        <v>867</v>
      </c>
      <c r="E1" s="550"/>
      <c r="F1" s="550"/>
      <c r="G1" s="550"/>
      <c r="H1" s="550"/>
      <c r="I1" s="550"/>
      <c r="J1" s="550"/>
      <c r="K1" s="550"/>
      <c r="L1" s="550"/>
      <c r="M1" s="550"/>
      <c r="N1" s="550"/>
      <c r="O1" s="550"/>
      <c r="P1" s="550"/>
      <c r="Q1" s="550"/>
      <c r="R1" s="550"/>
      <c r="S1" s="550"/>
      <c r="T1" s="550"/>
      <c r="U1" s="550"/>
      <c r="V1" s="550"/>
      <c r="W1" s="550"/>
      <c r="X1" s="550"/>
      <c r="Y1" s="550"/>
      <c r="Z1" s="550"/>
      <c r="AA1" s="550"/>
      <c r="AB1" s="550"/>
      <c r="AC1" s="550"/>
      <c r="AD1" s="550"/>
      <c r="AE1" s="550"/>
      <c r="AF1" s="550"/>
      <c r="AG1" s="550"/>
      <c r="AH1" s="550"/>
      <c r="AI1" s="551"/>
      <c r="AJ1" s="175"/>
      <c r="AK1" s="175"/>
      <c r="AL1" s="175"/>
      <c r="AM1" s="175"/>
      <c r="AN1" s="175"/>
      <c r="AO1" s="175"/>
    </row>
    <row r="2" spans="1:41" s="58" customFormat="1" ht="20.149999999999999" customHeight="1" x14ac:dyDescent="0.35">
      <c r="A2" s="341"/>
      <c r="B2" s="342"/>
      <c r="C2" s="343"/>
      <c r="D2" s="473"/>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552"/>
      <c r="AJ2" s="175"/>
      <c r="AK2" s="175"/>
      <c r="AL2" s="175"/>
      <c r="AM2" s="175"/>
      <c r="AN2" s="175"/>
      <c r="AO2" s="175"/>
    </row>
    <row r="3" spans="1:41" s="58" customFormat="1" ht="60" customHeight="1" thickBot="1" x14ac:dyDescent="0.4">
      <c r="A3" s="344"/>
      <c r="B3" s="345"/>
      <c r="C3" s="346"/>
      <c r="D3" s="553"/>
      <c r="E3" s="554"/>
      <c r="F3" s="554"/>
      <c r="G3" s="554"/>
      <c r="H3" s="554"/>
      <c r="I3" s="554"/>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54"/>
      <c r="AI3" s="555"/>
      <c r="AJ3" s="175"/>
      <c r="AK3" s="175"/>
      <c r="AL3" s="175"/>
      <c r="AM3" s="175"/>
      <c r="AN3" s="175"/>
      <c r="AO3" s="175"/>
    </row>
    <row r="4" spans="1:41" s="58" customFormat="1" ht="60" hidden="1" customHeight="1" thickBot="1" x14ac:dyDescent="0.4">
      <c r="A4" s="337" t="s">
        <v>35</v>
      </c>
      <c r="B4" s="8" t="s">
        <v>36</v>
      </c>
      <c r="C4" s="10">
        <v>0.7</v>
      </c>
      <c r="D4" s="10"/>
      <c r="E4" s="10"/>
      <c r="F4" s="337" t="s">
        <v>37</v>
      </c>
      <c r="G4" s="8" t="s">
        <v>36</v>
      </c>
      <c r="H4" s="10">
        <v>0.7</v>
      </c>
      <c r="I4" s="59"/>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row>
    <row r="5" spans="1:41" s="58" customFormat="1" ht="60" hidden="1" customHeight="1" thickBot="1" x14ac:dyDescent="0.4">
      <c r="A5" s="337"/>
      <c r="B5" s="8" t="s">
        <v>38</v>
      </c>
      <c r="C5" s="11">
        <v>0.9</v>
      </c>
      <c r="D5" s="11"/>
      <c r="E5" s="11"/>
      <c r="F5" s="337"/>
      <c r="G5" s="8" t="s">
        <v>38</v>
      </c>
      <c r="H5" s="11">
        <v>0.95</v>
      </c>
      <c r="I5" s="59"/>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row>
    <row r="6" spans="1:41" s="1" customFormat="1" ht="15.65" hidden="1" customHeight="1" thickBot="1" x14ac:dyDescent="0.4">
      <c r="A6" s="442" t="s">
        <v>39</v>
      </c>
      <c r="B6" s="442"/>
      <c r="C6" s="407" t="s">
        <v>123</v>
      </c>
      <c r="D6" s="407"/>
      <c r="E6" s="443" t="s">
        <v>41</v>
      </c>
      <c r="F6" s="409" t="e">
        <f>+Q15+Q17+Q19+Q21+Q23+Q25+#REF!+#REF!+#REF!+#REF!+#REF!+#REF!+#REF!</f>
        <v>#REF!</v>
      </c>
      <c r="G6" s="443" t="s">
        <v>42</v>
      </c>
      <c r="H6" s="443"/>
      <c r="I6" s="518" t="e">
        <f>+Q14+Q16+Q18+Q20+Q22+Q24+#REF!+#REF!+#REF!+#REF!+#REF!+#REF!+#REF!</f>
        <v>#REF!</v>
      </c>
      <c r="J6" s="448" t="s">
        <v>43</v>
      </c>
      <c r="K6" s="449"/>
      <c r="L6" s="334">
        <v>0.95</v>
      </c>
      <c r="M6" s="442" t="s">
        <v>169</v>
      </c>
      <c r="N6" s="442"/>
      <c r="O6" s="285" t="e">
        <f>(SUM(S14:Y14,S16:Y16,S18:Y18,S20:Y20,S22:Y22,S24:Y24,#REF!,#REF!,#REF!,#REF!,#REF!,#REF!,#REF!)/SUM(Y15,Y17,Y19,Y21,Y23,Y25,#REF!,#REF!,#REF!,#REF!,#REF!,#REF!,#REF!))/L6</f>
        <v>#REF!</v>
      </c>
      <c r="P6" s="324"/>
      <c r="Q6" s="286"/>
      <c r="R6" s="466" t="s">
        <v>170</v>
      </c>
      <c r="S6" s="481"/>
      <c r="T6" s="481"/>
      <c r="U6" s="481"/>
      <c r="V6" s="325" t="e">
        <f>SUM(AE14,AE16,AE18,AE20,AE22,AE24,#REF!,#REF!,#REF!,#REF!,#REF!,#REF!,#REF!)/SUM(AE15,AE17,AE19,AE21,AE23,AE25,#REF!,#REF!,#REF!,#REF!,#REF!,#REF!)</f>
        <v>#REF!</v>
      </c>
      <c r="W6" s="325"/>
      <c r="X6" s="325"/>
      <c r="Y6" s="325"/>
      <c r="Z6" s="325"/>
      <c r="AA6" s="325"/>
      <c r="AB6" s="546"/>
      <c r="AC6" s="546"/>
      <c r="AD6" s="546"/>
      <c r="AE6" s="546"/>
      <c r="AF6" s="546"/>
      <c r="AG6" s="546"/>
      <c r="AH6" s="546"/>
      <c r="AI6" s="556"/>
      <c r="AJ6" s="175"/>
      <c r="AK6" s="175"/>
      <c r="AL6" s="175"/>
      <c r="AM6" s="175"/>
      <c r="AN6" s="175"/>
    </row>
    <row r="7" spans="1:41" s="1" customFormat="1" ht="15.65" hidden="1" customHeight="1" thickBot="1" x14ac:dyDescent="0.4">
      <c r="A7" s="442"/>
      <c r="B7" s="442"/>
      <c r="C7" s="407"/>
      <c r="D7" s="407"/>
      <c r="E7" s="443"/>
      <c r="F7" s="410"/>
      <c r="G7" s="443"/>
      <c r="H7" s="443"/>
      <c r="I7" s="519"/>
      <c r="J7" s="450"/>
      <c r="K7" s="451"/>
      <c r="L7" s="335"/>
      <c r="M7" s="442"/>
      <c r="N7" s="442"/>
      <c r="O7" s="287"/>
      <c r="P7" s="325"/>
      <c r="Q7" s="288"/>
      <c r="R7" s="466"/>
      <c r="S7" s="481"/>
      <c r="T7" s="481"/>
      <c r="U7" s="481"/>
      <c r="V7" s="325"/>
      <c r="W7" s="325"/>
      <c r="X7" s="325"/>
      <c r="Y7" s="325"/>
      <c r="Z7" s="325"/>
      <c r="AA7" s="325"/>
      <c r="AB7" s="546"/>
      <c r="AC7" s="546"/>
      <c r="AD7" s="546"/>
      <c r="AE7" s="546"/>
      <c r="AF7" s="546"/>
      <c r="AG7" s="546"/>
      <c r="AH7" s="546"/>
      <c r="AI7" s="556"/>
      <c r="AJ7" s="175"/>
      <c r="AK7" s="175"/>
      <c r="AL7" s="175"/>
      <c r="AM7" s="175"/>
      <c r="AN7" s="175"/>
      <c r="AO7" s="175"/>
    </row>
    <row r="8" spans="1:41" s="1" customFormat="1" ht="15.65" hidden="1" customHeight="1" thickBot="1" x14ac:dyDescent="0.4">
      <c r="A8" s="442"/>
      <c r="B8" s="442"/>
      <c r="C8" s="407"/>
      <c r="D8" s="407"/>
      <c r="E8" s="443"/>
      <c r="F8" s="410"/>
      <c r="G8" s="443"/>
      <c r="H8" s="443"/>
      <c r="I8" s="519"/>
      <c r="J8" s="450"/>
      <c r="K8" s="451"/>
      <c r="L8" s="335"/>
      <c r="M8" s="442"/>
      <c r="N8" s="442"/>
      <c r="O8" s="287"/>
      <c r="P8" s="325"/>
      <c r="Q8" s="288"/>
      <c r="R8" s="466"/>
      <c r="S8" s="481"/>
      <c r="T8" s="481"/>
      <c r="U8" s="481"/>
      <c r="V8" s="325"/>
      <c r="W8" s="325"/>
      <c r="X8" s="325"/>
      <c r="Y8" s="325"/>
      <c r="Z8" s="325"/>
      <c r="AA8" s="325"/>
      <c r="AB8" s="546"/>
      <c r="AC8" s="546"/>
      <c r="AD8" s="546"/>
      <c r="AE8" s="546"/>
      <c r="AF8" s="546"/>
      <c r="AG8" s="546"/>
      <c r="AH8" s="546"/>
      <c r="AI8" s="556"/>
      <c r="AJ8" s="175"/>
      <c r="AK8" s="175"/>
      <c r="AL8" s="175"/>
      <c r="AM8" s="175"/>
      <c r="AN8" s="175"/>
      <c r="AO8" s="175"/>
    </row>
    <row r="9" spans="1:41" s="1" customFormat="1" ht="15.65" hidden="1" customHeight="1" thickBot="1" x14ac:dyDescent="0.4">
      <c r="A9" s="442"/>
      <c r="B9" s="442"/>
      <c r="C9" s="407"/>
      <c r="D9" s="407"/>
      <c r="E9" s="443"/>
      <c r="F9" s="410"/>
      <c r="G9" s="443"/>
      <c r="H9" s="443"/>
      <c r="I9" s="519"/>
      <c r="J9" s="450"/>
      <c r="K9" s="451"/>
      <c r="L9" s="335"/>
      <c r="M9" s="442"/>
      <c r="N9" s="442"/>
      <c r="O9" s="287"/>
      <c r="P9" s="325"/>
      <c r="Q9" s="288"/>
      <c r="R9" s="466"/>
      <c r="S9" s="481"/>
      <c r="T9" s="481"/>
      <c r="U9" s="481"/>
      <c r="V9" s="325"/>
      <c r="W9" s="325"/>
      <c r="X9" s="325"/>
      <c r="Y9" s="325"/>
      <c r="Z9" s="325"/>
      <c r="AA9" s="325"/>
      <c r="AB9" s="546"/>
      <c r="AC9" s="546"/>
      <c r="AD9" s="546"/>
      <c r="AE9" s="546"/>
      <c r="AF9" s="546"/>
      <c r="AG9" s="546"/>
      <c r="AH9" s="546"/>
      <c r="AI9" s="556"/>
      <c r="AJ9" s="175"/>
      <c r="AK9" s="175"/>
      <c r="AL9" s="175"/>
      <c r="AM9" s="175"/>
      <c r="AN9" s="175"/>
      <c r="AO9" s="175"/>
    </row>
    <row r="10" spans="1:41" s="1" customFormat="1" ht="15.65" hidden="1" customHeight="1" thickBot="1" x14ac:dyDescent="0.4">
      <c r="A10" s="442"/>
      <c r="B10" s="442"/>
      <c r="C10" s="407"/>
      <c r="D10" s="407"/>
      <c r="E10" s="443"/>
      <c r="F10" s="410"/>
      <c r="G10" s="559"/>
      <c r="H10" s="559"/>
      <c r="I10" s="560"/>
      <c r="J10" s="450"/>
      <c r="K10" s="451"/>
      <c r="L10" s="335"/>
      <c r="M10" s="561"/>
      <c r="N10" s="561"/>
      <c r="O10" s="289"/>
      <c r="P10" s="326"/>
      <c r="Q10" s="290"/>
      <c r="R10" s="466"/>
      <c r="S10" s="481"/>
      <c r="T10" s="481"/>
      <c r="U10" s="481"/>
      <c r="V10" s="325"/>
      <c r="W10" s="325"/>
      <c r="X10" s="325"/>
      <c r="Y10" s="325"/>
      <c r="Z10" s="325"/>
      <c r="AA10" s="325"/>
      <c r="AB10" s="546"/>
      <c r="AC10" s="546"/>
      <c r="AD10" s="546"/>
      <c r="AE10" s="546"/>
      <c r="AF10" s="546"/>
      <c r="AG10" s="546"/>
      <c r="AH10" s="546"/>
      <c r="AI10" s="556"/>
      <c r="AJ10" s="175"/>
      <c r="AK10" s="175"/>
      <c r="AL10" s="175"/>
      <c r="AM10" s="175"/>
      <c r="AN10" s="175"/>
      <c r="AO10" s="175"/>
    </row>
    <row r="11" spans="1:41" ht="45" customHeight="1" thickBot="1" x14ac:dyDescent="0.4">
      <c r="A11" s="568" t="s">
        <v>48</v>
      </c>
      <c r="B11" s="568"/>
      <c r="C11" s="568"/>
      <c r="D11" s="568"/>
      <c r="E11" s="568"/>
      <c r="F11" s="569" t="s">
        <v>790</v>
      </c>
      <c r="G11" s="569"/>
      <c r="H11" s="569"/>
      <c r="I11" s="569"/>
      <c r="J11" s="569"/>
      <c r="K11" s="569"/>
      <c r="L11" s="569"/>
      <c r="M11" s="569"/>
      <c r="N11" s="569"/>
      <c r="O11" s="569"/>
      <c r="P11" s="522" t="s">
        <v>50</v>
      </c>
      <c r="Q11" s="522"/>
      <c r="R11" s="522"/>
      <c r="S11" s="522"/>
      <c r="T11" s="522"/>
      <c r="U11" s="522"/>
      <c r="V11" s="522"/>
      <c r="W11" s="522"/>
      <c r="X11" s="522"/>
      <c r="Y11" s="522"/>
      <c r="Z11" s="522"/>
      <c r="AA11" s="522"/>
      <c r="AB11" s="522"/>
      <c r="AC11" s="522"/>
      <c r="AD11" s="522"/>
      <c r="AE11" s="523"/>
      <c r="AF11" s="521" t="s">
        <v>51</v>
      </c>
      <c r="AG11" s="522"/>
      <c r="AH11" s="522"/>
      <c r="AI11" s="522"/>
      <c r="AJ11" s="175"/>
      <c r="AK11" s="175"/>
      <c r="AL11" s="175"/>
      <c r="AM11" s="175"/>
      <c r="AN11" s="175"/>
      <c r="AO11" s="175"/>
    </row>
    <row r="12" spans="1:41" ht="45" customHeight="1" x14ac:dyDescent="0.35">
      <c r="A12" s="570" t="s">
        <v>52</v>
      </c>
      <c r="B12" s="572" t="s">
        <v>53</v>
      </c>
      <c r="C12" s="572" t="s">
        <v>54</v>
      </c>
      <c r="D12" s="572" t="s">
        <v>55</v>
      </c>
      <c r="E12" s="572" t="s">
        <v>56</v>
      </c>
      <c r="F12" s="566" t="s">
        <v>280</v>
      </c>
      <c r="G12" s="566" t="s">
        <v>281</v>
      </c>
      <c r="H12" s="566" t="s">
        <v>282</v>
      </c>
      <c r="I12" s="566" t="s">
        <v>283</v>
      </c>
      <c r="J12" s="566" t="s">
        <v>284</v>
      </c>
      <c r="K12" s="566" t="s">
        <v>285</v>
      </c>
      <c r="L12" s="566" t="s">
        <v>286</v>
      </c>
      <c r="M12" s="566" t="s">
        <v>287</v>
      </c>
      <c r="N12" s="566" t="s">
        <v>288</v>
      </c>
      <c r="O12" s="566" t="s">
        <v>289</v>
      </c>
      <c r="P12" s="540" t="s">
        <v>66</v>
      </c>
      <c r="Q12" s="542" t="s">
        <v>67</v>
      </c>
      <c r="R12" s="544" t="s">
        <v>68</v>
      </c>
      <c r="S12" s="535" t="s">
        <v>69</v>
      </c>
      <c r="T12" s="510" t="s">
        <v>70</v>
      </c>
      <c r="U12" s="508" t="s">
        <v>71</v>
      </c>
      <c r="V12" s="514" t="s">
        <v>72</v>
      </c>
      <c r="W12" s="516" t="s">
        <v>73</v>
      </c>
      <c r="X12" s="514" t="s">
        <v>74</v>
      </c>
      <c r="Y12" s="508" t="s">
        <v>75</v>
      </c>
      <c r="Z12" s="510" t="s">
        <v>76</v>
      </c>
      <c r="AA12" s="512" t="s">
        <v>77</v>
      </c>
      <c r="AB12" s="510" t="s">
        <v>78</v>
      </c>
      <c r="AC12" s="508" t="s">
        <v>79</v>
      </c>
      <c r="AD12" s="514" t="s">
        <v>80</v>
      </c>
      <c r="AE12" s="505" t="s">
        <v>81</v>
      </c>
      <c r="AF12" s="507" t="s">
        <v>82</v>
      </c>
      <c r="AG12" s="507" t="s">
        <v>83</v>
      </c>
      <c r="AH12" s="507" t="s">
        <v>84</v>
      </c>
      <c r="AI12" s="507" t="s">
        <v>85</v>
      </c>
      <c r="AJ12" s="175"/>
      <c r="AK12" s="175"/>
      <c r="AL12" s="175"/>
      <c r="AM12" s="175"/>
      <c r="AN12" s="175"/>
      <c r="AO12" s="175"/>
    </row>
    <row r="13" spans="1:41" ht="45" customHeight="1" thickBot="1" x14ac:dyDescent="0.4">
      <c r="A13" s="571"/>
      <c r="B13" s="571"/>
      <c r="C13" s="571"/>
      <c r="D13" s="571"/>
      <c r="E13" s="571"/>
      <c r="F13" s="567"/>
      <c r="G13" s="567"/>
      <c r="H13" s="567"/>
      <c r="I13" s="567"/>
      <c r="J13" s="567"/>
      <c r="K13" s="567"/>
      <c r="L13" s="567"/>
      <c r="M13" s="567"/>
      <c r="N13" s="567"/>
      <c r="O13" s="567"/>
      <c r="P13" s="541"/>
      <c r="Q13" s="543"/>
      <c r="R13" s="545"/>
      <c r="S13" s="536"/>
      <c r="T13" s="537"/>
      <c r="U13" s="538"/>
      <c r="V13" s="539"/>
      <c r="W13" s="517"/>
      <c r="X13" s="515"/>
      <c r="Y13" s="509"/>
      <c r="Z13" s="511"/>
      <c r="AA13" s="513"/>
      <c r="AB13" s="511"/>
      <c r="AC13" s="509"/>
      <c r="AD13" s="515"/>
      <c r="AE13" s="506"/>
      <c r="AF13" s="507"/>
      <c r="AG13" s="507"/>
      <c r="AH13" s="507"/>
      <c r="AI13" s="507"/>
      <c r="AJ13" s="175"/>
      <c r="AK13" s="175"/>
      <c r="AL13" s="175"/>
      <c r="AM13" s="175"/>
      <c r="AN13" s="175"/>
      <c r="AO13" s="175"/>
    </row>
    <row r="14" spans="1:41" ht="133.5" customHeight="1" thickBot="1" x14ac:dyDescent="0.4">
      <c r="A14" s="557">
        <v>1</v>
      </c>
      <c r="B14" s="557" t="s">
        <v>688</v>
      </c>
      <c r="C14" s="557" t="s">
        <v>694</v>
      </c>
      <c r="D14" s="557" t="s">
        <v>121</v>
      </c>
      <c r="E14" s="557" t="s">
        <v>122</v>
      </c>
      <c r="F14" s="564" t="s">
        <v>291</v>
      </c>
      <c r="G14" s="562" t="s">
        <v>292</v>
      </c>
      <c r="H14" s="562" t="s">
        <v>843</v>
      </c>
      <c r="I14" s="562" t="s">
        <v>293</v>
      </c>
      <c r="J14" s="562" t="s">
        <v>844</v>
      </c>
      <c r="K14" s="562" t="s">
        <v>294</v>
      </c>
      <c r="L14" s="562"/>
      <c r="M14" s="562" t="s">
        <v>703</v>
      </c>
      <c r="N14" s="562" t="s">
        <v>845</v>
      </c>
      <c r="O14" s="562" t="s">
        <v>846</v>
      </c>
      <c r="P14" s="573" t="s">
        <v>295</v>
      </c>
      <c r="Q14" s="53">
        <f>+(Q15*R14)</f>
        <v>7.6923076923076927E-2</v>
      </c>
      <c r="R14" s="68">
        <f>SUM(S14:AE14)</f>
        <v>1</v>
      </c>
      <c r="S14" s="43"/>
      <c r="T14" s="43"/>
      <c r="U14" s="43"/>
      <c r="V14" s="43"/>
      <c r="W14" s="43"/>
      <c r="X14" s="43"/>
      <c r="Y14" s="43">
        <v>1</v>
      </c>
      <c r="Z14" s="43"/>
      <c r="AA14" s="44"/>
      <c r="AB14" s="44"/>
      <c r="AC14" s="44"/>
      <c r="AD14" s="44"/>
      <c r="AE14" s="44"/>
      <c r="AF14" s="548"/>
      <c r="AG14" s="434" t="s">
        <v>296</v>
      </c>
      <c r="AH14" s="434"/>
      <c r="AI14" s="434"/>
      <c r="AJ14" s="175"/>
      <c r="AK14" s="175"/>
      <c r="AL14" s="175"/>
      <c r="AM14" s="175"/>
      <c r="AN14" s="175"/>
      <c r="AO14" s="175"/>
    </row>
    <row r="15" spans="1:41" ht="133.5" customHeight="1" thickBot="1" x14ac:dyDescent="0.4">
      <c r="A15" s="558"/>
      <c r="B15" s="558"/>
      <c r="C15" s="558"/>
      <c r="D15" s="558"/>
      <c r="E15" s="558"/>
      <c r="F15" s="565"/>
      <c r="G15" s="563"/>
      <c r="H15" s="563"/>
      <c r="I15" s="563"/>
      <c r="J15" s="563"/>
      <c r="K15" s="563"/>
      <c r="L15" s="563"/>
      <c r="M15" s="563"/>
      <c r="N15" s="563"/>
      <c r="O15" s="563"/>
      <c r="P15" s="573"/>
      <c r="Q15" s="52">
        <f>100%/13</f>
        <v>7.6923076923076927E-2</v>
      </c>
      <c r="R15" s="68">
        <f t="shared" ref="R15" si="0">SUM(S15:AE15)</f>
        <v>1</v>
      </c>
      <c r="S15" s="42"/>
      <c r="T15" s="42"/>
      <c r="U15" s="42"/>
      <c r="V15" s="42"/>
      <c r="W15" s="42"/>
      <c r="X15" s="42"/>
      <c r="Y15" s="42">
        <v>1</v>
      </c>
      <c r="Z15" s="42"/>
      <c r="AA15" s="42"/>
      <c r="AB15" s="42"/>
      <c r="AC15" s="42"/>
      <c r="AD15" s="42"/>
      <c r="AE15" s="42"/>
      <c r="AF15" s="548"/>
      <c r="AG15" s="434"/>
      <c r="AH15" s="434"/>
      <c r="AI15" s="434"/>
      <c r="AJ15" s="175"/>
      <c r="AK15" s="175"/>
      <c r="AL15" s="175"/>
      <c r="AM15" s="175"/>
      <c r="AN15" s="175"/>
      <c r="AO15" s="175"/>
    </row>
    <row r="16" spans="1:41" ht="133.5" customHeight="1" thickBot="1" x14ac:dyDescent="0.4">
      <c r="A16" s="557">
        <v>2</v>
      </c>
      <c r="B16" s="557" t="s">
        <v>688</v>
      </c>
      <c r="C16" s="557" t="s">
        <v>694</v>
      </c>
      <c r="D16" s="557" t="s">
        <v>121</v>
      </c>
      <c r="E16" s="557" t="s">
        <v>122</v>
      </c>
      <c r="F16" s="557" t="s">
        <v>297</v>
      </c>
      <c r="G16" s="562" t="s">
        <v>847</v>
      </c>
      <c r="H16" s="562" t="s">
        <v>848</v>
      </c>
      <c r="I16" s="562" t="s">
        <v>293</v>
      </c>
      <c r="J16" s="562" t="s">
        <v>849</v>
      </c>
      <c r="K16" s="562" t="s">
        <v>294</v>
      </c>
      <c r="L16" s="562" t="s">
        <v>294</v>
      </c>
      <c r="M16" s="562" t="s">
        <v>703</v>
      </c>
      <c r="N16" s="562" t="s">
        <v>850</v>
      </c>
      <c r="O16" s="562" t="s">
        <v>185</v>
      </c>
      <c r="P16" s="574" t="s">
        <v>851</v>
      </c>
      <c r="Q16" s="53">
        <f>+(Q17*R16)</f>
        <v>7.6923076923076927E-2</v>
      </c>
      <c r="R16" s="68">
        <f>SUM(S16:AE16)</f>
        <v>1</v>
      </c>
      <c r="S16" s="43"/>
      <c r="T16" s="43"/>
      <c r="U16" s="43"/>
      <c r="V16" s="43"/>
      <c r="W16" s="43"/>
      <c r="X16" s="43"/>
      <c r="Y16" s="43">
        <v>0.4</v>
      </c>
      <c r="Z16" s="43"/>
      <c r="AA16" s="44"/>
      <c r="AB16" s="44"/>
      <c r="AC16" s="44"/>
      <c r="AD16" s="44"/>
      <c r="AE16" s="44">
        <v>0.6</v>
      </c>
      <c r="AF16" s="548"/>
      <c r="AG16" s="434" t="s">
        <v>298</v>
      </c>
      <c r="AH16" s="434"/>
      <c r="AI16" s="434" t="s">
        <v>299</v>
      </c>
      <c r="AJ16" s="175"/>
      <c r="AK16" s="175"/>
      <c r="AL16" s="175"/>
      <c r="AM16" s="175"/>
      <c r="AN16" s="175"/>
      <c r="AO16" s="175"/>
    </row>
    <row r="17" spans="1:41" ht="133.5" customHeight="1" thickBot="1" x14ac:dyDescent="0.4">
      <c r="A17" s="558"/>
      <c r="B17" s="558"/>
      <c r="C17" s="558"/>
      <c r="D17" s="558"/>
      <c r="E17" s="558"/>
      <c r="F17" s="558"/>
      <c r="G17" s="563"/>
      <c r="H17" s="563"/>
      <c r="I17" s="563"/>
      <c r="J17" s="563"/>
      <c r="K17" s="563"/>
      <c r="L17" s="563"/>
      <c r="M17" s="563"/>
      <c r="N17" s="563"/>
      <c r="O17" s="563"/>
      <c r="P17" s="575"/>
      <c r="Q17" s="52">
        <f>100%/13</f>
        <v>7.6923076923076927E-2</v>
      </c>
      <c r="R17" s="68">
        <f t="shared" ref="R17:R25" si="1">SUM(S17:AE17)</f>
        <v>1</v>
      </c>
      <c r="S17" s="42"/>
      <c r="T17" s="42"/>
      <c r="U17" s="42"/>
      <c r="V17" s="42"/>
      <c r="W17" s="42"/>
      <c r="X17" s="42"/>
      <c r="Y17" s="42">
        <v>0.5</v>
      </c>
      <c r="Z17" s="42"/>
      <c r="AA17" s="42"/>
      <c r="AB17" s="42"/>
      <c r="AC17" s="42"/>
      <c r="AD17" s="42"/>
      <c r="AE17" s="42">
        <v>0.5</v>
      </c>
      <c r="AF17" s="548"/>
      <c r="AG17" s="434"/>
      <c r="AH17" s="434"/>
      <c r="AI17" s="434"/>
      <c r="AJ17" s="175"/>
      <c r="AK17" s="175"/>
      <c r="AL17" s="175"/>
      <c r="AM17" s="175"/>
      <c r="AN17" s="175"/>
      <c r="AO17" s="175"/>
    </row>
    <row r="18" spans="1:41" ht="133.5" customHeight="1" thickBot="1" x14ac:dyDescent="0.4">
      <c r="A18" s="557">
        <v>3</v>
      </c>
      <c r="B18" s="557" t="s">
        <v>688</v>
      </c>
      <c r="C18" s="557" t="s">
        <v>716</v>
      </c>
      <c r="D18" s="557" t="s">
        <v>86</v>
      </c>
      <c r="E18" s="557" t="s">
        <v>87</v>
      </c>
      <c r="F18" s="557" t="s">
        <v>852</v>
      </c>
      <c r="G18" s="562" t="s">
        <v>302</v>
      </c>
      <c r="H18" s="562" t="s">
        <v>303</v>
      </c>
      <c r="I18" s="562" t="s">
        <v>89</v>
      </c>
      <c r="J18" s="562" t="s">
        <v>844</v>
      </c>
      <c r="K18" s="562"/>
      <c r="L18" s="562" t="s">
        <v>294</v>
      </c>
      <c r="M18" s="562" t="s">
        <v>703</v>
      </c>
      <c r="N18" s="562" t="s">
        <v>853</v>
      </c>
      <c r="O18" s="562" t="s">
        <v>854</v>
      </c>
      <c r="P18" s="574" t="s">
        <v>855</v>
      </c>
      <c r="Q18" s="53">
        <f>+(Q19*R18)</f>
        <v>7.6923076923076927E-2</v>
      </c>
      <c r="R18" s="68">
        <f t="shared" si="1"/>
        <v>1</v>
      </c>
      <c r="S18" s="43"/>
      <c r="T18" s="43"/>
      <c r="U18" s="43"/>
      <c r="V18" s="43"/>
      <c r="W18" s="43"/>
      <c r="X18" s="43"/>
      <c r="Y18" s="43">
        <v>0.2</v>
      </c>
      <c r="Z18" s="43"/>
      <c r="AA18" s="44"/>
      <c r="AB18" s="44"/>
      <c r="AC18" s="44"/>
      <c r="AD18" s="44"/>
      <c r="AE18" s="44">
        <v>0.8</v>
      </c>
      <c r="AF18" s="548"/>
      <c r="AG18" s="434" t="s">
        <v>298</v>
      </c>
      <c r="AH18" s="434"/>
      <c r="AI18" s="434" t="s">
        <v>299</v>
      </c>
      <c r="AJ18" s="175"/>
      <c r="AK18" s="175"/>
      <c r="AL18" s="175"/>
      <c r="AM18" s="175"/>
      <c r="AN18" s="175"/>
      <c r="AO18" s="175"/>
    </row>
    <row r="19" spans="1:41" ht="133.5" customHeight="1" thickBot="1" x14ac:dyDescent="0.4">
      <c r="A19" s="558"/>
      <c r="B19" s="558"/>
      <c r="C19" s="558"/>
      <c r="D19" s="558"/>
      <c r="E19" s="558"/>
      <c r="F19" s="558"/>
      <c r="G19" s="563"/>
      <c r="H19" s="563"/>
      <c r="I19" s="563"/>
      <c r="J19" s="563"/>
      <c r="K19" s="563"/>
      <c r="L19" s="563"/>
      <c r="M19" s="563"/>
      <c r="N19" s="563"/>
      <c r="O19" s="563"/>
      <c r="P19" s="575"/>
      <c r="Q19" s="52">
        <f>100%/13</f>
        <v>7.6923076923076927E-2</v>
      </c>
      <c r="R19" s="68">
        <f t="shared" si="1"/>
        <v>1</v>
      </c>
      <c r="S19" s="42"/>
      <c r="T19" s="42"/>
      <c r="U19" s="42"/>
      <c r="V19" s="42"/>
      <c r="W19" s="42"/>
      <c r="X19" s="42"/>
      <c r="Y19" s="42">
        <v>0.5</v>
      </c>
      <c r="Z19" s="42"/>
      <c r="AA19" s="42"/>
      <c r="AB19" s="42"/>
      <c r="AC19" s="42"/>
      <c r="AD19" s="42"/>
      <c r="AE19" s="42">
        <v>0.5</v>
      </c>
      <c r="AF19" s="548"/>
      <c r="AG19" s="434"/>
      <c r="AH19" s="434"/>
      <c r="AI19" s="434"/>
      <c r="AJ19" s="175"/>
      <c r="AK19" s="175"/>
      <c r="AL19" s="175"/>
      <c r="AM19" s="175"/>
      <c r="AN19" s="175"/>
      <c r="AO19" s="175"/>
    </row>
    <row r="20" spans="1:41" ht="133.5" customHeight="1" thickBot="1" x14ac:dyDescent="0.4">
      <c r="A20" s="557">
        <v>4</v>
      </c>
      <c r="B20" s="557" t="s">
        <v>704</v>
      </c>
      <c r="C20" s="557" t="s">
        <v>700</v>
      </c>
      <c r="D20" s="557" t="s">
        <v>717</v>
      </c>
      <c r="E20" s="557" t="s">
        <v>743</v>
      </c>
      <c r="F20" s="557" t="s">
        <v>856</v>
      </c>
      <c r="G20" s="562" t="s">
        <v>304</v>
      </c>
      <c r="H20" s="562" t="s">
        <v>857</v>
      </c>
      <c r="I20" s="562" t="s">
        <v>858</v>
      </c>
      <c r="J20" s="562" t="s">
        <v>849</v>
      </c>
      <c r="K20" s="562" t="s">
        <v>294</v>
      </c>
      <c r="L20" s="562" t="s">
        <v>294</v>
      </c>
      <c r="M20" s="562" t="s">
        <v>703</v>
      </c>
      <c r="N20" s="562" t="s">
        <v>850</v>
      </c>
      <c r="O20" s="562" t="s">
        <v>185</v>
      </c>
      <c r="P20" s="574" t="s">
        <v>859</v>
      </c>
      <c r="Q20" s="53">
        <f>+(Q21*R20)</f>
        <v>7.6923076923076927E-2</v>
      </c>
      <c r="R20" s="68">
        <f t="shared" si="1"/>
        <v>1</v>
      </c>
      <c r="S20" s="43"/>
      <c r="T20" s="43"/>
      <c r="U20" s="43"/>
      <c r="V20" s="43"/>
      <c r="W20" s="43"/>
      <c r="X20" s="43"/>
      <c r="Y20" s="43">
        <v>1</v>
      </c>
      <c r="Z20" s="43"/>
      <c r="AA20" s="44"/>
      <c r="AB20" s="44"/>
      <c r="AC20" s="44"/>
      <c r="AD20" s="44"/>
      <c r="AE20" s="44"/>
      <c r="AF20" s="548"/>
      <c r="AG20" s="434" t="s">
        <v>296</v>
      </c>
      <c r="AH20" s="434"/>
      <c r="AI20" s="434"/>
      <c r="AJ20" s="175"/>
      <c r="AK20" s="175"/>
      <c r="AL20" s="175"/>
      <c r="AM20" s="175"/>
      <c r="AN20" s="175"/>
      <c r="AO20" s="175"/>
    </row>
    <row r="21" spans="1:41" ht="133.5" customHeight="1" thickBot="1" x14ac:dyDescent="0.4">
      <c r="A21" s="558"/>
      <c r="B21" s="558"/>
      <c r="C21" s="558"/>
      <c r="D21" s="558"/>
      <c r="E21" s="558"/>
      <c r="F21" s="558"/>
      <c r="G21" s="563"/>
      <c r="H21" s="563"/>
      <c r="I21" s="563"/>
      <c r="J21" s="563"/>
      <c r="K21" s="563"/>
      <c r="L21" s="563"/>
      <c r="M21" s="563"/>
      <c r="N21" s="563"/>
      <c r="O21" s="563"/>
      <c r="P21" s="575"/>
      <c r="Q21" s="52">
        <f>100%/13</f>
        <v>7.6923076923076927E-2</v>
      </c>
      <c r="R21" s="68">
        <f t="shared" si="1"/>
        <v>1</v>
      </c>
      <c r="S21" s="42"/>
      <c r="T21" s="42"/>
      <c r="U21" s="42"/>
      <c r="V21" s="42"/>
      <c r="W21" s="42"/>
      <c r="X21" s="42"/>
      <c r="Y21" s="42">
        <v>1</v>
      </c>
      <c r="Z21" s="42"/>
      <c r="AA21" s="42"/>
      <c r="AB21" s="42"/>
      <c r="AC21" s="42"/>
      <c r="AD21" s="42"/>
      <c r="AE21" s="42"/>
      <c r="AF21" s="548"/>
      <c r="AG21" s="434"/>
      <c r="AH21" s="434"/>
      <c r="AI21" s="434"/>
      <c r="AJ21" s="175"/>
      <c r="AK21" s="175"/>
      <c r="AL21" s="175"/>
      <c r="AM21" s="175"/>
      <c r="AN21" s="175"/>
      <c r="AO21" s="175"/>
    </row>
    <row r="22" spans="1:41" ht="133.5" customHeight="1" thickBot="1" x14ac:dyDescent="0.4">
      <c r="A22" s="557">
        <v>5</v>
      </c>
      <c r="B22" s="557" t="s">
        <v>688</v>
      </c>
      <c r="C22" s="557" t="s">
        <v>710</v>
      </c>
      <c r="D22" s="557" t="s">
        <v>300</v>
      </c>
      <c r="E22" s="557" t="s">
        <v>301</v>
      </c>
      <c r="F22" s="557" t="s">
        <v>306</v>
      </c>
      <c r="G22" s="562" t="s">
        <v>860</v>
      </c>
      <c r="H22" s="562" t="s">
        <v>861</v>
      </c>
      <c r="I22" s="562" t="s">
        <v>166</v>
      </c>
      <c r="J22" s="562" t="s">
        <v>844</v>
      </c>
      <c r="K22" s="562" t="s">
        <v>294</v>
      </c>
      <c r="L22" s="562" t="s">
        <v>294</v>
      </c>
      <c r="M22" s="562" t="s">
        <v>703</v>
      </c>
      <c r="N22" s="562" t="s">
        <v>850</v>
      </c>
      <c r="O22" s="562" t="s">
        <v>185</v>
      </c>
      <c r="P22" s="574" t="s">
        <v>862</v>
      </c>
      <c r="Q22" s="53">
        <f>+(Q23*R22)</f>
        <v>7.6923076923076927E-2</v>
      </c>
      <c r="R22" s="68">
        <f t="shared" si="1"/>
        <v>1</v>
      </c>
      <c r="S22" s="45"/>
      <c r="T22" s="45"/>
      <c r="U22" s="45"/>
      <c r="V22" s="43"/>
      <c r="W22" s="43"/>
      <c r="X22" s="43"/>
      <c r="Y22" s="43">
        <v>1</v>
      </c>
      <c r="Z22" s="43"/>
      <c r="AA22" s="44"/>
      <c r="AB22" s="44"/>
      <c r="AC22" s="44"/>
      <c r="AD22" s="44"/>
      <c r="AE22" s="44"/>
      <c r="AF22" s="548"/>
      <c r="AG22" s="434" t="s">
        <v>296</v>
      </c>
      <c r="AH22" s="434"/>
      <c r="AI22" s="434"/>
      <c r="AJ22" s="175"/>
      <c r="AK22" s="175"/>
      <c r="AL22" s="175"/>
      <c r="AM22" s="175"/>
      <c r="AN22" s="175"/>
      <c r="AO22" s="175"/>
    </row>
    <row r="23" spans="1:41" ht="133.5" customHeight="1" thickBot="1" x14ac:dyDescent="0.4">
      <c r="A23" s="558"/>
      <c r="B23" s="558"/>
      <c r="C23" s="558"/>
      <c r="D23" s="558"/>
      <c r="E23" s="558"/>
      <c r="F23" s="558"/>
      <c r="G23" s="563"/>
      <c r="H23" s="563"/>
      <c r="I23" s="563"/>
      <c r="J23" s="563"/>
      <c r="K23" s="563"/>
      <c r="L23" s="563"/>
      <c r="M23" s="563"/>
      <c r="N23" s="563"/>
      <c r="O23" s="563"/>
      <c r="P23" s="575"/>
      <c r="Q23" s="52">
        <f>100%/13</f>
        <v>7.6923076923076927E-2</v>
      </c>
      <c r="R23" s="68">
        <f t="shared" si="1"/>
        <v>1</v>
      </c>
      <c r="S23" s="42"/>
      <c r="T23" s="42"/>
      <c r="U23" s="42"/>
      <c r="V23" s="42"/>
      <c r="W23" s="42"/>
      <c r="X23" s="42"/>
      <c r="Y23" s="42">
        <v>1</v>
      </c>
      <c r="Z23" s="42"/>
      <c r="AA23" s="42"/>
      <c r="AB23" s="42"/>
      <c r="AC23" s="42"/>
      <c r="AD23" s="42"/>
      <c r="AE23" s="42"/>
      <c r="AF23" s="548"/>
      <c r="AG23" s="434"/>
      <c r="AH23" s="434"/>
      <c r="AI23" s="434"/>
      <c r="AJ23" s="175"/>
      <c r="AK23" s="175"/>
      <c r="AL23" s="175"/>
      <c r="AM23" s="175"/>
      <c r="AN23" s="175"/>
      <c r="AO23" s="175"/>
    </row>
    <row r="24" spans="1:41" ht="133.5" customHeight="1" thickBot="1" x14ac:dyDescent="0.4">
      <c r="A24" s="557">
        <v>6</v>
      </c>
      <c r="B24" s="557" t="s">
        <v>688</v>
      </c>
      <c r="C24" s="557" t="s">
        <v>694</v>
      </c>
      <c r="D24" s="557" t="s">
        <v>121</v>
      </c>
      <c r="E24" s="557" t="s">
        <v>122</v>
      </c>
      <c r="F24" s="557" t="s">
        <v>863</v>
      </c>
      <c r="G24" s="562" t="s">
        <v>308</v>
      </c>
      <c r="H24" s="562" t="s">
        <v>309</v>
      </c>
      <c r="I24" s="562" t="s">
        <v>310</v>
      </c>
      <c r="J24" s="562" t="s">
        <v>844</v>
      </c>
      <c r="K24" s="562" t="s">
        <v>294</v>
      </c>
      <c r="L24" s="562" t="s">
        <v>294</v>
      </c>
      <c r="M24" s="562" t="s">
        <v>703</v>
      </c>
      <c r="N24" s="562" t="s">
        <v>864</v>
      </c>
      <c r="O24" s="562" t="s">
        <v>865</v>
      </c>
      <c r="P24" s="574" t="s">
        <v>866</v>
      </c>
      <c r="Q24" s="53">
        <f>+(Q25*R24)</f>
        <v>7.6923076923076927E-2</v>
      </c>
      <c r="R24" s="68">
        <f t="shared" si="1"/>
        <v>1</v>
      </c>
      <c r="S24" s="61"/>
      <c r="T24" s="61"/>
      <c r="U24" s="61"/>
      <c r="V24" s="43"/>
      <c r="W24" s="43"/>
      <c r="X24" s="43"/>
      <c r="Y24" s="43">
        <v>1</v>
      </c>
      <c r="Z24" s="43"/>
      <c r="AA24" s="44"/>
      <c r="AB24" s="44"/>
      <c r="AC24" s="44"/>
      <c r="AD24" s="44"/>
      <c r="AE24" s="44"/>
      <c r="AF24" s="548"/>
      <c r="AG24" s="434" t="s">
        <v>296</v>
      </c>
      <c r="AH24" s="434"/>
      <c r="AI24" s="434"/>
      <c r="AJ24" s="175"/>
      <c r="AK24" s="175"/>
      <c r="AL24" s="175"/>
      <c r="AM24" s="175"/>
      <c r="AN24" s="175"/>
      <c r="AO24" s="175"/>
    </row>
    <row r="25" spans="1:41" ht="133.5" customHeight="1" x14ac:dyDescent="0.35">
      <c r="A25" s="558"/>
      <c r="B25" s="558"/>
      <c r="C25" s="558"/>
      <c r="D25" s="558"/>
      <c r="E25" s="558"/>
      <c r="F25" s="558"/>
      <c r="G25" s="563"/>
      <c r="H25" s="563"/>
      <c r="I25" s="563"/>
      <c r="J25" s="563"/>
      <c r="K25" s="563"/>
      <c r="L25" s="563"/>
      <c r="M25" s="563"/>
      <c r="N25" s="563"/>
      <c r="O25" s="563"/>
      <c r="P25" s="575"/>
      <c r="Q25" s="52">
        <f>100%/13</f>
        <v>7.6923076923076927E-2</v>
      </c>
      <c r="R25" s="68">
        <f t="shared" si="1"/>
        <v>1</v>
      </c>
      <c r="S25" s="42"/>
      <c r="T25" s="42"/>
      <c r="U25" s="42"/>
      <c r="V25" s="42"/>
      <c r="W25" s="42"/>
      <c r="X25" s="42"/>
      <c r="Y25" s="42">
        <v>1</v>
      </c>
      <c r="Z25" s="42"/>
      <c r="AA25" s="42"/>
      <c r="AB25" s="42"/>
      <c r="AC25" s="42"/>
      <c r="AD25" s="42"/>
      <c r="AE25" s="42"/>
      <c r="AF25" s="548"/>
      <c r="AG25" s="434"/>
      <c r="AH25" s="434"/>
      <c r="AI25" s="434"/>
      <c r="AJ25" s="175"/>
      <c r="AK25" s="175"/>
      <c r="AL25" s="175"/>
      <c r="AM25" s="175"/>
      <c r="AN25" s="175"/>
      <c r="AO25" s="175"/>
    </row>
    <row r="27" spans="1:41" hidden="1" x14ac:dyDescent="0.35">
      <c r="B27" s="368" t="s">
        <v>53</v>
      </c>
      <c r="C27" s="368" t="s">
        <v>54</v>
      </c>
      <c r="D27" s="368" t="s">
        <v>55</v>
      </c>
      <c r="E27" s="368" t="s">
        <v>56</v>
      </c>
      <c r="F27" s="368" t="s">
        <v>31</v>
      </c>
      <c r="G27" s="370" t="s">
        <v>57</v>
      </c>
      <c r="H27" s="1"/>
      <c r="I27" s="1"/>
      <c r="J27" s="1"/>
      <c r="K27" s="1"/>
      <c r="L27" s="1"/>
      <c r="M27" s="370" t="s">
        <v>687</v>
      </c>
    </row>
    <row r="28" spans="1:41" hidden="1" x14ac:dyDescent="0.35">
      <c r="B28" s="369"/>
      <c r="C28" s="369"/>
      <c r="D28" s="369"/>
      <c r="E28" s="369"/>
      <c r="F28" s="369"/>
      <c r="G28" s="369"/>
      <c r="H28" s="1"/>
      <c r="I28" s="1"/>
      <c r="J28" s="1"/>
      <c r="K28" s="1"/>
      <c r="L28" s="1"/>
      <c r="M28" s="369"/>
    </row>
    <row r="29" spans="1:41" hidden="1" x14ac:dyDescent="0.35">
      <c r="B29" s="1" t="s">
        <v>688</v>
      </c>
      <c r="C29" s="1" t="s">
        <v>689</v>
      </c>
      <c r="D29" s="1" t="s">
        <v>121</v>
      </c>
      <c r="E29" s="1" t="s">
        <v>122</v>
      </c>
      <c r="F29" s="1" t="s">
        <v>690</v>
      </c>
      <c r="G29" s="1" t="s">
        <v>691</v>
      </c>
      <c r="H29" s="1"/>
      <c r="I29" s="1"/>
      <c r="J29" s="1"/>
      <c r="K29" s="1"/>
      <c r="L29" s="1"/>
      <c r="M29" s="13" t="s">
        <v>692</v>
      </c>
    </row>
    <row r="30" spans="1:41" hidden="1" x14ac:dyDescent="0.35">
      <c r="B30" s="1" t="s">
        <v>693</v>
      </c>
      <c r="C30" s="1" t="s">
        <v>694</v>
      </c>
      <c r="D30" s="1" t="s">
        <v>300</v>
      </c>
      <c r="E30" s="1" t="s">
        <v>695</v>
      </c>
      <c r="F30" s="1" t="s">
        <v>696</v>
      </c>
      <c r="G30" s="1" t="s">
        <v>697</v>
      </c>
      <c r="H30" s="1"/>
      <c r="I30" s="1"/>
      <c r="J30" s="1"/>
      <c r="K30" s="1"/>
      <c r="L30" s="1"/>
      <c r="M30" s="13" t="s">
        <v>698</v>
      </c>
    </row>
    <row r="31" spans="1:41" hidden="1" x14ac:dyDescent="0.35">
      <c r="B31" s="1" t="s">
        <v>699</v>
      </c>
      <c r="C31" s="1" t="s">
        <v>700</v>
      </c>
      <c r="D31" s="1" t="s">
        <v>86</v>
      </c>
      <c r="E31" s="1" t="s">
        <v>301</v>
      </c>
      <c r="F31" s="1" t="s">
        <v>701</v>
      </c>
      <c r="G31" s="1" t="s">
        <v>702</v>
      </c>
      <c r="H31" s="1"/>
      <c r="I31" s="1"/>
      <c r="J31" s="1"/>
      <c r="K31" s="1"/>
      <c r="L31" s="1"/>
      <c r="M31" s="13" t="s">
        <v>703</v>
      </c>
    </row>
    <row r="32" spans="1:41" hidden="1" x14ac:dyDescent="0.35">
      <c r="B32" s="1" t="s">
        <v>704</v>
      </c>
      <c r="C32" s="1" t="s">
        <v>705</v>
      </c>
      <c r="D32" s="1" t="s">
        <v>168</v>
      </c>
      <c r="E32" s="1" t="s">
        <v>706</v>
      </c>
      <c r="F32" s="1" t="s">
        <v>707</v>
      </c>
      <c r="G32" s="1" t="s">
        <v>708</v>
      </c>
      <c r="H32" s="1"/>
      <c r="I32" s="1"/>
      <c r="J32" s="1"/>
      <c r="K32" s="1"/>
      <c r="L32" s="1"/>
      <c r="M32" s="1"/>
    </row>
    <row r="33" spans="2:13" hidden="1" x14ac:dyDescent="0.35">
      <c r="B33" s="1" t="s">
        <v>709</v>
      </c>
      <c r="C33" s="1" t="s">
        <v>710</v>
      </c>
      <c r="D33" s="1" t="s">
        <v>711</v>
      </c>
      <c r="E33" s="1" t="s">
        <v>712</v>
      </c>
      <c r="F33" s="1" t="s">
        <v>713</v>
      </c>
      <c r="G33" s="1" t="s">
        <v>714</v>
      </c>
      <c r="H33" s="1"/>
      <c r="I33" s="1"/>
      <c r="J33" s="1"/>
      <c r="K33" s="1"/>
      <c r="L33" s="1"/>
      <c r="M33" s="1"/>
    </row>
    <row r="34" spans="2:13" hidden="1" x14ac:dyDescent="0.35">
      <c r="B34" s="1" t="s">
        <v>715</v>
      </c>
      <c r="C34" s="1" t="s">
        <v>716</v>
      </c>
      <c r="D34" s="1" t="s">
        <v>717</v>
      </c>
      <c r="E34" s="1" t="s">
        <v>154</v>
      </c>
      <c r="F34" s="1" t="s">
        <v>290</v>
      </c>
      <c r="G34" s="1" t="s">
        <v>463</v>
      </c>
      <c r="H34" s="1"/>
      <c r="I34" s="1"/>
      <c r="J34" s="1"/>
      <c r="K34" s="1"/>
      <c r="L34" s="1"/>
      <c r="M34" s="1"/>
    </row>
    <row r="35" spans="2:13" hidden="1" x14ac:dyDescent="0.35">
      <c r="B35" s="1" t="s">
        <v>718</v>
      </c>
      <c r="C35" s="1" t="s">
        <v>719</v>
      </c>
      <c r="D35" s="1" t="s">
        <v>720</v>
      </c>
      <c r="E35" s="1" t="s">
        <v>115</v>
      </c>
      <c r="F35" s="1" t="s">
        <v>721</v>
      </c>
      <c r="G35" s="1" t="s">
        <v>722</v>
      </c>
      <c r="H35" s="1"/>
      <c r="I35" s="1"/>
      <c r="J35" s="1"/>
      <c r="K35" s="1"/>
      <c r="L35" s="1"/>
      <c r="M35" s="1"/>
    </row>
    <row r="36" spans="2:13" hidden="1" x14ac:dyDescent="0.35">
      <c r="B36" s="1" t="s">
        <v>723</v>
      </c>
      <c r="C36" s="1" t="s">
        <v>724</v>
      </c>
      <c r="D36" s="1"/>
      <c r="E36" s="1" t="s">
        <v>627</v>
      </c>
      <c r="F36" s="1" t="s">
        <v>725</v>
      </c>
      <c r="G36" s="1" t="s">
        <v>571</v>
      </c>
      <c r="H36" s="1"/>
      <c r="I36" s="1"/>
      <c r="J36" s="1"/>
      <c r="K36" s="1"/>
      <c r="L36" s="1"/>
      <c r="M36" s="1"/>
    </row>
    <row r="37" spans="2:13" hidden="1" x14ac:dyDescent="0.35">
      <c r="B37" s="1"/>
      <c r="C37" s="1" t="s">
        <v>726</v>
      </c>
      <c r="D37" s="1"/>
      <c r="E37" s="1" t="s">
        <v>126</v>
      </c>
      <c r="F37" s="1" t="s">
        <v>727</v>
      </c>
      <c r="G37" s="1" t="s">
        <v>100</v>
      </c>
      <c r="H37" s="1"/>
      <c r="I37" s="1"/>
      <c r="J37" s="1"/>
      <c r="K37" s="1"/>
      <c r="L37" s="1"/>
      <c r="M37" s="1"/>
    </row>
    <row r="38" spans="2:13" hidden="1" x14ac:dyDescent="0.35">
      <c r="B38" s="1"/>
      <c r="C38" s="1" t="s">
        <v>728</v>
      </c>
      <c r="D38" s="1"/>
      <c r="E38" s="1" t="s">
        <v>729</v>
      </c>
      <c r="F38" s="1" t="s">
        <v>730</v>
      </c>
      <c r="G38" s="1" t="s">
        <v>123</v>
      </c>
      <c r="H38" s="1"/>
      <c r="I38" s="1"/>
      <c r="J38" s="1"/>
      <c r="K38" s="1"/>
      <c r="L38" s="1"/>
      <c r="M38" s="1"/>
    </row>
    <row r="39" spans="2:13" hidden="1" x14ac:dyDescent="0.35">
      <c r="B39" s="1"/>
      <c r="C39" s="1"/>
      <c r="D39" s="1"/>
      <c r="E39" s="1" t="s">
        <v>87</v>
      </c>
      <c r="F39" s="1" t="s">
        <v>731</v>
      </c>
      <c r="G39" s="1" t="s">
        <v>111</v>
      </c>
      <c r="H39" s="1"/>
      <c r="I39" s="1"/>
      <c r="J39" s="1"/>
      <c r="K39" s="1"/>
      <c r="L39" s="1"/>
      <c r="M39" s="1"/>
    </row>
    <row r="40" spans="2:13" hidden="1" x14ac:dyDescent="0.35">
      <c r="B40" s="1"/>
      <c r="C40" s="1"/>
      <c r="D40" s="1"/>
      <c r="E40" s="1" t="s">
        <v>732</v>
      </c>
      <c r="F40" s="1" t="s">
        <v>733</v>
      </c>
      <c r="G40" s="1" t="s">
        <v>734</v>
      </c>
      <c r="H40" s="1"/>
      <c r="I40" s="1"/>
      <c r="J40" s="1"/>
      <c r="K40" s="1"/>
      <c r="L40" s="1"/>
      <c r="M40" s="1"/>
    </row>
    <row r="41" spans="2:13" hidden="1" x14ac:dyDescent="0.35">
      <c r="B41" s="1"/>
      <c r="C41" s="1"/>
      <c r="D41" s="1"/>
      <c r="E41" s="1" t="s">
        <v>163</v>
      </c>
      <c r="F41" s="1"/>
      <c r="G41" s="1" t="s">
        <v>735</v>
      </c>
      <c r="H41" s="1"/>
      <c r="I41" s="1"/>
      <c r="J41" s="1"/>
      <c r="K41" s="1"/>
      <c r="L41" s="1"/>
      <c r="M41" s="1"/>
    </row>
    <row r="42" spans="2:13" hidden="1" x14ac:dyDescent="0.35">
      <c r="B42" s="1"/>
      <c r="C42" s="1"/>
      <c r="D42" s="1"/>
      <c r="E42" s="1" t="s">
        <v>736</v>
      </c>
      <c r="F42" s="1"/>
      <c r="G42" s="1" t="s">
        <v>737</v>
      </c>
      <c r="H42" s="1"/>
      <c r="I42" s="1"/>
      <c r="J42" s="1"/>
      <c r="K42" s="1"/>
      <c r="L42" s="1"/>
      <c r="M42" s="1"/>
    </row>
    <row r="43" spans="2:13" hidden="1" x14ac:dyDescent="0.35">
      <c r="B43" s="1"/>
      <c r="C43" s="1"/>
      <c r="D43" s="1"/>
      <c r="E43" s="1" t="s">
        <v>738</v>
      </c>
      <c r="F43" s="1"/>
      <c r="G43" s="1" t="s">
        <v>739</v>
      </c>
      <c r="H43" s="1"/>
      <c r="I43" s="1"/>
      <c r="J43" s="1"/>
      <c r="K43" s="1"/>
      <c r="L43" s="1"/>
      <c r="M43" s="1"/>
    </row>
    <row r="44" spans="2:13" hidden="1" x14ac:dyDescent="0.35">
      <c r="B44" s="1"/>
      <c r="C44" s="1"/>
      <c r="D44" s="1"/>
      <c r="E44" s="1" t="s">
        <v>110</v>
      </c>
      <c r="F44" s="1"/>
      <c r="G44" s="1" t="s">
        <v>740</v>
      </c>
      <c r="H44" s="1"/>
      <c r="I44" s="1"/>
      <c r="J44" s="1"/>
      <c r="K44" s="1"/>
      <c r="L44" s="1"/>
      <c r="M44" s="1"/>
    </row>
    <row r="45" spans="2:13" hidden="1" x14ac:dyDescent="0.35">
      <c r="B45" s="1"/>
      <c r="C45" s="1"/>
      <c r="D45" s="1"/>
      <c r="E45" s="1" t="s">
        <v>741</v>
      </c>
      <c r="F45" s="1"/>
      <c r="G45" s="1" t="s">
        <v>742</v>
      </c>
      <c r="H45" s="1"/>
      <c r="I45" s="1"/>
      <c r="J45" s="1"/>
      <c r="K45" s="1"/>
      <c r="L45" s="1"/>
      <c r="M45" s="1"/>
    </row>
    <row r="46" spans="2:13" hidden="1" x14ac:dyDescent="0.35">
      <c r="B46" s="1"/>
      <c r="C46" s="1"/>
      <c r="D46" s="1"/>
      <c r="E46" s="1" t="s">
        <v>743</v>
      </c>
      <c r="F46" s="1"/>
      <c r="G46" s="1" t="s">
        <v>744</v>
      </c>
      <c r="H46" s="1"/>
      <c r="I46" s="1"/>
      <c r="J46" s="1"/>
      <c r="K46" s="1"/>
      <c r="L46" s="1"/>
      <c r="M46" s="1"/>
    </row>
    <row r="47" spans="2:13" hidden="1" x14ac:dyDescent="0.35">
      <c r="B47" s="1"/>
      <c r="C47" s="1"/>
      <c r="D47" s="1"/>
      <c r="E47" s="1" t="s">
        <v>745</v>
      </c>
      <c r="F47" s="1"/>
      <c r="G47" s="1" t="s">
        <v>746</v>
      </c>
      <c r="H47" s="1"/>
      <c r="I47" s="1"/>
      <c r="J47" s="1"/>
      <c r="K47" s="1"/>
      <c r="L47" s="1"/>
      <c r="M47" s="1"/>
    </row>
    <row r="48" spans="2:13" hidden="1" x14ac:dyDescent="0.35">
      <c r="B48" s="1"/>
      <c r="C48" s="1"/>
      <c r="D48" s="1"/>
      <c r="E48" s="1"/>
      <c r="F48" s="1"/>
      <c r="G48" s="1" t="s">
        <v>747</v>
      </c>
      <c r="H48" s="1"/>
      <c r="I48" s="1"/>
      <c r="J48" s="1"/>
      <c r="K48" s="1"/>
      <c r="L48" s="1"/>
      <c r="M48" s="1"/>
    </row>
    <row r="49" spans="2:13" hidden="1" x14ac:dyDescent="0.35">
      <c r="B49" s="1"/>
      <c r="C49" s="1"/>
      <c r="D49" s="1"/>
      <c r="E49" s="1"/>
      <c r="F49" s="1"/>
      <c r="G49" s="1" t="s">
        <v>748</v>
      </c>
      <c r="H49" s="1"/>
      <c r="I49" s="1"/>
      <c r="J49" s="1"/>
      <c r="K49" s="1"/>
      <c r="L49" s="1"/>
      <c r="M49" s="1"/>
    </row>
    <row r="50" spans="2:13" hidden="1" x14ac:dyDescent="0.35">
      <c r="B50" s="1"/>
      <c r="C50" s="1"/>
      <c r="D50" s="1"/>
      <c r="E50" s="1"/>
      <c r="F50" s="1"/>
      <c r="G50" s="1" t="s">
        <v>749</v>
      </c>
      <c r="H50" s="1"/>
      <c r="I50" s="1"/>
      <c r="J50" s="1"/>
      <c r="K50" s="1"/>
      <c r="L50" s="1"/>
      <c r="M50" s="1"/>
    </row>
    <row r="51" spans="2:13" hidden="1" x14ac:dyDescent="0.35">
      <c r="B51" s="1"/>
      <c r="C51" s="1"/>
      <c r="D51" s="1"/>
      <c r="E51" s="1"/>
      <c r="F51" s="1"/>
      <c r="G51" s="1" t="s">
        <v>750</v>
      </c>
      <c r="H51" s="1"/>
      <c r="I51" s="1"/>
      <c r="J51" s="1"/>
      <c r="K51" s="1"/>
      <c r="L51" s="1"/>
      <c r="M51" s="1"/>
    </row>
    <row r="52" spans="2:13" hidden="1" x14ac:dyDescent="0.35">
      <c r="B52" s="1"/>
      <c r="C52" s="1"/>
      <c r="D52" s="1"/>
      <c r="E52" s="1"/>
      <c r="F52" s="1"/>
      <c r="G52" s="1" t="s">
        <v>751</v>
      </c>
      <c r="H52" s="1"/>
      <c r="I52" s="1"/>
      <c r="J52" s="1"/>
      <c r="K52" s="1"/>
      <c r="L52" s="1"/>
      <c r="M52" s="1"/>
    </row>
    <row r="53" spans="2:13" hidden="1" x14ac:dyDescent="0.35">
      <c r="B53" s="1"/>
      <c r="C53" s="1"/>
      <c r="D53" s="1"/>
      <c r="E53" s="1"/>
      <c r="F53" s="1"/>
      <c r="G53" s="1" t="s">
        <v>752</v>
      </c>
      <c r="H53" s="1"/>
      <c r="I53" s="1"/>
      <c r="J53" s="1"/>
      <c r="K53" s="1"/>
      <c r="L53" s="1"/>
      <c r="M53" s="1"/>
    </row>
    <row r="54" spans="2:13" hidden="1" x14ac:dyDescent="0.35">
      <c r="B54" s="1"/>
      <c r="C54" s="1"/>
      <c r="D54" s="1"/>
      <c r="E54" s="1"/>
      <c r="F54" s="1"/>
      <c r="G54" s="1" t="s">
        <v>753</v>
      </c>
      <c r="H54" s="1"/>
      <c r="I54" s="1"/>
      <c r="J54" s="1"/>
      <c r="K54" s="1"/>
      <c r="L54" s="1"/>
      <c r="M54" s="1"/>
    </row>
    <row r="55" spans="2:13" hidden="1" x14ac:dyDescent="0.35">
      <c r="B55" s="1"/>
      <c r="C55" s="1"/>
      <c r="D55" s="1"/>
      <c r="E55" s="1"/>
      <c r="F55" s="1"/>
      <c r="G55" s="1" t="s">
        <v>754</v>
      </c>
      <c r="H55" s="1"/>
      <c r="I55" s="1"/>
      <c r="J55" s="1"/>
      <c r="K55" s="1"/>
      <c r="L55" s="1"/>
      <c r="M55" s="1"/>
    </row>
    <row r="56" spans="2:13" hidden="1" x14ac:dyDescent="0.35">
      <c r="B56" s="1"/>
      <c r="C56" s="1"/>
      <c r="D56" s="1"/>
      <c r="E56" s="1"/>
      <c r="F56" s="1"/>
      <c r="G56" s="1" t="s">
        <v>755</v>
      </c>
      <c r="H56" s="1"/>
      <c r="I56" s="1"/>
      <c r="J56" s="1"/>
      <c r="K56" s="1"/>
      <c r="L56" s="1"/>
      <c r="M56" s="1"/>
    </row>
    <row r="57" spans="2:13" hidden="1" x14ac:dyDescent="0.35">
      <c r="B57" s="1"/>
      <c r="C57" s="1"/>
      <c r="D57" s="1"/>
      <c r="E57" s="1"/>
      <c r="F57" s="1"/>
      <c r="G57" s="1" t="s">
        <v>756</v>
      </c>
      <c r="H57" s="1"/>
      <c r="I57" s="1"/>
      <c r="J57" s="1"/>
      <c r="K57" s="1"/>
      <c r="L57" s="1"/>
      <c r="M57" s="1"/>
    </row>
    <row r="58" spans="2:13" hidden="1" x14ac:dyDescent="0.35">
      <c r="B58" s="1"/>
      <c r="C58" s="1"/>
      <c r="D58" s="1"/>
      <c r="E58" s="1"/>
      <c r="F58" s="1"/>
      <c r="G58" s="1" t="s">
        <v>757</v>
      </c>
      <c r="H58" s="1"/>
      <c r="I58" s="1"/>
      <c r="J58" s="1"/>
      <c r="K58" s="1"/>
      <c r="L58" s="1"/>
      <c r="M58" s="1"/>
    </row>
    <row r="59" spans="2:13" hidden="1" x14ac:dyDescent="0.35">
      <c r="B59" s="1"/>
      <c r="C59" s="1"/>
      <c r="D59" s="1"/>
      <c r="E59" s="1"/>
      <c r="F59" s="1"/>
      <c r="G59" s="1" t="s">
        <v>758</v>
      </c>
      <c r="H59" s="1"/>
      <c r="I59" s="1"/>
      <c r="J59" s="1"/>
      <c r="K59" s="1"/>
      <c r="L59" s="1"/>
      <c r="M59" s="1"/>
    </row>
    <row r="60" spans="2:13" hidden="1" x14ac:dyDescent="0.35">
      <c r="B60" s="1"/>
      <c r="C60" s="1"/>
      <c r="D60" s="1"/>
      <c r="E60" s="1"/>
      <c r="F60" s="1"/>
      <c r="G60" s="1" t="s">
        <v>759</v>
      </c>
      <c r="H60" s="1"/>
      <c r="I60" s="1"/>
      <c r="J60" s="1"/>
      <c r="K60" s="1"/>
      <c r="L60" s="1"/>
      <c r="M60" s="1"/>
    </row>
    <row r="61" spans="2:13" hidden="1" x14ac:dyDescent="0.35">
      <c r="B61" s="1"/>
      <c r="C61" s="1"/>
      <c r="D61" s="1"/>
      <c r="E61" s="1"/>
      <c r="F61" s="1"/>
      <c r="G61" s="1" t="s">
        <v>760</v>
      </c>
      <c r="H61" s="1"/>
      <c r="I61" s="1"/>
      <c r="J61" s="1"/>
      <c r="K61" s="1"/>
      <c r="L61" s="1"/>
      <c r="M61" s="1"/>
    </row>
    <row r="62" spans="2:13" hidden="1" x14ac:dyDescent="0.35">
      <c r="B62" s="1"/>
      <c r="C62" s="1"/>
      <c r="D62" s="1"/>
      <c r="E62" s="1"/>
      <c r="F62" s="1"/>
      <c r="G62" s="1" t="s">
        <v>127</v>
      </c>
      <c r="H62" s="1"/>
      <c r="I62" s="1"/>
      <c r="J62" s="1"/>
      <c r="K62" s="1"/>
      <c r="L62" s="1"/>
      <c r="M62" s="1"/>
    </row>
    <row r="63" spans="2:13" hidden="1" x14ac:dyDescent="0.35">
      <c r="B63" s="1"/>
      <c r="C63" s="1"/>
      <c r="D63" s="1"/>
      <c r="E63" s="1"/>
      <c r="F63" s="1"/>
      <c r="G63" s="1" t="s">
        <v>761</v>
      </c>
      <c r="H63" s="1"/>
      <c r="I63" s="1"/>
      <c r="J63" s="1"/>
      <c r="K63" s="1"/>
      <c r="L63" s="1"/>
      <c r="M63" s="1"/>
    </row>
    <row r="64" spans="2:13" hidden="1" x14ac:dyDescent="0.35">
      <c r="B64" s="1"/>
      <c r="C64" s="1"/>
      <c r="D64" s="1"/>
      <c r="E64" s="1"/>
      <c r="F64" s="1"/>
      <c r="G64" s="1" t="s">
        <v>762</v>
      </c>
      <c r="H64" s="1"/>
      <c r="I64" s="1"/>
      <c r="J64" s="1"/>
      <c r="K64" s="1"/>
      <c r="L64" s="1"/>
      <c r="M64" s="1"/>
    </row>
    <row r="65" spans="2:13" hidden="1" x14ac:dyDescent="0.35">
      <c r="B65" s="1"/>
      <c r="C65" s="1"/>
      <c r="D65" s="1"/>
      <c r="E65" s="1"/>
      <c r="F65" s="1"/>
      <c r="G65" s="1" t="s">
        <v>763</v>
      </c>
      <c r="H65" s="1"/>
      <c r="I65" s="1"/>
      <c r="J65" s="1"/>
      <c r="K65" s="1"/>
      <c r="L65" s="1"/>
      <c r="M65" s="1"/>
    </row>
    <row r="66" spans="2:13" hidden="1" x14ac:dyDescent="0.35">
      <c r="B66" s="1"/>
      <c r="C66" s="1"/>
      <c r="D66" s="1"/>
      <c r="E66" s="1"/>
      <c r="F66" s="1"/>
      <c r="G66" s="1" t="s">
        <v>764</v>
      </c>
      <c r="H66" s="1"/>
      <c r="I66" s="1"/>
      <c r="J66" s="1"/>
      <c r="K66" s="1"/>
      <c r="L66" s="1"/>
      <c r="M66" s="1"/>
    </row>
    <row r="67" spans="2:13" hidden="1" x14ac:dyDescent="0.35">
      <c r="B67" s="1"/>
      <c r="C67" s="1"/>
      <c r="D67" s="1"/>
      <c r="E67" s="1"/>
      <c r="F67" s="1"/>
      <c r="G67" s="1" t="s">
        <v>89</v>
      </c>
      <c r="H67" s="1"/>
      <c r="I67" s="1"/>
      <c r="J67" s="1"/>
      <c r="K67" s="1"/>
      <c r="L67" s="1"/>
      <c r="M67" s="1"/>
    </row>
    <row r="68" spans="2:13" hidden="1" x14ac:dyDescent="0.35">
      <c r="B68" s="1"/>
      <c r="C68" s="1"/>
      <c r="D68" s="1"/>
      <c r="E68" s="1"/>
      <c r="F68" s="1"/>
      <c r="G68" s="1" t="s">
        <v>765</v>
      </c>
      <c r="H68" s="1"/>
      <c r="I68" s="1"/>
      <c r="J68" s="1"/>
      <c r="K68" s="1"/>
      <c r="L68" s="1"/>
      <c r="M68" s="1"/>
    </row>
    <row r="69" spans="2:13" hidden="1" x14ac:dyDescent="0.35">
      <c r="B69" s="1"/>
      <c r="C69" s="1"/>
      <c r="D69" s="1"/>
      <c r="E69" s="1"/>
      <c r="F69" s="1"/>
      <c r="G69" s="1" t="s">
        <v>766</v>
      </c>
      <c r="H69" s="1"/>
      <c r="I69" s="1"/>
      <c r="J69" s="1"/>
      <c r="K69" s="1"/>
      <c r="L69" s="1"/>
      <c r="M69" s="1"/>
    </row>
    <row r="70" spans="2:13" hidden="1" x14ac:dyDescent="0.35">
      <c r="B70" s="1"/>
      <c r="C70" s="1"/>
      <c r="D70" s="1"/>
      <c r="E70" s="1"/>
      <c r="F70" s="1"/>
      <c r="G70" s="1" t="s">
        <v>307</v>
      </c>
      <c r="H70" s="1"/>
      <c r="I70" s="1"/>
      <c r="J70" s="1"/>
      <c r="K70" s="1"/>
      <c r="L70" s="1"/>
      <c r="M70" s="1"/>
    </row>
    <row r="71" spans="2:13" hidden="1" x14ac:dyDescent="0.35">
      <c r="B71" s="1"/>
      <c r="C71" s="1"/>
      <c r="D71" s="1"/>
      <c r="E71" s="1"/>
      <c r="F71" s="1"/>
      <c r="G71" s="1" t="s">
        <v>767</v>
      </c>
      <c r="H71" s="1"/>
      <c r="I71" s="1"/>
      <c r="J71" s="1"/>
      <c r="K71" s="1"/>
      <c r="L71" s="1"/>
      <c r="M71" s="1"/>
    </row>
    <row r="72" spans="2:13" hidden="1" x14ac:dyDescent="0.35">
      <c r="B72" s="1"/>
      <c r="C72" s="1"/>
      <c r="D72" s="1"/>
      <c r="E72" s="1"/>
      <c r="F72" s="1"/>
      <c r="G72" s="1" t="s">
        <v>768</v>
      </c>
      <c r="H72" s="1"/>
      <c r="I72" s="1"/>
      <c r="J72" s="1"/>
      <c r="K72" s="1"/>
      <c r="L72" s="1"/>
      <c r="M72" s="1"/>
    </row>
    <row r="73" spans="2:13" hidden="1" x14ac:dyDescent="0.35">
      <c r="B73" s="1"/>
      <c r="C73" s="1"/>
      <c r="D73" s="1"/>
      <c r="E73" s="1"/>
      <c r="F73" s="1"/>
      <c r="G73" s="1" t="s">
        <v>769</v>
      </c>
      <c r="H73" s="1"/>
      <c r="I73" s="1"/>
      <c r="J73" s="1"/>
      <c r="K73" s="1"/>
      <c r="L73" s="1"/>
      <c r="M73" s="1"/>
    </row>
    <row r="74" spans="2:13" hidden="1" x14ac:dyDescent="0.35">
      <c r="B74" s="1"/>
      <c r="C74" s="1"/>
      <c r="D74" s="1"/>
      <c r="E74" s="1"/>
      <c r="F74" s="1"/>
      <c r="G74" s="1" t="s">
        <v>770</v>
      </c>
      <c r="H74" s="1"/>
      <c r="I74" s="1"/>
      <c r="J74" s="1"/>
      <c r="K74" s="1"/>
      <c r="L74" s="1"/>
      <c r="M74" s="1"/>
    </row>
    <row r="75" spans="2:13" hidden="1" x14ac:dyDescent="0.35">
      <c r="B75" s="1"/>
      <c r="C75" s="1"/>
      <c r="D75" s="1"/>
      <c r="E75" s="1"/>
      <c r="F75" s="1"/>
      <c r="G75" s="1" t="s">
        <v>771</v>
      </c>
      <c r="H75" s="1"/>
      <c r="I75" s="1"/>
      <c r="J75" s="1"/>
      <c r="K75" s="1"/>
      <c r="L75" s="1"/>
      <c r="M75" s="1"/>
    </row>
    <row r="76" spans="2:13" hidden="1" x14ac:dyDescent="0.35">
      <c r="B76" s="1"/>
      <c r="C76" s="1"/>
      <c r="D76" s="1"/>
      <c r="E76" s="1"/>
      <c r="F76" s="1"/>
      <c r="G76" s="1" t="s">
        <v>772</v>
      </c>
      <c r="H76" s="1"/>
      <c r="I76" s="1"/>
      <c r="J76" s="1"/>
      <c r="K76" s="1"/>
      <c r="L76" s="1"/>
      <c r="M76" s="1"/>
    </row>
    <row r="77" spans="2:13" hidden="1" x14ac:dyDescent="0.35">
      <c r="B77" s="1"/>
      <c r="C77" s="1"/>
      <c r="D77" s="1"/>
      <c r="E77" s="1"/>
      <c r="F77" s="1"/>
      <c r="G77" s="1" t="s">
        <v>773</v>
      </c>
      <c r="H77" s="1"/>
      <c r="I77" s="1"/>
      <c r="J77" s="1"/>
      <c r="K77" s="1"/>
      <c r="L77" s="1"/>
      <c r="M77" s="1"/>
    </row>
    <row r="78" spans="2:13" hidden="1" x14ac:dyDescent="0.35">
      <c r="B78" s="1"/>
      <c r="C78" s="1"/>
      <c r="D78" s="1"/>
      <c r="E78" s="1"/>
      <c r="F78" s="1"/>
      <c r="G78" s="1" t="s">
        <v>774</v>
      </c>
      <c r="H78" s="1"/>
      <c r="I78" s="1"/>
      <c r="J78" s="1"/>
      <c r="K78" s="1"/>
      <c r="L78" s="1"/>
      <c r="M78" s="1"/>
    </row>
    <row r="79" spans="2:13" hidden="1" x14ac:dyDescent="0.35">
      <c r="B79" s="1"/>
      <c r="C79" s="1"/>
      <c r="D79" s="1"/>
      <c r="E79" s="1"/>
      <c r="F79" s="1"/>
      <c r="G79" s="1" t="s">
        <v>775</v>
      </c>
      <c r="H79" s="1"/>
      <c r="I79" s="1"/>
      <c r="J79" s="1"/>
      <c r="K79" s="1"/>
      <c r="L79" s="1"/>
      <c r="M79" s="1"/>
    </row>
    <row r="80" spans="2:13" hidden="1" x14ac:dyDescent="0.35">
      <c r="B80" s="1"/>
      <c r="C80" s="1"/>
      <c r="D80" s="1"/>
      <c r="E80" s="1"/>
      <c r="F80" s="1"/>
      <c r="G80" s="1" t="s">
        <v>305</v>
      </c>
      <c r="H80" s="1"/>
      <c r="I80" s="1"/>
      <c r="J80" s="1"/>
      <c r="K80" s="1"/>
      <c r="L80" s="1"/>
      <c r="M80" s="1"/>
    </row>
    <row r="81" spans="2:13" hidden="1" x14ac:dyDescent="0.35">
      <c r="B81" s="1"/>
      <c r="C81" s="1"/>
      <c r="D81" s="1"/>
      <c r="E81" s="1"/>
      <c r="F81" s="1"/>
      <c r="G81" s="1" t="s">
        <v>40</v>
      </c>
      <c r="H81" s="1"/>
      <c r="I81" s="1"/>
      <c r="J81" s="1"/>
      <c r="K81" s="1"/>
      <c r="L81" s="1"/>
      <c r="M81" s="1"/>
    </row>
    <row r="82" spans="2:13" hidden="1" x14ac:dyDescent="0.35">
      <c r="B82" s="1"/>
      <c r="C82" s="1"/>
      <c r="D82" s="1"/>
      <c r="E82" s="1"/>
      <c r="F82" s="1"/>
      <c r="G82" s="1" t="s">
        <v>157</v>
      </c>
      <c r="H82" s="1"/>
      <c r="I82" s="1"/>
      <c r="J82" s="1"/>
      <c r="K82" s="1"/>
      <c r="L82" s="1"/>
      <c r="M82" s="1"/>
    </row>
    <row r="83" spans="2:13" hidden="1" x14ac:dyDescent="0.35">
      <c r="B83" s="1"/>
      <c r="C83" s="1"/>
      <c r="D83" s="1"/>
      <c r="E83" s="1"/>
      <c r="F83" s="1"/>
      <c r="G83" s="1" t="s">
        <v>776</v>
      </c>
      <c r="H83" s="1"/>
      <c r="I83" s="1"/>
      <c r="J83" s="1"/>
      <c r="K83" s="1"/>
      <c r="L83" s="1"/>
      <c r="M83" s="1"/>
    </row>
    <row r="84" spans="2:13" hidden="1" x14ac:dyDescent="0.35">
      <c r="B84" s="1"/>
      <c r="C84" s="1"/>
      <c r="D84" s="1"/>
      <c r="E84" s="1"/>
      <c r="F84" s="1"/>
      <c r="G84" s="1" t="s">
        <v>777</v>
      </c>
      <c r="H84" s="1"/>
      <c r="I84" s="1"/>
      <c r="J84" s="1"/>
      <c r="K84" s="1"/>
      <c r="L84" s="1"/>
      <c r="M84" s="1"/>
    </row>
    <row r="85" spans="2:13" hidden="1" x14ac:dyDescent="0.35">
      <c r="B85" s="1"/>
      <c r="C85" s="1"/>
      <c r="D85" s="1"/>
      <c r="E85" s="1"/>
      <c r="F85" s="1"/>
      <c r="G85" s="1" t="s">
        <v>778</v>
      </c>
      <c r="H85" s="1"/>
      <c r="I85" s="1"/>
      <c r="J85" s="1"/>
      <c r="K85" s="1"/>
      <c r="L85" s="1"/>
      <c r="M85" s="1"/>
    </row>
    <row r="86" spans="2:13" hidden="1" x14ac:dyDescent="0.35">
      <c r="B86" s="1"/>
      <c r="C86" s="1"/>
      <c r="D86" s="1"/>
      <c r="E86" s="1"/>
      <c r="F86" s="1"/>
      <c r="G86" s="1" t="s">
        <v>779</v>
      </c>
      <c r="H86" s="1"/>
      <c r="I86" s="1"/>
      <c r="J86" s="1"/>
      <c r="K86" s="1"/>
      <c r="L86" s="1"/>
      <c r="M86" s="1"/>
    </row>
    <row r="87" spans="2:13" hidden="1" x14ac:dyDescent="0.35">
      <c r="B87" s="1"/>
      <c r="C87" s="1"/>
      <c r="D87" s="1"/>
      <c r="E87" s="1"/>
      <c r="F87" s="1"/>
      <c r="G87" s="1" t="s">
        <v>780</v>
      </c>
      <c r="H87" s="1"/>
      <c r="I87" s="1"/>
      <c r="J87" s="1"/>
      <c r="K87" s="1"/>
      <c r="L87" s="1"/>
      <c r="M87" s="1"/>
    </row>
    <row r="88" spans="2:13" hidden="1" x14ac:dyDescent="0.35">
      <c r="B88" s="1"/>
      <c r="C88" s="1"/>
      <c r="D88" s="1"/>
      <c r="E88" s="1"/>
      <c r="F88" s="1"/>
      <c r="G88" s="1" t="s">
        <v>781</v>
      </c>
      <c r="H88" s="1"/>
      <c r="I88" s="1"/>
      <c r="J88" s="1"/>
      <c r="K88" s="1"/>
      <c r="L88" s="1"/>
      <c r="M88" s="1"/>
    </row>
    <row r="89" spans="2:13" hidden="1" x14ac:dyDescent="0.35"/>
  </sheetData>
  <sheetProtection algorithmName="SHA-512" hashValue="snauqz0LiKw6NptOK9a3USGmlQ3CppA+2iqm8oCG20/7iXmanx3GD+nQVAhaM1wquL3bqK5Srjm2pFSJzxjPPQ==" saltValue="UA8xB9Rc3+SFBp2rI29V7w==" spinCount="100000" sheet="1" formatCells="0" formatColumns="0" formatRows="0" insertColumns="0" insertRows="0" insertHyperlinks="0" deleteColumns="0" deleteRows="0" sort="0" autoFilter="0" pivotTables="0"/>
  <mergeCells count="183">
    <mergeCell ref="P14:P15"/>
    <mergeCell ref="P16:P17"/>
    <mergeCell ref="P18:P19"/>
    <mergeCell ref="P20:P21"/>
    <mergeCell ref="P22:P23"/>
    <mergeCell ref="P24:P25"/>
    <mergeCell ref="B27:B28"/>
    <mergeCell ref="C27:C28"/>
    <mergeCell ref="D27:D28"/>
    <mergeCell ref="E27:E28"/>
    <mergeCell ref="F27:F28"/>
    <mergeCell ref="G27:G28"/>
    <mergeCell ref="M27:M28"/>
    <mergeCell ref="O18:O19"/>
    <mergeCell ref="K16:K17"/>
    <mergeCell ref="L16:L17"/>
    <mergeCell ref="M16:M17"/>
    <mergeCell ref="L18:L19"/>
    <mergeCell ref="M18:M19"/>
    <mergeCell ref="N18:N19"/>
    <mergeCell ref="K18:K19"/>
    <mergeCell ref="F18:F19"/>
    <mergeCell ref="G18:G19"/>
    <mergeCell ref="H18:H19"/>
    <mergeCell ref="G12:G13"/>
    <mergeCell ref="H12:H13"/>
    <mergeCell ref="I12:I13"/>
    <mergeCell ref="H14:H15"/>
    <mergeCell ref="A11:E11"/>
    <mergeCell ref="F11:O11"/>
    <mergeCell ref="A12:A13"/>
    <mergeCell ref="B12:B13"/>
    <mergeCell ref="C12:C13"/>
    <mergeCell ref="D12:D13"/>
    <mergeCell ref="E12:E13"/>
    <mergeCell ref="L12:L13"/>
    <mergeCell ref="M12:M13"/>
    <mergeCell ref="N12:N13"/>
    <mergeCell ref="O12:O13"/>
    <mergeCell ref="J12:J13"/>
    <mergeCell ref="K12:K13"/>
    <mergeCell ref="P12:P13"/>
    <mergeCell ref="Q12:Q13"/>
    <mergeCell ref="R12:R13"/>
    <mergeCell ref="A16:A17"/>
    <mergeCell ref="B16:B17"/>
    <mergeCell ref="C16:C17"/>
    <mergeCell ref="D16:D17"/>
    <mergeCell ref="E16:E17"/>
    <mergeCell ref="F16:F17"/>
    <mergeCell ref="G16:G17"/>
    <mergeCell ref="K14:K15"/>
    <mergeCell ref="L14:L15"/>
    <mergeCell ref="M14:M15"/>
    <mergeCell ref="N14:N15"/>
    <mergeCell ref="O14:O15"/>
    <mergeCell ref="F14:F15"/>
    <mergeCell ref="G14:G15"/>
    <mergeCell ref="I14:I15"/>
    <mergeCell ref="J14:J15"/>
    <mergeCell ref="N16:N17"/>
    <mergeCell ref="O16:O17"/>
    <mergeCell ref="H16:H17"/>
    <mergeCell ref="I16:I17"/>
    <mergeCell ref="J16:J17"/>
    <mergeCell ref="I18:I19"/>
    <mergeCell ref="J18:J19"/>
    <mergeCell ref="A18:A19"/>
    <mergeCell ref="B18:B19"/>
    <mergeCell ref="C18:C19"/>
    <mergeCell ref="D18:D19"/>
    <mergeCell ref="E18:E19"/>
    <mergeCell ref="E20:E21"/>
    <mergeCell ref="F20:F21"/>
    <mergeCell ref="G20:G21"/>
    <mergeCell ref="N20:N21"/>
    <mergeCell ref="O20:O21"/>
    <mergeCell ref="L20:L21"/>
    <mergeCell ref="M20:M21"/>
    <mergeCell ref="L22:L23"/>
    <mergeCell ref="M22:M23"/>
    <mergeCell ref="N22:N23"/>
    <mergeCell ref="O22:O23"/>
    <mergeCell ref="H20:H21"/>
    <mergeCell ref="I24:I25"/>
    <mergeCell ref="J24:J25"/>
    <mergeCell ref="K24:K25"/>
    <mergeCell ref="L24:L25"/>
    <mergeCell ref="M24:M25"/>
    <mergeCell ref="A22:A23"/>
    <mergeCell ref="B22:B23"/>
    <mergeCell ref="C22:C23"/>
    <mergeCell ref="D22:D23"/>
    <mergeCell ref="E22:E23"/>
    <mergeCell ref="K22:K23"/>
    <mergeCell ref="F22:F23"/>
    <mergeCell ref="G22:G23"/>
    <mergeCell ref="H22:H23"/>
    <mergeCell ref="I22:I23"/>
    <mergeCell ref="J22:J23"/>
    <mergeCell ref="G6:H10"/>
    <mergeCell ref="I6:I10"/>
    <mergeCell ref="J6:K10"/>
    <mergeCell ref="L6:L10"/>
    <mergeCell ref="M6:N10"/>
    <mergeCell ref="O6:Q10"/>
    <mergeCell ref="P11:AE11"/>
    <mergeCell ref="AF11:AI11"/>
    <mergeCell ref="N24:N25"/>
    <mergeCell ref="O24:O25"/>
    <mergeCell ref="H24:H25"/>
    <mergeCell ref="S12:S13"/>
    <mergeCell ref="T12:T13"/>
    <mergeCell ref="G24:G25"/>
    <mergeCell ref="I20:I21"/>
    <mergeCell ref="J20:J21"/>
    <mergeCell ref="K20:K21"/>
    <mergeCell ref="U12:U13"/>
    <mergeCell ref="V12:V13"/>
    <mergeCell ref="W12:W13"/>
    <mergeCell ref="X12:X13"/>
    <mergeCell ref="Y12:Y13"/>
    <mergeCell ref="Z12:Z13"/>
    <mergeCell ref="AA12:AA13"/>
    <mergeCell ref="A1:C3"/>
    <mergeCell ref="A4:A5"/>
    <mergeCell ref="F4:F5"/>
    <mergeCell ref="A6:B10"/>
    <mergeCell ref="C6:D10"/>
    <mergeCell ref="E6:E10"/>
    <mergeCell ref="F6:F10"/>
    <mergeCell ref="A24:A25"/>
    <mergeCell ref="B24:B25"/>
    <mergeCell ref="C24:C25"/>
    <mergeCell ref="D24:D25"/>
    <mergeCell ref="E24:E25"/>
    <mergeCell ref="F24:F25"/>
    <mergeCell ref="A20:A21"/>
    <mergeCell ref="B20:B21"/>
    <mergeCell ref="C20:C21"/>
    <mergeCell ref="D20:D21"/>
    <mergeCell ref="A14:A15"/>
    <mergeCell ref="B14:B15"/>
    <mergeCell ref="C14:C15"/>
    <mergeCell ref="D14:D15"/>
    <mergeCell ref="E14:E15"/>
    <mergeCell ref="F12:F13"/>
    <mergeCell ref="AB12:AB13"/>
    <mergeCell ref="AC12:AC13"/>
    <mergeCell ref="AD12:AD13"/>
    <mergeCell ref="AE12:AE13"/>
    <mergeCell ref="AF12:AF13"/>
    <mergeCell ref="AG12:AG13"/>
    <mergeCell ref="AH12:AH13"/>
    <mergeCell ref="AI12:AI13"/>
    <mergeCell ref="AF14:AF15"/>
    <mergeCell ref="AG14:AG15"/>
    <mergeCell ref="AH14:AH15"/>
    <mergeCell ref="AI14:AI15"/>
    <mergeCell ref="AF22:AF23"/>
    <mergeCell ref="AG22:AG23"/>
    <mergeCell ref="AH22:AH23"/>
    <mergeCell ref="AI22:AI23"/>
    <mergeCell ref="AF24:AF25"/>
    <mergeCell ref="AG24:AG25"/>
    <mergeCell ref="AH24:AH25"/>
    <mergeCell ref="AI24:AI25"/>
    <mergeCell ref="D1:AI3"/>
    <mergeCell ref="R6:U10"/>
    <mergeCell ref="V6:AA10"/>
    <mergeCell ref="AB6:AI10"/>
    <mergeCell ref="AF16:AF17"/>
    <mergeCell ref="AG16:AG17"/>
    <mergeCell ref="AH16:AH17"/>
    <mergeCell ref="AI16:AI17"/>
    <mergeCell ref="AF18:AF19"/>
    <mergeCell ref="AG18:AG19"/>
    <mergeCell ref="AH18:AH19"/>
    <mergeCell ref="AI18:AI19"/>
    <mergeCell ref="AF20:AF21"/>
    <mergeCell ref="AG20:AG21"/>
    <mergeCell ref="AH20:AH21"/>
    <mergeCell ref="AI20:AI21"/>
  </mergeCells>
  <conditionalFormatting sqref="H4">
    <cfRule type="cellIs" dxfId="79" priority="10" operator="lessThanOrEqual">
      <formula>$C$4</formula>
    </cfRule>
  </conditionalFormatting>
  <conditionalFormatting sqref="I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O6">
    <cfRule type="cellIs" dxfId="75" priority="7" operator="greaterThanOrEqual">
      <formula>$H$5</formula>
    </cfRule>
    <cfRule type="cellIs" dxfId="74" priority="8" operator="lessThanOrEqual">
      <formula>$H$4</formula>
    </cfRule>
    <cfRule type="cellIs" dxfId="73" priority="9" operator="between">
      <formula>$H$5</formula>
      <formula>$H$4</formula>
    </cfRule>
  </conditionalFormatting>
  <conditionalFormatting sqref="R14:R25">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V6">
    <cfRule type="cellIs" dxfId="69" priority="4" operator="greaterThanOrEqual">
      <formula>$H$5</formula>
    </cfRule>
    <cfRule type="cellIs" dxfId="68" priority="5" operator="lessThanOrEqual">
      <formula>$H$4</formula>
    </cfRule>
    <cfRule type="cellIs" dxfId="67" priority="6" operator="between">
      <formula>$H$5</formula>
      <formula>$H$4</formula>
    </cfRule>
  </conditionalFormatting>
  <dataValidations count="9">
    <dataValidation allowBlank="1" showErrorMessage="1" sqref="R14:R25" xr:uid="{CC0EC8F5-D1EA-420F-8704-C2E7ED3E82D0}"/>
    <dataValidation type="decimal" allowBlank="1" showInputMessage="1" showErrorMessage="1" prompt="% de avance en la actividad - indique el % programado de avance durante esta semana_x000a_" sqref="S14:U23 S25:U25 V14:AE25" xr:uid="{4C90E57F-CB82-4253-A451-5016AFC29FF7}">
      <formula1>0</formula1>
      <formula2>1</formula2>
    </dataValidation>
    <dataValidation type="decimal" allowBlank="1" showInputMessage="1" showErrorMessage="1" prompt="campo calculado  - indica el % de avance  que aporta la activadad a todo el proyecto" sqref="Q21 Q19 Q17 Q15 Q25 Q23" xr:uid="{2447D415-5599-4092-BBC6-D698A98D98DF}">
      <formula1>0</formula1>
      <formula2>1</formula2>
    </dataValidation>
    <dataValidation type="decimal" allowBlank="1" showInputMessage="1" showErrorMessage="1" prompt="valor porcentual de la activida - Indique el peso porcentual de la actividad dentro del proyecto" sqref="Q14 Q20 Q16 Q18 Q24 Q22" xr:uid="{659EA557-69C8-45BC-8FFE-AA6FF3BA4A43}">
      <formula1>0</formula1>
      <formula2>1</formula2>
    </dataValidation>
    <dataValidation type="list" allowBlank="1" showInputMessage="1" showErrorMessage="1" sqref="M14:M25" xr:uid="{7810488C-9C60-4B6D-8ACF-B34D41F88125}">
      <formula1>$K$30:$K$32</formula1>
    </dataValidation>
    <dataValidation type="list" allowBlank="1" showInputMessage="1" showErrorMessage="1" sqref="E14:E25" xr:uid="{A9BBBEFB-FAA1-46B4-9B49-EF911BE2E53C}">
      <formula1>$D$44:$D$62</formula1>
    </dataValidation>
    <dataValidation type="list" allowBlank="1" showInputMessage="1" showErrorMessage="1" sqref="D14:D25" xr:uid="{7703082F-D4DD-4391-82DC-872BAA8A46AA}">
      <formula1>$C$44:$C$50</formula1>
    </dataValidation>
    <dataValidation type="list" allowBlank="1" showInputMessage="1" showErrorMessage="1" sqref="C14:C25" xr:uid="{AD36718A-8F6E-4537-9561-A0E9BDCB66E1}">
      <formula1>$B$44:$B$53</formula1>
    </dataValidation>
    <dataValidation type="list" allowBlank="1" showInputMessage="1" showErrorMessage="1" sqref="B14:B25" xr:uid="{09C0F57C-A509-4BD7-BFED-40CB77E408F4}">
      <formula1>$A$44:$A$51</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5"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78"/>
  <sheetViews>
    <sheetView showGridLines="0" view="pageBreakPreview" zoomScale="67" zoomScaleNormal="10" zoomScaleSheetLayoutView="67" zoomScalePageLayoutView="48" workbookViewId="0">
      <selection activeCell="D18" sqref="D18:D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26953125" style="1" customWidth="1"/>
    <col min="18" max="20" width="13.7265625" style="1" hidden="1" customWidth="1"/>
    <col min="21" max="33" width="9.54296875" style="1" hidden="1" customWidth="1"/>
    <col min="34" max="34" width="35.7265625" style="1" hidden="1" customWidth="1"/>
    <col min="35" max="37" width="42.54296875" style="1" hidden="1" customWidth="1"/>
    <col min="38" max="16384" width="12.54296875" style="1"/>
  </cols>
  <sheetData>
    <row r="1" spans="1:37" s="58" customFormat="1" ht="15" customHeight="1" x14ac:dyDescent="0.35">
      <c r="A1" s="338"/>
      <c r="B1" s="339"/>
      <c r="C1" s="340"/>
      <c r="D1" s="284" t="s">
        <v>869</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row>
    <row r="2" spans="1:37"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row>
    <row r="3" spans="1:37" s="58" customFormat="1" ht="60" customHeight="1" x14ac:dyDescent="0.35">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row>
    <row r="4" spans="1:37" s="58" customFormat="1" ht="60" hidden="1" customHeight="1" x14ac:dyDescent="0.35">
      <c r="A4" s="337" t="s">
        <v>35</v>
      </c>
      <c r="B4" s="8" t="s">
        <v>36</v>
      </c>
      <c r="C4" s="10">
        <v>0.7</v>
      </c>
      <c r="D4" s="10"/>
      <c r="E4" s="10"/>
      <c r="F4" s="9"/>
      <c r="G4" s="337" t="s">
        <v>37</v>
      </c>
      <c r="H4" s="8" t="s">
        <v>36</v>
      </c>
      <c r="I4" s="10">
        <v>0.7</v>
      </c>
      <c r="J4" s="59"/>
      <c r="K4" s="60"/>
      <c r="L4" s="60"/>
      <c r="M4" s="60"/>
      <c r="N4" s="60"/>
      <c r="O4" s="60"/>
      <c r="P4" s="60"/>
      <c r="Q4" s="60"/>
      <c r="R4" s="60"/>
      <c r="S4" s="60"/>
      <c r="T4" s="60"/>
      <c r="U4" s="60"/>
      <c r="V4" s="60"/>
      <c r="W4" s="60"/>
      <c r="X4" s="60"/>
      <c r="Y4" s="60"/>
      <c r="Z4" s="60"/>
      <c r="AA4" s="60"/>
      <c r="AB4" s="60"/>
      <c r="AC4" s="60"/>
      <c r="AD4" s="60"/>
      <c r="AE4" s="60"/>
      <c r="AF4" s="60"/>
      <c r="AG4" s="60"/>
      <c r="AH4" s="60"/>
      <c r="AI4" s="60"/>
    </row>
    <row r="5" spans="1:37" s="58" customFormat="1" ht="60" hidden="1" customHeight="1" thickBot="1" x14ac:dyDescent="0.4">
      <c r="A5" s="337"/>
      <c r="B5" s="8" t="s">
        <v>38</v>
      </c>
      <c r="C5" s="11">
        <v>0.9</v>
      </c>
      <c r="D5" s="11"/>
      <c r="E5" s="11"/>
      <c r="F5" s="11">
        <v>1</v>
      </c>
      <c r="G5" s="337"/>
      <c r="H5" s="8" t="s">
        <v>38</v>
      </c>
      <c r="I5" s="11">
        <v>0.95</v>
      </c>
      <c r="J5" s="59"/>
      <c r="K5" s="60"/>
      <c r="L5" s="60"/>
      <c r="M5" s="60"/>
      <c r="N5" s="60"/>
      <c r="O5" s="60"/>
      <c r="P5" s="60"/>
      <c r="Q5" s="60"/>
      <c r="R5" s="60"/>
      <c r="S5" s="60"/>
      <c r="T5" s="60"/>
      <c r="U5" s="60"/>
      <c r="V5" s="60"/>
      <c r="W5" s="60"/>
      <c r="X5" s="60"/>
      <c r="Y5" s="60"/>
      <c r="Z5" s="60"/>
      <c r="AA5" s="60"/>
      <c r="AB5" s="60"/>
      <c r="AC5" s="60"/>
      <c r="AD5" s="60"/>
      <c r="AE5" s="60"/>
      <c r="AF5" s="60"/>
      <c r="AG5" s="60"/>
      <c r="AH5" s="60"/>
      <c r="AI5" s="60"/>
    </row>
    <row r="6" spans="1:37" ht="20.149999999999999" hidden="1" customHeight="1" x14ac:dyDescent="0.35">
      <c r="A6" s="442" t="s">
        <v>39</v>
      </c>
      <c r="B6" s="442"/>
      <c r="C6" s="407" t="s">
        <v>123</v>
      </c>
      <c r="D6" s="407"/>
      <c r="E6" s="443" t="s">
        <v>41</v>
      </c>
      <c r="F6" s="443"/>
      <c r="G6" s="409">
        <f>+S15+S17+S19+S21+S23+S25+S27+S29+S31+S33+S35+S37+S39+S41+S43+S45+S47+S49+S51+S53+S55+S57+S59+S61+S63+S65+S67+S69+S71+S73+S75+S77+S79+S81+S83+S85+S87+S89+S93+S97+S99+S101+S103+S105+S107+S109+S111+S91+S95</f>
        <v>1.0000000000000007</v>
      </c>
      <c r="H6" s="443" t="s">
        <v>42</v>
      </c>
      <c r="I6" s="443"/>
      <c r="J6" s="518">
        <f>+S14+S16+S18+S20+S22+S24+S26+S28+S30+S32+S34+S36+S38+S40+S42+S44+S46+S48+S50+S52+S54+S56+S58+S60+S62+S64+S66+S70+S72+S74+S76+S78+S80+S82+S84+S86+S88+S90+S92+S94+S96+S98+S100+S102+S104+S106+S108+S110+S68</f>
        <v>0.99755102040816401</v>
      </c>
      <c r="K6" s="448" t="s">
        <v>43</v>
      </c>
      <c r="L6" s="449"/>
      <c r="M6" s="334">
        <v>0.95</v>
      </c>
      <c r="N6" s="437" t="s">
        <v>44</v>
      </c>
      <c r="O6" s="454"/>
      <c r="P6" s="454"/>
      <c r="Q6" s="455"/>
      <c r="R6" s="285">
        <f>(SUM(X14,X16,X18,X20,X22,X24,X26,X28,X30,X32,X34,V36:X36,X40,X42,X44,X46,X48,X50,X52,X54,X56,V58:X58,V62:X62,X64,X66,X68,V70:X70,X72,V74:X74,X76,X78,V80:X80,X82,X84,X86,X88,X90,X92,X94,X96,V98:X98,X102,X104,X106,X108,X110,V38:X38,V60:X60)/SUM(X15,X17,X19,X21,X23,X25,X27,X29,X31,X33,X35,V37:X37,X41,X43,X45,X47,X49,X51,X53,X55,X57,V59:X59,X61,V63:X63,X65,X67,X69,V71:X71,X73,V75:X75,X77,X79,V81:X81,X83,X85,X87,X89,X91,X93,X95,X97,V99:X99,X101,X103,X105,X107,X109,X111,V39:X39,))/M6</f>
        <v>1.0526315789473681</v>
      </c>
      <c r="S6" s="324"/>
      <c r="T6" s="286"/>
      <c r="U6" s="437" t="s">
        <v>45</v>
      </c>
      <c r="V6" s="454"/>
      <c r="W6" s="454"/>
      <c r="X6" s="455"/>
      <c r="Y6" s="285">
        <f>(SUM(Y14:AA14,Y16:AA16,Y18:AA18,Y20:AA20,Y22:AA22,Y24:AA24,Y26:AA26,Y28:AA28,Y30:AA30,Y32:AA32,Y34:AA34,Y36:AA36,Y40:AA40,Y42:AA42,Y44:AA44,Y46:AA46,Y48:AA48,Y50:AA50,Y52:AA52,Y54:AA54,Y56:AA56,Y58:AA58,Y62:AA62,Y64:AA64,Y66:AA66,Y68:AA68,Y70:AA70,Y72:AA72,Y74:AA74,Y76:AA76,Y78:AA78,Y80:AA80,Y82:AA82,Y84:AA84,Y86:AA86,Y88:AA88,Y90:AA90,Y92:AA92,Y94:AA94,Y96:AA96,Y98:AA98,Y100:AA100,Y102:AA102,Y104:AA104,Y106:AA106,Y108:AA108,Y110:AA110,Y38:AA38,Y60:AA60)/SUM(Y15:AA15,Y17:AA17,Y19:AA19,Y21:AA21,Y23:AA23,Y25:AA25,Y27:AA27,Y29:AA29,Y31:AA31,Y33:AA33,Y35:AA35,Y37:AA37,Y41:AA41,Y43:AA43,Y45:AA45,Y47:AA47,Y49:AA49,Y51:AA51,Y53:AA53,Y55:AA55,Y57:AA57,Y59:AA59,Y61:AA61,Y63:AA63,Y65:AA65,Y67:AA67,AA69,Y71:AA71,Y73:AA73,Y75:AA75,Y77:AA77,Y79:AA79,Y81:AA81,Y83:AA83,Y85:AA85,Y87:AA87,Y89:AA89,Y91:AA91,Y93:AA93,Y95:AA95,Y97:AA97,Y99:AA99,Y101:AA101,Y103:AA103,Y105:AA105,Y107:AA107,Y109:AA109,Y111:AA111,Y39:AA39,))/M6</f>
        <v>1.0526315789473688</v>
      </c>
      <c r="Z6" s="324"/>
      <c r="AA6" s="324"/>
      <c r="AB6" s="286"/>
      <c r="AC6" s="437" t="s">
        <v>46</v>
      </c>
      <c r="AD6" s="454"/>
      <c r="AE6" s="454"/>
      <c r="AF6" s="455"/>
      <c r="AG6" s="285">
        <f>(SUM(AD14,AD16,AD18,AD20,AD22,AD24,AD26,AD28,AD30,AD32,AD34,AB36:AD36,AD40,AD42,AD44,AD46,AD48,AD50,AD52,AD54,AD56,AB58:AD58,AD62:AD62,AD64,AD66,AD68,AB70:AD70,AD72,AB74:AD74,AD76,AD78,AB80:AD80,AD82,AD84,AD86,AD88,AD90,AD92,AD94,AD96,AB98:AD98,AD100,AD102,AD104,AD106,AD108,AD110,AD38:AD38,AD60:AD60)/SUM(AD15,AD17,AD19,AD21,AD23,AD25,AD27,AD29,AD31,AD33,AD35,AB37:AD37,AD41,AD43,AD45,AD47,AD49,AD51,AD53,AD55,AD57,AB59:AD59,AD61,AD63:AD63,AD65,AD67,AD69,AB71:AD71,AD73,AB75:AD75,AD77,AD79,AB81:AD81,AD83,AD85,AD87,AD89,AD91,AD93,AD95,AD97,AB99:AD99,AD101,AD103,AD105,AD107,AD109,AD111,AD39:AD39,))/M6</f>
        <v>1.0368421052631578</v>
      </c>
      <c r="AH6" s="286"/>
      <c r="AI6" s="437" t="s">
        <v>47</v>
      </c>
      <c r="AJ6" s="285">
        <f>(SUM(AG14,AG16,AG18,AG20,AG22,AG24,AG26,AG28,AG30,AG32,AG34,AE36:AG36,AG40,AG42,AG44,AG46,AG48,AG50,AG52,AG54,AG56,AE58:AG58,AG62:AG62,AG64,AG66,AG68,AE70:AG70,AG72,AE74:AG74,AG76,AG78,AE80:AG80,AG82,AG84,AG86,AG88,AG90,AG92,AG94,AG96,AE98:AG98,AG100,AG102,AG104,AG8,AG108,AG110,AG38:AG38,AG60:AG60)/SUM(AG15,AG17,AG19,AG21,AG23,AG25,AG27,AG29,AG31,AG33,AG35,AE37:AG37,AG41,AG43,AG45,AG47,AG49,AG51,AG53,AG55,AG57,AE59:AG59,AG61,AG63:AG63,AG65,AG67,AG69,AE71:AG71,AG73,AE75:AG75,AG77,AG79,AE81:AG81,AG83,AG85,AG87,AG89,AG91,AG93,AG95,AG97,AE99:AG99,AG101,AG103,AG105,AG107,AG109,AG111,AG39:AG39,))/M6</f>
        <v>1.0424342105263156</v>
      </c>
    </row>
    <row r="7" spans="1:37" ht="15" hidden="1" customHeight="1" x14ac:dyDescent="0.35">
      <c r="A7" s="442"/>
      <c r="B7" s="442"/>
      <c r="C7" s="407"/>
      <c r="D7" s="407"/>
      <c r="E7" s="443"/>
      <c r="F7" s="443"/>
      <c r="G7" s="410"/>
      <c r="H7" s="443"/>
      <c r="I7" s="443"/>
      <c r="J7" s="519"/>
      <c r="K7" s="450"/>
      <c r="L7" s="451"/>
      <c r="M7" s="335"/>
      <c r="N7" s="438"/>
      <c r="O7" s="456"/>
      <c r="P7" s="456"/>
      <c r="Q7" s="457"/>
      <c r="R7" s="287"/>
      <c r="S7" s="325"/>
      <c r="T7" s="288"/>
      <c r="U7" s="438"/>
      <c r="V7" s="456"/>
      <c r="W7" s="456"/>
      <c r="X7" s="457"/>
      <c r="Y7" s="287"/>
      <c r="Z7" s="325"/>
      <c r="AA7" s="325"/>
      <c r="AB7" s="288"/>
      <c r="AC7" s="438"/>
      <c r="AD7" s="456"/>
      <c r="AE7" s="456"/>
      <c r="AF7" s="457"/>
      <c r="AG7" s="287"/>
      <c r="AH7" s="288"/>
      <c r="AI7" s="438"/>
      <c r="AJ7" s="287"/>
    </row>
    <row r="8" spans="1:37" ht="25.4" hidden="1" customHeight="1" thickBot="1" x14ac:dyDescent="0.4">
      <c r="A8" s="442"/>
      <c r="B8" s="442"/>
      <c r="C8" s="407"/>
      <c r="D8" s="407"/>
      <c r="E8" s="443"/>
      <c r="F8" s="443"/>
      <c r="G8" s="410"/>
      <c r="H8" s="443"/>
      <c r="I8" s="443"/>
      <c r="J8" s="519"/>
      <c r="K8" s="450"/>
      <c r="L8" s="451"/>
      <c r="M8" s="335"/>
      <c r="N8" s="438"/>
      <c r="O8" s="456"/>
      <c r="P8" s="456"/>
      <c r="Q8" s="457"/>
      <c r="R8" s="287"/>
      <c r="S8" s="325"/>
      <c r="T8" s="288"/>
      <c r="U8" s="438"/>
      <c r="V8" s="456"/>
      <c r="W8" s="456"/>
      <c r="X8" s="457"/>
      <c r="Y8" s="287"/>
      <c r="Z8" s="325"/>
      <c r="AA8" s="325"/>
      <c r="AB8" s="288"/>
      <c r="AC8" s="438"/>
      <c r="AD8" s="456"/>
      <c r="AE8" s="456"/>
      <c r="AF8" s="457"/>
      <c r="AG8" s="287"/>
      <c r="AH8" s="288"/>
      <c r="AI8" s="438"/>
      <c r="AJ8" s="287"/>
    </row>
    <row r="9" spans="1:37" ht="25.4" hidden="1" customHeight="1" thickBot="1" x14ac:dyDescent="0.4">
      <c r="A9" s="442"/>
      <c r="B9" s="442"/>
      <c r="C9" s="407"/>
      <c r="D9" s="407"/>
      <c r="E9" s="443"/>
      <c r="F9" s="443"/>
      <c r="G9" s="410"/>
      <c r="H9" s="443"/>
      <c r="I9" s="443"/>
      <c r="J9" s="519"/>
      <c r="K9" s="450"/>
      <c r="L9" s="451"/>
      <c r="M9" s="335"/>
      <c r="N9" s="438"/>
      <c r="O9" s="456"/>
      <c r="P9" s="456"/>
      <c r="Q9" s="457"/>
      <c r="R9" s="287"/>
      <c r="S9" s="325"/>
      <c r="T9" s="288"/>
      <c r="U9" s="438"/>
      <c r="V9" s="456"/>
      <c r="W9" s="456"/>
      <c r="X9" s="457"/>
      <c r="Y9" s="287"/>
      <c r="Z9" s="325"/>
      <c r="AA9" s="325"/>
      <c r="AB9" s="288"/>
      <c r="AC9" s="438"/>
      <c r="AD9" s="456"/>
      <c r="AE9" s="456"/>
      <c r="AF9" s="457"/>
      <c r="AG9" s="287"/>
      <c r="AH9" s="288"/>
      <c r="AI9" s="438"/>
      <c r="AJ9" s="287"/>
    </row>
    <row r="10" spans="1:37" ht="15" hidden="1" customHeight="1" thickBot="1" x14ac:dyDescent="0.4">
      <c r="A10" s="442"/>
      <c r="B10" s="442"/>
      <c r="C10" s="407"/>
      <c r="D10" s="407"/>
      <c r="E10" s="443"/>
      <c r="F10" s="443"/>
      <c r="G10" s="444"/>
      <c r="H10" s="443"/>
      <c r="I10" s="443"/>
      <c r="J10" s="520"/>
      <c r="K10" s="452"/>
      <c r="L10" s="453"/>
      <c r="M10" s="336"/>
      <c r="N10" s="439"/>
      <c r="O10" s="458"/>
      <c r="P10" s="458"/>
      <c r="Q10" s="459"/>
      <c r="R10" s="289"/>
      <c r="S10" s="326"/>
      <c r="T10" s="290"/>
      <c r="U10" s="439"/>
      <c r="V10" s="458"/>
      <c r="W10" s="458"/>
      <c r="X10" s="459"/>
      <c r="Y10" s="289"/>
      <c r="Z10" s="326"/>
      <c r="AA10" s="326"/>
      <c r="AB10" s="290"/>
      <c r="AC10" s="439"/>
      <c r="AD10" s="458"/>
      <c r="AE10" s="458"/>
      <c r="AF10" s="459"/>
      <c r="AG10" s="289"/>
      <c r="AH10" s="290"/>
      <c r="AI10" s="439"/>
      <c r="AJ10" s="289"/>
    </row>
    <row r="11" spans="1:37" s="12" customFormat="1" ht="40.4" customHeight="1" thickBot="1" x14ac:dyDescent="0.4">
      <c r="A11" s="359" t="s">
        <v>48</v>
      </c>
      <c r="B11" s="359"/>
      <c r="C11" s="359"/>
      <c r="D11" s="359"/>
      <c r="E11" s="359"/>
      <c r="F11" s="360"/>
      <c r="G11" s="591" t="s">
        <v>49</v>
      </c>
      <c r="H11" s="308"/>
      <c r="I11" s="308"/>
      <c r="J11" s="308"/>
      <c r="K11" s="308"/>
      <c r="L11" s="308"/>
      <c r="M11" s="308"/>
      <c r="N11" s="308"/>
      <c r="O11" s="308"/>
      <c r="P11" s="308"/>
      <c r="Q11" s="592"/>
      <c r="R11" s="521" t="s">
        <v>50</v>
      </c>
      <c r="S11" s="522"/>
      <c r="T11" s="522"/>
      <c r="U11" s="522"/>
      <c r="V11" s="522"/>
      <c r="W11" s="522"/>
      <c r="X11" s="522"/>
      <c r="Y11" s="522"/>
      <c r="Z11" s="522"/>
      <c r="AA11" s="522"/>
      <c r="AB11" s="522"/>
      <c r="AC11" s="522"/>
      <c r="AD11" s="522"/>
      <c r="AE11" s="522"/>
      <c r="AF11" s="522"/>
      <c r="AG11" s="523"/>
      <c r="AH11" s="521" t="s">
        <v>51</v>
      </c>
      <c r="AI11" s="522"/>
      <c r="AJ11" s="522"/>
      <c r="AK11" s="522"/>
    </row>
    <row r="12" spans="1:37" ht="39" customHeight="1" x14ac:dyDescent="0.35">
      <c r="A12" s="364" t="s">
        <v>52</v>
      </c>
      <c r="B12" s="366" t="s">
        <v>53</v>
      </c>
      <c r="C12" s="366" t="s">
        <v>54</v>
      </c>
      <c r="D12" s="366" t="s">
        <v>55</v>
      </c>
      <c r="E12" s="366" t="s">
        <v>56</v>
      </c>
      <c r="F12" s="366" t="s">
        <v>31</v>
      </c>
      <c r="G12" s="366" t="s">
        <v>311</v>
      </c>
      <c r="H12" s="366" t="s">
        <v>43</v>
      </c>
      <c r="I12" s="366" t="s">
        <v>312</v>
      </c>
      <c r="J12" s="366" t="s">
        <v>313</v>
      </c>
      <c r="K12" s="366" t="s">
        <v>314</v>
      </c>
      <c r="L12" s="366" t="s">
        <v>315</v>
      </c>
      <c r="M12" s="366" t="s">
        <v>60</v>
      </c>
      <c r="N12" s="366" t="s">
        <v>61</v>
      </c>
      <c r="O12" s="366" t="s">
        <v>316</v>
      </c>
      <c r="P12" s="366" t="s">
        <v>64</v>
      </c>
      <c r="Q12" s="366" t="s">
        <v>65</v>
      </c>
      <c r="R12" s="491" t="s">
        <v>66</v>
      </c>
      <c r="S12" s="492" t="s">
        <v>67</v>
      </c>
      <c r="T12" s="493" t="s">
        <v>68</v>
      </c>
      <c r="U12" s="512" t="s">
        <v>69</v>
      </c>
      <c r="V12" s="510" t="s">
        <v>70</v>
      </c>
      <c r="W12" s="508" t="s">
        <v>71</v>
      </c>
      <c r="X12" s="514" t="s">
        <v>72</v>
      </c>
      <c r="Y12" s="516" t="s">
        <v>73</v>
      </c>
      <c r="Z12" s="514" t="s">
        <v>74</v>
      </c>
      <c r="AA12" s="508" t="s">
        <v>75</v>
      </c>
      <c r="AB12" s="510" t="s">
        <v>76</v>
      </c>
      <c r="AC12" s="512" t="s">
        <v>77</v>
      </c>
      <c r="AD12" s="510" t="s">
        <v>78</v>
      </c>
      <c r="AE12" s="508" t="s">
        <v>79</v>
      </c>
      <c r="AF12" s="514" t="s">
        <v>80</v>
      </c>
      <c r="AG12" s="505" t="s">
        <v>81</v>
      </c>
      <c r="AH12" s="507" t="s">
        <v>82</v>
      </c>
      <c r="AI12" s="507" t="s">
        <v>83</v>
      </c>
      <c r="AJ12" s="507" t="s">
        <v>84</v>
      </c>
      <c r="AK12" s="507" t="s">
        <v>85</v>
      </c>
    </row>
    <row r="13" spans="1:37" ht="60" customHeight="1" thickBot="1" x14ac:dyDescent="0.4">
      <c r="A13" s="365"/>
      <c r="B13" s="365"/>
      <c r="C13" s="365"/>
      <c r="D13" s="365"/>
      <c r="E13" s="365"/>
      <c r="F13" s="365"/>
      <c r="G13" s="365"/>
      <c r="H13" s="365"/>
      <c r="I13" s="365"/>
      <c r="J13" s="365"/>
      <c r="K13" s="365"/>
      <c r="L13" s="365"/>
      <c r="M13" s="365"/>
      <c r="N13" s="365"/>
      <c r="O13" s="365"/>
      <c r="P13" s="365"/>
      <c r="Q13" s="365"/>
      <c r="R13" s="491"/>
      <c r="S13" s="492"/>
      <c r="T13" s="493"/>
      <c r="U13" s="513"/>
      <c r="V13" s="511"/>
      <c r="W13" s="509"/>
      <c r="X13" s="515"/>
      <c r="Y13" s="517"/>
      <c r="Z13" s="515"/>
      <c r="AA13" s="509"/>
      <c r="AB13" s="511"/>
      <c r="AC13" s="513"/>
      <c r="AD13" s="511"/>
      <c r="AE13" s="509"/>
      <c r="AF13" s="515"/>
      <c r="AG13" s="506"/>
      <c r="AH13" s="507"/>
      <c r="AI13" s="507"/>
      <c r="AJ13" s="507"/>
      <c r="AK13" s="507"/>
    </row>
    <row r="14" spans="1:37" ht="40.4" customHeight="1" thickBot="1" x14ac:dyDescent="0.4">
      <c r="A14" s="278">
        <v>1</v>
      </c>
      <c r="B14" s="278" t="s">
        <v>688</v>
      </c>
      <c r="C14" s="278" t="s">
        <v>694</v>
      </c>
      <c r="D14" s="278" t="s">
        <v>121</v>
      </c>
      <c r="E14" s="278" t="s">
        <v>122</v>
      </c>
      <c r="F14" s="354" t="s">
        <v>88</v>
      </c>
      <c r="G14" s="278" t="s">
        <v>870</v>
      </c>
      <c r="H14" s="593" t="s">
        <v>874</v>
      </c>
      <c r="I14" s="589" t="s">
        <v>880</v>
      </c>
      <c r="J14" s="587" t="s">
        <v>317</v>
      </c>
      <c r="K14" s="587" t="s">
        <v>881</v>
      </c>
      <c r="L14" s="587" t="s">
        <v>882</v>
      </c>
      <c r="M14" s="587" t="s">
        <v>883</v>
      </c>
      <c r="N14" s="587" t="s">
        <v>884</v>
      </c>
      <c r="O14" s="587" t="s">
        <v>883</v>
      </c>
      <c r="P14" s="576">
        <v>45383</v>
      </c>
      <c r="Q14" s="576">
        <v>45473</v>
      </c>
      <c r="R14" s="62" t="s">
        <v>94</v>
      </c>
      <c r="S14" s="53">
        <f>+(S15*T14)</f>
        <v>2.0408163265306121E-2</v>
      </c>
      <c r="T14" s="68">
        <f t="shared" ref="T14:T45" si="0">SUM(U14:AG14)</f>
        <v>1</v>
      </c>
      <c r="U14" s="43"/>
      <c r="V14" s="43"/>
      <c r="W14" s="43"/>
      <c r="X14" s="43"/>
      <c r="Y14" s="43"/>
      <c r="Z14" s="43"/>
      <c r="AA14" s="43"/>
      <c r="AB14" s="43"/>
      <c r="AC14" s="44"/>
      <c r="AD14" s="44"/>
      <c r="AE14" s="44"/>
      <c r="AF14" s="44"/>
      <c r="AG14" s="44">
        <v>1</v>
      </c>
      <c r="AH14" s="581"/>
      <c r="AI14" s="583"/>
      <c r="AJ14" s="578"/>
      <c r="AK14" s="581" t="s">
        <v>318</v>
      </c>
    </row>
    <row r="15" spans="1:37" ht="64.5" customHeight="1" thickBot="1" x14ac:dyDescent="0.4">
      <c r="A15" s="279"/>
      <c r="B15" s="279"/>
      <c r="C15" s="279"/>
      <c r="D15" s="279"/>
      <c r="E15" s="279"/>
      <c r="F15" s="358"/>
      <c r="G15" s="353"/>
      <c r="H15" s="594"/>
      <c r="I15" s="590"/>
      <c r="J15" s="588"/>
      <c r="K15" s="588"/>
      <c r="L15" s="588"/>
      <c r="M15" s="588"/>
      <c r="N15" s="588"/>
      <c r="O15" s="588"/>
      <c r="P15" s="577"/>
      <c r="Q15" s="577"/>
      <c r="R15" s="62" t="s">
        <v>99</v>
      </c>
      <c r="S15" s="52">
        <f>100%/49</f>
        <v>2.0408163265306121E-2</v>
      </c>
      <c r="T15" s="68">
        <f t="shared" si="0"/>
        <v>1</v>
      </c>
      <c r="U15" s="42"/>
      <c r="V15" s="42"/>
      <c r="W15" s="42"/>
      <c r="X15" s="42"/>
      <c r="Y15" s="42"/>
      <c r="Z15" s="42"/>
      <c r="AA15" s="42"/>
      <c r="AB15" s="42"/>
      <c r="AC15" s="42"/>
      <c r="AD15" s="42"/>
      <c r="AE15" s="42"/>
      <c r="AF15" s="42"/>
      <c r="AG15" s="42">
        <v>1</v>
      </c>
      <c r="AH15" s="582"/>
      <c r="AI15" s="584"/>
      <c r="AJ15" s="579"/>
      <c r="AK15" s="582"/>
    </row>
    <row r="16" spans="1:37" ht="37.4" customHeight="1" thickBot="1" x14ac:dyDescent="0.4">
      <c r="A16" s="278">
        <v>2</v>
      </c>
      <c r="B16" s="278" t="s">
        <v>688</v>
      </c>
      <c r="C16" s="278" t="s">
        <v>694</v>
      </c>
      <c r="D16" s="278" t="s">
        <v>121</v>
      </c>
      <c r="E16" s="278" t="s">
        <v>122</v>
      </c>
      <c r="F16" s="354" t="s">
        <v>88</v>
      </c>
      <c r="G16" s="353"/>
      <c r="H16" s="594"/>
      <c r="I16" s="589" t="s">
        <v>880</v>
      </c>
      <c r="J16" s="587" t="s">
        <v>396</v>
      </c>
      <c r="K16" s="587" t="s">
        <v>397</v>
      </c>
      <c r="L16" s="587" t="s">
        <v>882</v>
      </c>
      <c r="M16" s="587" t="s">
        <v>703</v>
      </c>
      <c r="N16" s="587" t="s">
        <v>884</v>
      </c>
      <c r="O16" s="587" t="s">
        <v>703</v>
      </c>
      <c r="P16" s="576">
        <v>45383</v>
      </c>
      <c r="Q16" s="576">
        <v>45473</v>
      </c>
      <c r="R16" s="62" t="s">
        <v>94</v>
      </c>
      <c r="S16" s="53">
        <f>+(S17*T16)</f>
        <v>2.0408163265306121E-2</v>
      </c>
      <c r="T16" s="68">
        <f t="shared" si="0"/>
        <v>1</v>
      </c>
      <c r="U16" s="43"/>
      <c r="V16" s="43"/>
      <c r="W16" s="43"/>
      <c r="X16" s="43"/>
      <c r="Y16" s="43"/>
      <c r="Z16" s="43"/>
      <c r="AA16" s="43"/>
      <c r="AB16" s="43"/>
      <c r="AC16" s="44"/>
      <c r="AD16" s="44"/>
      <c r="AE16" s="44"/>
      <c r="AF16" s="44"/>
      <c r="AG16" s="207">
        <v>1</v>
      </c>
      <c r="AH16" s="581"/>
      <c r="AI16" s="583"/>
      <c r="AJ16" s="578"/>
      <c r="AK16" s="578" t="s">
        <v>319</v>
      </c>
    </row>
    <row r="17" spans="1:37" ht="37.4" customHeight="1" thickBot="1" x14ac:dyDescent="0.4">
      <c r="A17" s="279"/>
      <c r="B17" s="279"/>
      <c r="C17" s="279"/>
      <c r="D17" s="279"/>
      <c r="E17" s="279"/>
      <c r="F17" s="355"/>
      <c r="G17" s="353"/>
      <c r="H17" s="594"/>
      <c r="I17" s="590"/>
      <c r="J17" s="588"/>
      <c r="K17" s="588"/>
      <c r="L17" s="588"/>
      <c r="M17" s="588"/>
      <c r="N17" s="588"/>
      <c r="O17" s="588"/>
      <c r="P17" s="577"/>
      <c r="Q17" s="577"/>
      <c r="R17" s="62" t="s">
        <v>99</v>
      </c>
      <c r="S17" s="52">
        <f>100%/49</f>
        <v>2.0408163265306121E-2</v>
      </c>
      <c r="T17" s="68">
        <f t="shared" si="0"/>
        <v>1</v>
      </c>
      <c r="U17" s="42"/>
      <c r="V17" s="42"/>
      <c r="W17" s="42"/>
      <c r="X17" s="42"/>
      <c r="Y17" s="42"/>
      <c r="Z17" s="42"/>
      <c r="AA17" s="42"/>
      <c r="AB17" s="42"/>
      <c r="AC17" s="42"/>
      <c r="AD17" s="42"/>
      <c r="AE17" s="42"/>
      <c r="AF17" s="42"/>
      <c r="AG17" s="42">
        <v>1</v>
      </c>
      <c r="AH17" s="582"/>
      <c r="AI17" s="584"/>
      <c r="AJ17" s="579"/>
      <c r="AK17" s="579"/>
    </row>
    <row r="18" spans="1:37" ht="37.4" customHeight="1" thickBot="1" x14ac:dyDescent="0.4">
      <c r="A18" s="278">
        <v>3</v>
      </c>
      <c r="B18" s="278" t="s">
        <v>688</v>
      </c>
      <c r="C18" s="278" t="s">
        <v>694</v>
      </c>
      <c r="D18" s="278" t="s">
        <v>121</v>
      </c>
      <c r="E18" s="278" t="s">
        <v>122</v>
      </c>
      <c r="F18" s="354" t="s">
        <v>88</v>
      </c>
      <c r="G18" s="353"/>
      <c r="H18" s="594"/>
      <c r="I18" s="589" t="s">
        <v>880</v>
      </c>
      <c r="J18" s="587" t="s">
        <v>400</v>
      </c>
      <c r="K18" s="587" t="s">
        <v>885</v>
      </c>
      <c r="L18" s="587" t="s">
        <v>882</v>
      </c>
      <c r="M18" s="587" t="s">
        <v>703</v>
      </c>
      <c r="N18" s="587" t="s">
        <v>884</v>
      </c>
      <c r="O18" s="587" t="s">
        <v>703</v>
      </c>
      <c r="P18" s="576">
        <v>45474</v>
      </c>
      <c r="Q18" s="576">
        <v>45657</v>
      </c>
      <c r="R18" s="62" t="s">
        <v>94</v>
      </c>
      <c r="S18" s="53">
        <f>+(S19*T18)</f>
        <v>2.0408163265306121E-2</v>
      </c>
      <c r="T18" s="68">
        <f t="shared" si="0"/>
        <v>1</v>
      </c>
      <c r="U18" s="43"/>
      <c r="V18" s="43"/>
      <c r="W18" s="43"/>
      <c r="X18" s="43"/>
      <c r="Y18" s="43"/>
      <c r="Z18" s="43"/>
      <c r="AA18" s="43">
        <v>0.5</v>
      </c>
      <c r="AB18" s="43"/>
      <c r="AC18" s="44"/>
      <c r="AD18" s="44"/>
      <c r="AE18" s="44"/>
      <c r="AF18" s="44"/>
      <c r="AG18" s="43">
        <v>0.5</v>
      </c>
      <c r="AH18" s="581"/>
      <c r="AI18" s="583" t="s">
        <v>322</v>
      </c>
      <c r="AJ18" s="578"/>
      <c r="AK18" s="583" t="s">
        <v>322</v>
      </c>
    </row>
    <row r="19" spans="1:37" ht="37.4" customHeight="1" thickBot="1" x14ac:dyDescent="0.4">
      <c r="A19" s="279"/>
      <c r="B19" s="279"/>
      <c r="C19" s="279"/>
      <c r="D19" s="279"/>
      <c r="E19" s="279"/>
      <c r="F19" s="355"/>
      <c r="G19" s="353"/>
      <c r="H19" s="594"/>
      <c r="I19" s="590"/>
      <c r="J19" s="588"/>
      <c r="K19" s="588"/>
      <c r="L19" s="588"/>
      <c r="M19" s="588"/>
      <c r="N19" s="588"/>
      <c r="O19" s="588"/>
      <c r="P19" s="577"/>
      <c r="Q19" s="577"/>
      <c r="R19" s="62" t="s">
        <v>99</v>
      </c>
      <c r="S19" s="52">
        <f>100%/49</f>
        <v>2.0408163265306121E-2</v>
      </c>
      <c r="T19" s="68">
        <f t="shared" si="0"/>
        <v>1</v>
      </c>
      <c r="U19" s="42"/>
      <c r="V19" s="42"/>
      <c r="W19" s="42"/>
      <c r="X19" s="42"/>
      <c r="Y19" s="42"/>
      <c r="Z19" s="42"/>
      <c r="AA19" s="42">
        <v>0.5</v>
      </c>
      <c r="AB19" s="42"/>
      <c r="AC19" s="42"/>
      <c r="AD19" s="42"/>
      <c r="AE19" s="42"/>
      <c r="AF19" s="42"/>
      <c r="AG19" s="42">
        <v>0.5</v>
      </c>
      <c r="AH19" s="582"/>
      <c r="AI19" s="584"/>
      <c r="AJ19" s="579"/>
      <c r="AK19" s="584"/>
    </row>
    <row r="20" spans="1:37" ht="37.4" customHeight="1" thickBot="1" x14ac:dyDescent="0.4">
      <c r="A20" s="278">
        <v>4</v>
      </c>
      <c r="B20" s="278" t="s">
        <v>688</v>
      </c>
      <c r="C20" s="278" t="s">
        <v>694</v>
      </c>
      <c r="D20" s="278" t="s">
        <v>121</v>
      </c>
      <c r="E20" s="278" t="s">
        <v>122</v>
      </c>
      <c r="F20" s="354" t="s">
        <v>88</v>
      </c>
      <c r="G20" s="353"/>
      <c r="H20" s="594"/>
      <c r="I20" s="589" t="s">
        <v>880</v>
      </c>
      <c r="J20" s="587" t="s">
        <v>337</v>
      </c>
      <c r="K20" s="587" t="s">
        <v>338</v>
      </c>
      <c r="L20" s="587" t="s">
        <v>882</v>
      </c>
      <c r="M20" s="587" t="s">
        <v>692</v>
      </c>
      <c r="N20" s="587" t="s">
        <v>884</v>
      </c>
      <c r="O20" s="587" t="s">
        <v>692</v>
      </c>
      <c r="P20" s="576">
        <v>45323</v>
      </c>
      <c r="Q20" s="576">
        <v>45657</v>
      </c>
      <c r="R20" s="62" t="s">
        <v>94</v>
      </c>
      <c r="S20" s="53">
        <f>+(S21*T20)</f>
        <v>2.0408163265306121E-2</v>
      </c>
      <c r="T20" s="68">
        <f t="shared" si="0"/>
        <v>1</v>
      </c>
      <c r="U20" s="43"/>
      <c r="V20" s="43"/>
      <c r="W20" s="43"/>
      <c r="X20" s="43"/>
      <c r="Y20" s="43"/>
      <c r="Z20" s="43"/>
      <c r="AA20" s="43"/>
      <c r="AB20" s="43"/>
      <c r="AC20" s="44"/>
      <c r="AD20" s="44"/>
      <c r="AE20" s="44"/>
      <c r="AF20" s="44"/>
      <c r="AG20" s="44">
        <v>1</v>
      </c>
      <c r="AH20" s="581"/>
      <c r="AI20" s="583"/>
      <c r="AJ20" s="578"/>
      <c r="AK20" s="578" t="s">
        <v>319</v>
      </c>
    </row>
    <row r="21" spans="1:37" ht="37.4" customHeight="1" thickBot="1" x14ac:dyDescent="0.4">
      <c r="A21" s="279"/>
      <c r="B21" s="279"/>
      <c r="C21" s="279"/>
      <c r="D21" s="279"/>
      <c r="E21" s="279"/>
      <c r="F21" s="355"/>
      <c r="G21" s="353"/>
      <c r="H21" s="594"/>
      <c r="I21" s="590"/>
      <c r="J21" s="588"/>
      <c r="K21" s="588"/>
      <c r="L21" s="588"/>
      <c r="M21" s="588"/>
      <c r="N21" s="588"/>
      <c r="O21" s="588"/>
      <c r="P21" s="577"/>
      <c r="Q21" s="577"/>
      <c r="R21" s="62" t="s">
        <v>99</v>
      </c>
      <c r="S21" s="52">
        <f>100%/49</f>
        <v>2.0408163265306121E-2</v>
      </c>
      <c r="T21" s="68">
        <f t="shared" si="0"/>
        <v>1</v>
      </c>
      <c r="U21" s="42"/>
      <c r="V21" s="42"/>
      <c r="W21" s="42"/>
      <c r="X21" s="42"/>
      <c r="Y21" s="42"/>
      <c r="Z21" s="42"/>
      <c r="AA21" s="42"/>
      <c r="AB21" s="42"/>
      <c r="AC21" s="42"/>
      <c r="AD21" s="42"/>
      <c r="AE21" s="42"/>
      <c r="AF21" s="42"/>
      <c r="AG21" s="42">
        <v>1</v>
      </c>
      <c r="AH21" s="582"/>
      <c r="AI21" s="584"/>
      <c r="AJ21" s="579"/>
      <c r="AK21" s="579"/>
    </row>
    <row r="22" spans="1:37" ht="37.4" customHeight="1" thickBot="1" x14ac:dyDescent="0.4">
      <c r="A22" s="278">
        <v>5</v>
      </c>
      <c r="B22" s="278" t="s">
        <v>688</v>
      </c>
      <c r="C22" s="278" t="s">
        <v>694</v>
      </c>
      <c r="D22" s="278" t="s">
        <v>121</v>
      </c>
      <c r="E22" s="278" t="s">
        <v>122</v>
      </c>
      <c r="F22" s="354" t="s">
        <v>88</v>
      </c>
      <c r="G22" s="353"/>
      <c r="H22" s="594"/>
      <c r="I22" s="589" t="s">
        <v>880</v>
      </c>
      <c r="J22" s="587" t="s">
        <v>337</v>
      </c>
      <c r="K22" s="587" t="s">
        <v>886</v>
      </c>
      <c r="L22" s="587" t="s">
        <v>882</v>
      </c>
      <c r="M22" s="587" t="s">
        <v>887</v>
      </c>
      <c r="N22" s="587" t="s">
        <v>884</v>
      </c>
      <c r="O22" s="587" t="s">
        <v>887</v>
      </c>
      <c r="P22" s="576">
        <v>45323</v>
      </c>
      <c r="Q22" s="576">
        <v>45657</v>
      </c>
      <c r="R22" s="62" t="s">
        <v>94</v>
      </c>
      <c r="S22" s="53">
        <f>+(S23*T22)</f>
        <v>2.0408163265306121E-2</v>
      </c>
      <c r="T22" s="68">
        <f t="shared" si="0"/>
        <v>1</v>
      </c>
      <c r="U22" s="45"/>
      <c r="V22" s="45"/>
      <c r="W22" s="45"/>
      <c r="X22" s="43"/>
      <c r="Y22" s="43"/>
      <c r="Z22" s="43"/>
      <c r="AA22" s="43"/>
      <c r="AB22" s="43"/>
      <c r="AC22" s="44"/>
      <c r="AD22" s="44"/>
      <c r="AE22" s="44"/>
      <c r="AF22" s="44"/>
      <c r="AG22" s="44">
        <v>1</v>
      </c>
      <c r="AH22" s="581"/>
      <c r="AI22" s="583"/>
      <c r="AJ22" s="578"/>
      <c r="AK22" s="578" t="s">
        <v>324</v>
      </c>
    </row>
    <row r="23" spans="1:37" ht="37.4" customHeight="1" thickBot="1" x14ac:dyDescent="0.4">
      <c r="A23" s="279"/>
      <c r="B23" s="279"/>
      <c r="C23" s="279"/>
      <c r="D23" s="279"/>
      <c r="E23" s="279"/>
      <c r="F23" s="355"/>
      <c r="G23" s="353"/>
      <c r="H23" s="594"/>
      <c r="I23" s="590"/>
      <c r="J23" s="588"/>
      <c r="K23" s="588"/>
      <c r="L23" s="588"/>
      <c r="M23" s="588"/>
      <c r="N23" s="588"/>
      <c r="O23" s="588"/>
      <c r="P23" s="577"/>
      <c r="Q23" s="577"/>
      <c r="R23" s="62" t="s">
        <v>99</v>
      </c>
      <c r="S23" s="52">
        <f>100%/49</f>
        <v>2.0408163265306121E-2</v>
      </c>
      <c r="T23" s="68">
        <f t="shared" si="0"/>
        <v>1</v>
      </c>
      <c r="U23" s="42"/>
      <c r="V23" s="42"/>
      <c r="W23" s="42"/>
      <c r="X23" s="42"/>
      <c r="Y23" s="42"/>
      <c r="Z23" s="42"/>
      <c r="AA23" s="42"/>
      <c r="AB23" s="42"/>
      <c r="AC23" s="42"/>
      <c r="AD23" s="42"/>
      <c r="AE23" s="42"/>
      <c r="AF23" s="42"/>
      <c r="AG23" s="42">
        <v>1</v>
      </c>
      <c r="AH23" s="582"/>
      <c r="AI23" s="584"/>
      <c r="AJ23" s="579"/>
      <c r="AK23" s="579"/>
    </row>
    <row r="24" spans="1:37" ht="37.4" customHeight="1" thickBot="1" x14ac:dyDescent="0.4">
      <c r="A24" s="278">
        <v>6</v>
      </c>
      <c r="B24" s="278" t="s">
        <v>688</v>
      </c>
      <c r="C24" s="278" t="s">
        <v>694</v>
      </c>
      <c r="D24" s="278" t="s">
        <v>121</v>
      </c>
      <c r="E24" s="278" t="s">
        <v>122</v>
      </c>
      <c r="F24" s="354" t="s">
        <v>88</v>
      </c>
      <c r="G24" s="353"/>
      <c r="H24" s="594"/>
      <c r="I24" s="589" t="s">
        <v>880</v>
      </c>
      <c r="J24" s="587" t="s">
        <v>402</v>
      </c>
      <c r="K24" s="587" t="s">
        <v>888</v>
      </c>
      <c r="L24" s="587" t="s">
        <v>882</v>
      </c>
      <c r="M24" s="587" t="s">
        <v>698</v>
      </c>
      <c r="N24" s="587" t="s">
        <v>884</v>
      </c>
      <c r="O24" s="587" t="s">
        <v>698</v>
      </c>
      <c r="P24" s="576">
        <v>45383</v>
      </c>
      <c r="Q24" s="576">
        <v>45657</v>
      </c>
      <c r="R24" s="62" t="s">
        <v>94</v>
      </c>
      <c r="S24" s="53">
        <f>+(S25*T24)</f>
        <v>2.0408163265306121E-2</v>
      </c>
      <c r="T24" s="68">
        <f>SUM(U24:AG24)</f>
        <v>1</v>
      </c>
      <c r="U24" s="61"/>
      <c r="V24" s="61"/>
      <c r="W24" s="61"/>
      <c r="X24" s="43"/>
      <c r="Y24" s="43"/>
      <c r="Z24" s="43"/>
      <c r="AA24" s="43"/>
      <c r="AB24" s="43"/>
      <c r="AC24" s="44"/>
      <c r="AD24" s="44"/>
      <c r="AE24" s="44"/>
      <c r="AF24" s="44"/>
      <c r="AG24" s="44">
        <v>1</v>
      </c>
      <c r="AH24" s="581"/>
      <c r="AI24" s="583"/>
      <c r="AJ24" s="578"/>
      <c r="AK24" s="578" t="s">
        <v>326</v>
      </c>
    </row>
    <row r="25" spans="1:37" ht="40.4" customHeight="1" thickBot="1" x14ac:dyDescent="0.4">
      <c r="A25" s="279"/>
      <c r="B25" s="279"/>
      <c r="C25" s="279"/>
      <c r="D25" s="279"/>
      <c r="E25" s="279"/>
      <c r="F25" s="355"/>
      <c r="G25" s="353"/>
      <c r="H25" s="594"/>
      <c r="I25" s="590"/>
      <c r="J25" s="588"/>
      <c r="K25" s="588"/>
      <c r="L25" s="588"/>
      <c r="M25" s="588"/>
      <c r="N25" s="588"/>
      <c r="O25" s="588"/>
      <c r="P25" s="577"/>
      <c r="Q25" s="577"/>
      <c r="R25" s="62" t="s">
        <v>99</v>
      </c>
      <c r="S25" s="52">
        <f>100%/49</f>
        <v>2.0408163265306121E-2</v>
      </c>
      <c r="T25" s="68">
        <f t="shared" si="0"/>
        <v>1</v>
      </c>
      <c r="U25" s="42"/>
      <c r="V25" s="42"/>
      <c r="W25" s="42"/>
      <c r="X25" s="42"/>
      <c r="Y25" s="42"/>
      <c r="Z25" s="42"/>
      <c r="AA25" s="42"/>
      <c r="AB25" s="42"/>
      <c r="AC25" s="42"/>
      <c r="AD25" s="42"/>
      <c r="AE25" s="42"/>
      <c r="AF25" s="42"/>
      <c r="AG25" s="42">
        <v>1</v>
      </c>
      <c r="AH25" s="582"/>
      <c r="AI25" s="584"/>
      <c r="AJ25" s="579"/>
      <c r="AK25" s="579"/>
    </row>
    <row r="26" spans="1:37" ht="37.4" customHeight="1" thickBot="1" x14ac:dyDescent="0.4">
      <c r="A26" s="278">
        <v>7</v>
      </c>
      <c r="B26" s="278" t="s">
        <v>688</v>
      </c>
      <c r="C26" s="278" t="s">
        <v>694</v>
      </c>
      <c r="D26" s="278" t="s">
        <v>121</v>
      </c>
      <c r="E26" s="278" t="s">
        <v>122</v>
      </c>
      <c r="F26" s="275" t="s">
        <v>88</v>
      </c>
      <c r="G26" s="353"/>
      <c r="H26" s="594"/>
      <c r="I26" s="589" t="s">
        <v>880</v>
      </c>
      <c r="J26" s="587" t="s">
        <v>405</v>
      </c>
      <c r="K26" s="587" t="s">
        <v>889</v>
      </c>
      <c r="L26" s="587" t="s">
        <v>882</v>
      </c>
      <c r="M26" s="587" t="s">
        <v>698</v>
      </c>
      <c r="N26" s="587" t="s">
        <v>884</v>
      </c>
      <c r="O26" s="587" t="s">
        <v>698</v>
      </c>
      <c r="P26" s="576">
        <v>45383</v>
      </c>
      <c r="Q26" s="576">
        <v>45657</v>
      </c>
      <c r="R26" s="62" t="s">
        <v>94</v>
      </c>
      <c r="S26" s="53">
        <f>+(S27*T26)</f>
        <v>2.0408163265306121E-2</v>
      </c>
      <c r="T26" s="68">
        <f t="shared" si="0"/>
        <v>1</v>
      </c>
      <c r="U26" s="45"/>
      <c r="V26" s="45"/>
      <c r="W26" s="45"/>
      <c r="X26" s="45"/>
      <c r="Y26" s="45"/>
      <c r="Z26" s="45"/>
      <c r="AA26" s="45"/>
      <c r="AB26" s="45"/>
      <c r="AC26" s="45"/>
      <c r="AD26" s="45"/>
      <c r="AE26" s="45"/>
      <c r="AF26" s="45"/>
      <c r="AG26" s="44">
        <v>1</v>
      </c>
      <c r="AH26" s="581"/>
      <c r="AI26" s="583"/>
      <c r="AJ26" s="578"/>
      <c r="AK26" s="578" t="s">
        <v>328</v>
      </c>
    </row>
    <row r="27" spans="1:37" ht="37.4" customHeight="1" thickBot="1" x14ac:dyDescent="0.4">
      <c r="A27" s="279"/>
      <c r="B27" s="279"/>
      <c r="C27" s="279"/>
      <c r="D27" s="279"/>
      <c r="E27" s="279"/>
      <c r="F27" s="275"/>
      <c r="G27" s="353"/>
      <c r="H27" s="594"/>
      <c r="I27" s="590"/>
      <c r="J27" s="588"/>
      <c r="K27" s="588"/>
      <c r="L27" s="588"/>
      <c r="M27" s="588"/>
      <c r="N27" s="588"/>
      <c r="O27" s="588"/>
      <c r="P27" s="577"/>
      <c r="Q27" s="577"/>
      <c r="R27" s="62" t="s">
        <v>99</v>
      </c>
      <c r="S27" s="52">
        <f>100%/49</f>
        <v>2.0408163265306121E-2</v>
      </c>
      <c r="T27" s="68">
        <f t="shared" si="0"/>
        <v>1</v>
      </c>
      <c r="U27" s="42"/>
      <c r="V27" s="42"/>
      <c r="W27" s="42"/>
      <c r="X27" s="42"/>
      <c r="Y27" s="42"/>
      <c r="Z27" s="42"/>
      <c r="AA27" s="42"/>
      <c r="AB27" s="42"/>
      <c r="AC27" s="42"/>
      <c r="AD27" s="42"/>
      <c r="AE27" s="42"/>
      <c r="AF27" s="42"/>
      <c r="AG27" s="42">
        <v>1</v>
      </c>
      <c r="AH27" s="582"/>
      <c r="AI27" s="584"/>
      <c r="AJ27" s="579"/>
      <c r="AK27" s="579"/>
    </row>
    <row r="28" spans="1:37" ht="37.4" customHeight="1" thickBot="1" x14ac:dyDescent="0.4">
      <c r="A28" s="278">
        <v>8</v>
      </c>
      <c r="B28" s="278" t="s">
        <v>688</v>
      </c>
      <c r="C28" s="278" t="s">
        <v>694</v>
      </c>
      <c r="D28" s="278" t="s">
        <v>121</v>
      </c>
      <c r="E28" s="278" t="s">
        <v>122</v>
      </c>
      <c r="F28" s="275" t="s">
        <v>88</v>
      </c>
      <c r="G28" s="353"/>
      <c r="H28" s="594"/>
      <c r="I28" s="589" t="s">
        <v>880</v>
      </c>
      <c r="J28" s="587" t="s">
        <v>405</v>
      </c>
      <c r="K28" s="587" t="s">
        <v>406</v>
      </c>
      <c r="L28" s="587" t="s">
        <v>882</v>
      </c>
      <c r="M28" s="587" t="s">
        <v>698</v>
      </c>
      <c r="N28" s="587" t="s">
        <v>884</v>
      </c>
      <c r="O28" s="587" t="s">
        <v>698</v>
      </c>
      <c r="P28" s="576">
        <v>45383</v>
      </c>
      <c r="Q28" s="576">
        <v>45657</v>
      </c>
      <c r="R28" s="62" t="s">
        <v>94</v>
      </c>
      <c r="S28" s="53">
        <f>+(S29*T28)</f>
        <v>2.0408163265306121E-2</v>
      </c>
      <c r="T28" s="68">
        <f t="shared" si="0"/>
        <v>1</v>
      </c>
      <c r="U28" s="45"/>
      <c r="V28" s="45"/>
      <c r="W28" s="45"/>
      <c r="X28" s="45"/>
      <c r="Y28" s="45"/>
      <c r="Z28" s="45"/>
      <c r="AA28" s="45"/>
      <c r="AB28" s="45"/>
      <c r="AC28" s="45"/>
      <c r="AD28" s="45"/>
      <c r="AE28" s="45"/>
      <c r="AF28" s="45"/>
      <c r="AG28" s="44">
        <v>1</v>
      </c>
      <c r="AH28" s="581"/>
      <c r="AI28" s="583"/>
      <c r="AJ28" s="578"/>
      <c r="AK28" s="578" t="s">
        <v>330</v>
      </c>
    </row>
    <row r="29" spans="1:37" ht="37.4" customHeight="1" thickBot="1" x14ac:dyDescent="0.4">
      <c r="A29" s="279"/>
      <c r="B29" s="279"/>
      <c r="C29" s="279"/>
      <c r="D29" s="279"/>
      <c r="E29" s="279"/>
      <c r="F29" s="275"/>
      <c r="G29" s="279"/>
      <c r="H29" s="595"/>
      <c r="I29" s="590"/>
      <c r="J29" s="588"/>
      <c r="K29" s="588"/>
      <c r="L29" s="588"/>
      <c r="M29" s="588"/>
      <c r="N29" s="588"/>
      <c r="O29" s="588"/>
      <c r="P29" s="577"/>
      <c r="Q29" s="577"/>
      <c r="R29" s="62" t="s">
        <v>99</v>
      </c>
      <c r="S29" s="52">
        <f>100%/49</f>
        <v>2.0408163265306121E-2</v>
      </c>
      <c r="T29" s="68">
        <f t="shared" si="0"/>
        <v>1</v>
      </c>
      <c r="U29" s="42"/>
      <c r="V29" s="42"/>
      <c r="W29" s="42"/>
      <c r="X29" s="42"/>
      <c r="Y29" s="42"/>
      <c r="Z29" s="42"/>
      <c r="AA29" s="42"/>
      <c r="AB29" s="42"/>
      <c r="AC29" s="42"/>
      <c r="AD29" s="42"/>
      <c r="AE29" s="42"/>
      <c r="AF29" s="42"/>
      <c r="AG29" s="42">
        <v>1</v>
      </c>
      <c r="AH29" s="582"/>
      <c r="AI29" s="584"/>
      <c r="AJ29" s="579"/>
      <c r="AK29" s="579"/>
    </row>
    <row r="30" spans="1:37" ht="37.4" customHeight="1" thickBot="1" x14ac:dyDescent="0.4">
      <c r="A30" s="278">
        <v>9</v>
      </c>
      <c r="B30" s="278" t="s">
        <v>688</v>
      </c>
      <c r="C30" s="278" t="s">
        <v>694</v>
      </c>
      <c r="D30" s="278" t="s">
        <v>121</v>
      </c>
      <c r="E30" s="278" t="s">
        <v>122</v>
      </c>
      <c r="F30" s="275" t="s">
        <v>88</v>
      </c>
      <c r="G30" s="278" t="s">
        <v>870</v>
      </c>
      <c r="H30" s="593" t="s">
        <v>875</v>
      </c>
      <c r="I30" s="589" t="s">
        <v>890</v>
      </c>
      <c r="J30" s="587" t="s">
        <v>347</v>
      </c>
      <c r="K30" s="587" t="s">
        <v>891</v>
      </c>
      <c r="L30" s="587" t="s">
        <v>882</v>
      </c>
      <c r="M30" s="587" t="s">
        <v>883</v>
      </c>
      <c r="N30" s="587" t="s">
        <v>884</v>
      </c>
      <c r="O30" s="587" t="s">
        <v>883</v>
      </c>
      <c r="P30" s="576">
        <v>45536</v>
      </c>
      <c r="Q30" s="576">
        <v>45657</v>
      </c>
      <c r="R30" s="62" t="s">
        <v>94</v>
      </c>
      <c r="S30" s="53">
        <f>+(S31*T30)</f>
        <v>2.0408163265306121E-2</v>
      </c>
      <c r="T30" s="68">
        <f>SUM(U30:AG30)</f>
        <v>1</v>
      </c>
      <c r="U30" s="45"/>
      <c r="V30" s="45"/>
      <c r="W30" s="45"/>
      <c r="X30" s="45">
        <v>0.25</v>
      </c>
      <c r="Y30" s="45"/>
      <c r="Z30" s="45"/>
      <c r="AA30" s="45">
        <v>0.25</v>
      </c>
      <c r="AB30" s="45"/>
      <c r="AC30" s="45"/>
      <c r="AD30" s="45">
        <v>0.25</v>
      </c>
      <c r="AE30" s="45"/>
      <c r="AF30" s="45"/>
      <c r="AG30" s="44">
        <v>0.25</v>
      </c>
      <c r="AH30" s="581" t="s">
        <v>332</v>
      </c>
      <c r="AI30" s="581" t="s">
        <v>332</v>
      </c>
      <c r="AJ30" s="581" t="s">
        <v>332</v>
      </c>
      <c r="AK30" s="581" t="s">
        <v>332</v>
      </c>
    </row>
    <row r="31" spans="1:37" ht="37.4" customHeight="1" thickBot="1" x14ac:dyDescent="0.4">
      <c r="A31" s="279"/>
      <c r="B31" s="279"/>
      <c r="C31" s="279"/>
      <c r="D31" s="279"/>
      <c r="E31" s="279"/>
      <c r="F31" s="275"/>
      <c r="G31" s="353"/>
      <c r="H31" s="594"/>
      <c r="I31" s="590"/>
      <c r="J31" s="588"/>
      <c r="K31" s="588"/>
      <c r="L31" s="588"/>
      <c r="M31" s="588"/>
      <c r="N31" s="588"/>
      <c r="O31" s="588"/>
      <c r="P31" s="577"/>
      <c r="Q31" s="577"/>
      <c r="R31" s="62" t="s">
        <v>99</v>
      </c>
      <c r="S31" s="52">
        <f>100%/49</f>
        <v>2.0408163265306121E-2</v>
      </c>
      <c r="T31" s="68">
        <f t="shared" si="0"/>
        <v>1</v>
      </c>
      <c r="U31" s="42"/>
      <c r="V31" s="42"/>
      <c r="W31" s="42"/>
      <c r="X31" s="42">
        <v>0.25</v>
      </c>
      <c r="Y31" s="42"/>
      <c r="Z31" s="42"/>
      <c r="AA31" s="42">
        <v>0.25</v>
      </c>
      <c r="AB31" s="42"/>
      <c r="AC31" s="42"/>
      <c r="AD31" s="42">
        <v>0.25</v>
      </c>
      <c r="AE31" s="42"/>
      <c r="AF31" s="42"/>
      <c r="AG31" s="42">
        <v>0.25</v>
      </c>
      <c r="AH31" s="582"/>
      <c r="AI31" s="582"/>
      <c r="AJ31" s="582"/>
      <c r="AK31" s="582"/>
    </row>
    <row r="32" spans="1:37" ht="37.4" customHeight="1" thickBot="1" x14ac:dyDescent="0.4">
      <c r="A32" s="278">
        <v>10</v>
      </c>
      <c r="B32" s="278" t="s">
        <v>688</v>
      </c>
      <c r="C32" s="278" t="s">
        <v>694</v>
      </c>
      <c r="D32" s="278" t="s">
        <v>121</v>
      </c>
      <c r="E32" s="278" t="s">
        <v>122</v>
      </c>
      <c r="F32" s="275" t="s">
        <v>88</v>
      </c>
      <c r="G32" s="353"/>
      <c r="H32" s="594"/>
      <c r="I32" s="589" t="s">
        <v>890</v>
      </c>
      <c r="J32" s="587" t="s">
        <v>892</v>
      </c>
      <c r="K32" s="587" t="s">
        <v>893</v>
      </c>
      <c r="L32" s="587" t="s">
        <v>882</v>
      </c>
      <c r="M32" s="587" t="s">
        <v>883</v>
      </c>
      <c r="N32" s="587" t="s">
        <v>884</v>
      </c>
      <c r="O32" s="587" t="s">
        <v>883</v>
      </c>
      <c r="P32" s="576">
        <v>45627</v>
      </c>
      <c r="Q32" s="576">
        <v>45657</v>
      </c>
      <c r="R32" s="62" t="s">
        <v>94</v>
      </c>
      <c r="S32" s="53">
        <f>+(S33*T32)</f>
        <v>2.0408163265306121E-2</v>
      </c>
      <c r="T32" s="68">
        <f t="shared" si="0"/>
        <v>1</v>
      </c>
      <c r="U32" s="45"/>
      <c r="V32" s="45"/>
      <c r="W32" s="45"/>
      <c r="X32" s="45"/>
      <c r="Y32" s="45"/>
      <c r="Z32" s="45"/>
      <c r="AA32" s="45"/>
      <c r="AB32" s="45"/>
      <c r="AC32" s="45"/>
      <c r="AD32" s="45"/>
      <c r="AE32" s="45"/>
      <c r="AF32" s="45"/>
      <c r="AG32" s="45">
        <v>1</v>
      </c>
      <c r="AH32" s="581"/>
      <c r="AI32" s="583"/>
      <c r="AJ32" s="578"/>
      <c r="AK32" s="578" t="s">
        <v>334</v>
      </c>
    </row>
    <row r="33" spans="1:37" ht="37.4" customHeight="1" thickBot="1" x14ac:dyDescent="0.4">
      <c r="A33" s="279"/>
      <c r="B33" s="279"/>
      <c r="C33" s="279"/>
      <c r="D33" s="279"/>
      <c r="E33" s="279"/>
      <c r="F33" s="275"/>
      <c r="G33" s="353"/>
      <c r="H33" s="594"/>
      <c r="I33" s="590"/>
      <c r="J33" s="588"/>
      <c r="K33" s="588"/>
      <c r="L33" s="588"/>
      <c r="M33" s="588"/>
      <c r="N33" s="588"/>
      <c r="O33" s="588"/>
      <c r="P33" s="577"/>
      <c r="Q33" s="577"/>
      <c r="R33" s="62" t="s">
        <v>99</v>
      </c>
      <c r="S33" s="52">
        <f>100%/49</f>
        <v>2.0408163265306121E-2</v>
      </c>
      <c r="T33" s="68">
        <f t="shared" si="0"/>
        <v>1</v>
      </c>
      <c r="U33" s="42"/>
      <c r="V33" s="42"/>
      <c r="W33" s="42"/>
      <c r="X33" s="42"/>
      <c r="Y33" s="42"/>
      <c r="Z33" s="42"/>
      <c r="AA33" s="42"/>
      <c r="AB33" s="42"/>
      <c r="AC33" s="42"/>
      <c r="AD33" s="42"/>
      <c r="AE33" s="42"/>
      <c r="AF33" s="42"/>
      <c r="AG33" s="42">
        <v>1</v>
      </c>
      <c r="AH33" s="582"/>
      <c r="AI33" s="584"/>
      <c r="AJ33" s="579"/>
      <c r="AK33" s="579"/>
    </row>
    <row r="34" spans="1:37" ht="37.4" customHeight="1" thickBot="1" x14ac:dyDescent="0.4">
      <c r="A34" s="278">
        <v>11</v>
      </c>
      <c r="B34" s="278" t="s">
        <v>688</v>
      </c>
      <c r="C34" s="278" t="s">
        <v>694</v>
      </c>
      <c r="D34" s="278" t="s">
        <v>121</v>
      </c>
      <c r="E34" s="278" t="s">
        <v>122</v>
      </c>
      <c r="F34" s="275" t="s">
        <v>88</v>
      </c>
      <c r="G34" s="353"/>
      <c r="H34" s="594"/>
      <c r="I34" s="589" t="s">
        <v>890</v>
      </c>
      <c r="J34" s="587" t="s">
        <v>894</v>
      </c>
      <c r="K34" s="587" t="s">
        <v>895</v>
      </c>
      <c r="L34" s="587" t="s">
        <v>882</v>
      </c>
      <c r="M34" s="587" t="s">
        <v>883</v>
      </c>
      <c r="N34" s="587" t="s">
        <v>884</v>
      </c>
      <c r="O34" s="587" t="s">
        <v>883</v>
      </c>
      <c r="P34" s="576">
        <v>45323</v>
      </c>
      <c r="Q34" s="576">
        <v>45352</v>
      </c>
      <c r="R34" s="62" t="s">
        <v>94</v>
      </c>
      <c r="S34" s="53">
        <f>+(S35*T34)</f>
        <v>2.0408163265306121E-2</v>
      </c>
      <c r="T34" s="68">
        <f t="shared" si="0"/>
        <v>1</v>
      </c>
      <c r="U34" s="45"/>
      <c r="V34" s="45"/>
      <c r="W34" s="45"/>
      <c r="X34" s="45"/>
      <c r="Y34" s="45"/>
      <c r="Z34" s="45"/>
      <c r="AA34" s="45"/>
      <c r="AB34" s="45"/>
      <c r="AC34" s="45"/>
      <c r="AD34" s="45"/>
      <c r="AE34" s="45"/>
      <c r="AF34" s="45"/>
      <c r="AG34" s="45">
        <v>1</v>
      </c>
      <c r="AH34" s="581"/>
      <c r="AI34" s="583"/>
      <c r="AJ34" s="578"/>
      <c r="AK34" s="578" t="s">
        <v>336</v>
      </c>
    </row>
    <row r="35" spans="1:37" ht="37.4" customHeight="1" thickBot="1" x14ac:dyDescent="0.4">
      <c r="A35" s="279"/>
      <c r="B35" s="279"/>
      <c r="C35" s="279"/>
      <c r="D35" s="279"/>
      <c r="E35" s="279"/>
      <c r="F35" s="275"/>
      <c r="G35" s="353"/>
      <c r="H35" s="594"/>
      <c r="I35" s="590"/>
      <c r="J35" s="588"/>
      <c r="K35" s="588"/>
      <c r="L35" s="588"/>
      <c r="M35" s="588"/>
      <c r="N35" s="588"/>
      <c r="O35" s="588"/>
      <c r="P35" s="577"/>
      <c r="Q35" s="577"/>
      <c r="R35" s="62" t="s">
        <v>99</v>
      </c>
      <c r="S35" s="52">
        <f>100%/49</f>
        <v>2.0408163265306121E-2</v>
      </c>
      <c r="T35" s="68">
        <f t="shared" si="0"/>
        <v>1</v>
      </c>
      <c r="U35" s="42"/>
      <c r="V35" s="42"/>
      <c r="W35" s="42"/>
      <c r="X35" s="42"/>
      <c r="Y35" s="42"/>
      <c r="Z35" s="42"/>
      <c r="AA35" s="42"/>
      <c r="AB35" s="42"/>
      <c r="AC35" s="42"/>
      <c r="AD35" s="42"/>
      <c r="AE35" s="42"/>
      <c r="AF35" s="42"/>
      <c r="AG35" s="42">
        <v>1</v>
      </c>
      <c r="AH35" s="582"/>
      <c r="AI35" s="584"/>
      <c r="AJ35" s="579"/>
      <c r="AK35" s="579"/>
    </row>
    <row r="36" spans="1:37" ht="37.4" customHeight="1" thickBot="1" x14ac:dyDescent="0.4">
      <c r="A36" s="278">
        <v>12</v>
      </c>
      <c r="B36" s="278" t="s">
        <v>688</v>
      </c>
      <c r="C36" s="278" t="s">
        <v>694</v>
      </c>
      <c r="D36" s="278" t="s">
        <v>121</v>
      </c>
      <c r="E36" s="278" t="s">
        <v>122</v>
      </c>
      <c r="F36" s="275" t="s">
        <v>88</v>
      </c>
      <c r="G36" s="353"/>
      <c r="H36" s="594"/>
      <c r="I36" s="589" t="s">
        <v>890</v>
      </c>
      <c r="J36" s="587" t="s">
        <v>408</v>
      </c>
      <c r="K36" s="587" t="s">
        <v>896</v>
      </c>
      <c r="L36" s="587" t="s">
        <v>882</v>
      </c>
      <c r="M36" s="587" t="s">
        <v>883</v>
      </c>
      <c r="N36" s="587" t="s">
        <v>884</v>
      </c>
      <c r="O36" s="587" t="s">
        <v>883</v>
      </c>
      <c r="P36" s="576">
        <v>45474</v>
      </c>
      <c r="Q36" s="576">
        <v>45565</v>
      </c>
      <c r="R36" s="62" t="s">
        <v>94</v>
      </c>
      <c r="S36" s="53">
        <f>+(S37*T36)</f>
        <v>1.9999999999999997E-2</v>
      </c>
      <c r="T36" s="68">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581" t="s">
        <v>339</v>
      </c>
      <c r="AI36" s="581" t="s">
        <v>340</v>
      </c>
      <c r="AJ36" s="581" t="s">
        <v>341</v>
      </c>
      <c r="AK36" s="581" t="s">
        <v>342</v>
      </c>
    </row>
    <row r="37" spans="1:37" ht="37.4" customHeight="1" thickBot="1" x14ac:dyDescent="0.4">
      <c r="A37" s="279"/>
      <c r="B37" s="279"/>
      <c r="C37" s="279"/>
      <c r="D37" s="279"/>
      <c r="E37" s="279"/>
      <c r="F37" s="275"/>
      <c r="G37" s="353"/>
      <c r="H37" s="594"/>
      <c r="I37" s="590"/>
      <c r="J37" s="588"/>
      <c r="K37" s="588"/>
      <c r="L37" s="588"/>
      <c r="M37" s="588"/>
      <c r="N37" s="588"/>
      <c r="O37" s="588"/>
      <c r="P37" s="577"/>
      <c r="Q37" s="577"/>
      <c r="R37" s="62" t="s">
        <v>99</v>
      </c>
      <c r="S37" s="52">
        <f>100%/49</f>
        <v>2.0408163265306121E-2</v>
      </c>
      <c r="T37" s="68">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582"/>
      <c r="AI37" s="582"/>
      <c r="AJ37" s="582"/>
      <c r="AK37" s="582"/>
    </row>
    <row r="38" spans="1:37" ht="37.4" customHeight="1" thickBot="1" x14ac:dyDescent="0.4">
      <c r="A38" s="278">
        <v>13</v>
      </c>
      <c r="B38" s="278" t="s">
        <v>688</v>
      </c>
      <c r="C38" s="278" t="s">
        <v>694</v>
      </c>
      <c r="D38" s="278" t="s">
        <v>121</v>
      </c>
      <c r="E38" s="278" t="s">
        <v>122</v>
      </c>
      <c r="F38" s="275" t="s">
        <v>88</v>
      </c>
      <c r="G38" s="353"/>
      <c r="H38" s="594"/>
      <c r="I38" s="589" t="s">
        <v>890</v>
      </c>
      <c r="J38" s="587" t="s">
        <v>320</v>
      </c>
      <c r="K38" s="587" t="s">
        <v>321</v>
      </c>
      <c r="L38" s="587" t="s">
        <v>882</v>
      </c>
      <c r="M38" s="587" t="s">
        <v>703</v>
      </c>
      <c r="N38" s="587" t="s">
        <v>884</v>
      </c>
      <c r="O38" s="587" t="s">
        <v>703</v>
      </c>
      <c r="P38" s="576">
        <v>45383</v>
      </c>
      <c r="Q38" s="576">
        <v>45595</v>
      </c>
      <c r="R38" s="62" t="s">
        <v>94</v>
      </c>
      <c r="S38" s="53">
        <f>+(S39*T38)</f>
        <v>2.0408163265306121E-2</v>
      </c>
      <c r="T38" s="68">
        <f t="shared" si="0"/>
        <v>1</v>
      </c>
      <c r="U38" s="45"/>
      <c r="W38" s="45"/>
      <c r="X38" s="45">
        <v>0.25</v>
      </c>
      <c r="Y38" s="45"/>
      <c r="Z38" s="45"/>
      <c r="AA38" s="45">
        <v>0.25</v>
      </c>
      <c r="AB38" s="45"/>
      <c r="AC38" s="45"/>
      <c r="AD38" s="45">
        <v>0.25</v>
      </c>
      <c r="AE38" s="45"/>
      <c r="AF38" s="45"/>
      <c r="AG38" s="45">
        <v>0.25</v>
      </c>
      <c r="AH38" s="581" t="s">
        <v>343</v>
      </c>
      <c r="AI38" s="581" t="s">
        <v>344</v>
      </c>
      <c r="AJ38" s="581" t="s">
        <v>345</v>
      </c>
      <c r="AK38" s="581" t="s">
        <v>346</v>
      </c>
    </row>
    <row r="39" spans="1:37" ht="37.4" customHeight="1" thickBot="1" x14ac:dyDescent="0.4">
      <c r="A39" s="279"/>
      <c r="B39" s="279"/>
      <c r="C39" s="279"/>
      <c r="D39" s="279"/>
      <c r="E39" s="279"/>
      <c r="F39" s="275"/>
      <c r="G39" s="353"/>
      <c r="H39" s="594"/>
      <c r="I39" s="590"/>
      <c r="J39" s="588"/>
      <c r="K39" s="588"/>
      <c r="L39" s="588"/>
      <c r="M39" s="588"/>
      <c r="N39" s="588"/>
      <c r="O39" s="588"/>
      <c r="P39" s="577"/>
      <c r="Q39" s="577"/>
      <c r="R39" s="62" t="s">
        <v>99</v>
      </c>
      <c r="S39" s="52">
        <f>100%/49</f>
        <v>2.0408163265306121E-2</v>
      </c>
      <c r="T39" s="68">
        <f t="shared" si="0"/>
        <v>1</v>
      </c>
      <c r="U39" s="42"/>
      <c r="V39" s="42"/>
      <c r="W39" s="42"/>
      <c r="X39" s="42">
        <v>0.25</v>
      </c>
      <c r="Y39" s="42"/>
      <c r="Z39" s="42"/>
      <c r="AA39" s="42">
        <v>0.25</v>
      </c>
      <c r="AB39" s="42"/>
      <c r="AC39" s="42"/>
      <c r="AD39" s="42">
        <v>0.25</v>
      </c>
      <c r="AE39" s="42"/>
      <c r="AF39" s="42"/>
      <c r="AG39" s="42">
        <v>0.25</v>
      </c>
      <c r="AH39" s="582"/>
      <c r="AI39" s="582"/>
      <c r="AJ39" s="582"/>
      <c r="AK39" s="582"/>
    </row>
    <row r="40" spans="1:37" ht="37.4" customHeight="1" thickBot="1" x14ac:dyDescent="0.4">
      <c r="A40" s="278">
        <v>14</v>
      </c>
      <c r="B40" s="278" t="s">
        <v>688</v>
      </c>
      <c r="C40" s="278" t="s">
        <v>694</v>
      </c>
      <c r="D40" s="278" t="s">
        <v>121</v>
      </c>
      <c r="E40" s="278" t="s">
        <v>122</v>
      </c>
      <c r="F40" s="275" t="s">
        <v>88</v>
      </c>
      <c r="G40" s="353"/>
      <c r="H40" s="594"/>
      <c r="I40" s="589" t="s">
        <v>890</v>
      </c>
      <c r="J40" s="587" t="s">
        <v>320</v>
      </c>
      <c r="K40" s="587" t="s">
        <v>897</v>
      </c>
      <c r="L40" s="587" t="s">
        <v>882</v>
      </c>
      <c r="M40" s="587" t="s">
        <v>883</v>
      </c>
      <c r="N40" s="587" t="s">
        <v>884</v>
      </c>
      <c r="O40" s="587" t="s">
        <v>883</v>
      </c>
      <c r="P40" s="576">
        <v>45383</v>
      </c>
      <c r="Q40" s="576">
        <v>45473</v>
      </c>
      <c r="R40" s="62" t="s">
        <v>94</v>
      </c>
      <c r="S40" s="53">
        <f>+(S41*T40)</f>
        <v>2.0408163265306121E-2</v>
      </c>
      <c r="T40" s="68">
        <f t="shared" si="0"/>
        <v>1</v>
      </c>
      <c r="U40" s="45"/>
      <c r="V40" s="45"/>
      <c r="W40" s="45"/>
      <c r="X40" s="45"/>
      <c r="Y40" s="45"/>
      <c r="Z40" s="45"/>
      <c r="AA40" s="45"/>
      <c r="AB40" s="45"/>
      <c r="AC40" s="45"/>
      <c r="AD40" s="45"/>
      <c r="AE40" s="45"/>
      <c r="AF40" s="45"/>
      <c r="AG40" s="45">
        <v>1</v>
      </c>
      <c r="AH40" s="581"/>
      <c r="AI40" s="583"/>
      <c r="AJ40" s="578"/>
      <c r="AK40" s="578" t="s">
        <v>348</v>
      </c>
    </row>
    <row r="41" spans="1:37" ht="37.4" customHeight="1" thickBot="1" x14ac:dyDescent="0.4">
      <c r="A41" s="279"/>
      <c r="B41" s="279"/>
      <c r="C41" s="279"/>
      <c r="D41" s="279"/>
      <c r="E41" s="279"/>
      <c r="F41" s="275"/>
      <c r="G41" s="353"/>
      <c r="H41" s="594"/>
      <c r="I41" s="590"/>
      <c r="J41" s="588"/>
      <c r="K41" s="588"/>
      <c r="L41" s="588"/>
      <c r="M41" s="588"/>
      <c r="N41" s="588"/>
      <c r="O41" s="588"/>
      <c r="P41" s="577"/>
      <c r="Q41" s="577"/>
      <c r="R41" s="62" t="s">
        <v>99</v>
      </c>
      <c r="S41" s="52">
        <f>100%/49</f>
        <v>2.0408163265306121E-2</v>
      </c>
      <c r="T41" s="68">
        <f t="shared" si="0"/>
        <v>1</v>
      </c>
      <c r="U41" s="42"/>
      <c r="V41" s="42"/>
      <c r="W41" s="42"/>
      <c r="X41" s="42"/>
      <c r="Y41" s="42"/>
      <c r="Z41" s="42"/>
      <c r="AA41" s="42"/>
      <c r="AB41" s="42"/>
      <c r="AC41" s="42"/>
      <c r="AD41" s="42"/>
      <c r="AE41" s="42"/>
      <c r="AF41" s="42"/>
      <c r="AG41" s="42">
        <v>1</v>
      </c>
      <c r="AH41" s="582"/>
      <c r="AI41" s="584"/>
      <c r="AJ41" s="579"/>
      <c r="AK41" s="579"/>
    </row>
    <row r="42" spans="1:37" ht="37.4" customHeight="1" thickBot="1" x14ac:dyDescent="0.4">
      <c r="A42" s="278">
        <v>15</v>
      </c>
      <c r="B42" s="278" t="s">
        <v>688</v>
      </c>
      <c r="C42" s="278" t="s">
        <v>694</v>
      </c>
      <c r="D42" s="278" t="s">
        <v>121</v>
      </c>
      <c r="E42" s="278" t="s">
        <v>122</v>
      </c>
      <c r="F42" s="275" t="s">
        <v>88</v>
      </c>
      <c r="G42" s="353"/>
      <c r="H42" s="594"/>
      <c r="I42" s="589" t="s">
        <v>890</v>
      </c>
      <c r="J42" s="587" t="s">
        <v>898</v>
      </c>
      <c r="K42" s="587" t="s">
        <v>351</v>
      </c>
      <c r="L42" s="587" t="s">
        <v>882</v>
      </c>
      <c r="M42" s="587" t="s">
        <v>883</v>
      </c>
      <c r="N42" s="587" t="s">
        <v>884</v>
      </c>
      <c r="O42" s="587" t="s">
        <v>883</v>
      </c>
      <c r="P42" s="576">
        <v>45323</v>
      </c>
      <c r="Q42" s="576">
        <v>45381</v>
      </c>
      <c r="R42" s="62" t="s">
        <v>94</v>
      </c>
      <c r="S42" s="53">
        <f>+(S43*T42)</f>
        <v>2.0408163265306121E-2</v>
      </c>
      <c r="T42" s="68">
        <f t="shared" si="0"/>
        <v>1</v>
      </c>
      <c r="U42" s="45"/>
      <c r="V42" s="45"/>
      <c r="W42" s="45"/>
      <c r="X42" s="45"/>
      <c r="Y42" s="45"/>
      <c r="Z42" s="45"/>
      <c r="AA42" s="45"/>
      <c r="AB42" s="45"/>
      <c r="AC42" s="45"/>
      <c r="AD42" s="45"/>
      <c r="AE42" s="45"/>
      <c r="AF42" s="45"/>
      <c r="AG42" s="45">
        <v>1</v>
      </c>
      <c r="AH42" s="581"/>
      <c r="AI42" s="583"/>
      <c r="AJ42" s="578"/>
      <c r="AK42" s="578" t="s">
        <v>349</v>
      </c>
    </row>
    <row r="43" spans="1:37" ht="37.4" customHeight="1" thickBot="1" x14ac:dyDescent="0.4">
      <c r="A43" s="279"/>
      <c r="B43" s="279"/>
      <c r="C43" s="279"/>
      <c r="D43" s="279"/>
      <c r="E43" s="279"/>
      <c r="F43" s="275"/>
      <c r="G43" s="353"/>
      <c r="H43" s="594"/>
      <c r="I43" s="590"/>
      <c r="J43" s="588"/>
      <c r="K43" s="588"/>
      <c r="L43" s="588"/>
      <c r="M43" s="588"/>
      <c r="N43" s="588"/>
      <c r="O43" s="588"/>
      <c r="P43" s="577"/>
      <c r="Q43" s="577"/>
      <c r="R43" s="62" t="s">
        <v>99</v>
      </c>
      <c r="S43" s="52">
        <f>100%/49</f>
        <v>2.0408163265306121E-2</v>
      </c>
      <c r="T43" s="68">
        <f t="shared" si="0"/>
        <v>1</v>
      </c>
      <c r="U43" s="42"/>
      <c r="V43" s="42"/>
      <c r="W43" s="42"/>
      <c r="X43" s="42"/>
      <c r="Y43" s="42"/>
      <c r="Z43" s="42"/>
      <c r="AA43" s="42"/>
      <c r="AB43" s="42"/>
      <c r="AC43" s="42"/>
      <c r="AD43" s="42"/>
      <c r="AE43" s="42"/>
      <c r="AF43" s="42"/>
      <c r="AG43" s="42">
        <v>1</v>
      </c>
      <c r="AH43" s="582"/>
      <c r="AI43" s="584"/>
      <c r="AJ43" s="579"/>
      <c r="AK43" s="579"/>
    </row>
    <row r="44" spans="1:37" ht="37.4" customHeight="1" thickBot="1" x14ac:dyDescent="0.4">
      <c r="A44" s="278">
        <v>16</v>
      </c>
      <c r="B44" s="278" t="s">
        <v>688</v>
      </c>
      <c r="C44" s="278" t="s">
        <v>694</v>
      </c>
      <c r="D44" s="278" t="s">
        <v>121</v>
      </c>
      <c r="E44" s="278" t="s">
        <v>122</v>
      </c>
      <c r="F44" s="275" t="s">
        <v>88</v>
      </c>
      <c r="G44" s="353"/>
      <c r="H44" s="594"/>
      <c r="I44" s="589" t="s">
        <v>890</v>
      </c>
      <c r="J44" s="587" t="s">
        <v>898</v>
      </c>
      <c r="K44" s="587" t="s">
        <v>410</v>
      </c>
      <c r="L44" s="587" t="s">
        <v>882</v>
      </c>
      <c r="M44" s="587" t="s">
        <v>899</v>
      </c>
      <c r="N44" s="587" t="s">
        <v>884</v>
      </c>
      <c r="O44" s="587" t="s">
        <v>899</v>
      </c>
      <c r="P44" s="576">
        <v>45383</v>
      </c>
      <c r="Q44" s="576">
        <v>45595</v>
      </c>
      <c r="R44" s="62" t="s">
        <v>94</v>
      </c>
      <c r="S44" s="53">
        <f>+(S45*T44)</f>
        <v>2.0408163265306121E-2</v>
      </c>
      <c r="T44" s="68">
        <f t="shared" si="0"/>
        <v>1</v>
      </c>
      <c r="U44" s="45"/>
      <c r="V44" s="45"/>
      <c r="W44" s="45"/>
      <c r="X44" s="45"/>
      <c r="Y44" s="45"/>
      <c r="Z44" s="45"/>
      <c r="AA44" s="45"/>
      <c r="AB44" s="45"/>
      <c r="AC44" s="45"/>
      <c r="AD44" s="45"/>
      <c r="AE44" s="45"/>
      <c r="AF44" s="45"/>
      <c r="AG44" s="45">
        <v>1</v>
      </c>
      <c r="AH44" s="581"/>
      <c r="AI44" s="583"/>
      <c r="AJ44" s="578"/>
      <c r="AK44" s="578" t="s">
        <v>350</v>
      </c>
    </row>
    <row r="45" spans="1:37" ht="37.4" customHeight="1" thickBot="1" x14ac:dyDescent="0.4">
      <c r="A45" s="279"/>
      <c r="B45" s="279"/>
      <c r="C45" s="279"/>
      <c r="D45" s="279"/>
      <c r="E45" s="279"/>
      <c r="F45" s="275"/>
      <c r="G45" s="353"/>
      <c r="H45" s="594"/>
      <c r="I45" s="590"/>
      <c r="J45" s="588"/>
      <c r="K45" s="588"/>
      <c r="L45" s="588"/>
      <c r="M45" s="588"/>
      <c r="N45" s="588"/>
      <c r="O45" s="588"/>
      <c r="P45" s="577"/>
      <c r="Q45" s="577"/>
      <c r="R45" s="62" t="s">
        <v>99</v>
      </c>
      <c r="S45" s="52">
        <f>100%/49</f>
        <v>2.0408163265306121E-2</v>
      </c>
      <c r="T45" s="68">
        <f t="shared" si="0"/>
        <v>1</v>
      </c>
      <c r="U45" s="42"/>
      <c r="V45" s="42"/>
      <c r="W45" s="42"/>
      <c r="X45" s="42"/>
      <c r="Y45" s="42"/>
      <c r="Z45" s="42"/>
      <c r="AA45" s="42"/>
      <c r="AB45" s="42"/>
      <c r="AC45" s="42"/>
      <c r="AD45" s="42"/>
      <c r="AE45" s="42"/>
      <c r="AF45" s="42"/>
      <c r="AG45" s="42">
        <v>1</v>
      </c>
      <c r="AH45" s="582"/>
      <c r="AI45" s="584"/>
      <c r="AJ45" s="579"/>
      <c r="AK45" s="579"/>
    </row>
    <row r="46" spans="1:37" ht="37.4" customHeight="1" thickBot="1" x14ac:dyDescent="0.4">
      <c r="A46" s="278">
        <v>17</v>
      </c>
      <c r="B46" s="278" t="s">
        <v>688</v>
      </c>
      <c r="C46" s="278" t="s">
        <v>694</v>
      </c>
      <c r="D46" s="278" t="s">
        <v>121</v>
      </c>
      <c r="E46" s="278" t="s">
        <v>122</v>
      </c>
      <c r="F46" s="275" t="s">
        <v>88</v>
      </c>
      <c r="G46" s="353"/>
      <c r="H46" s="594"/>
      <c r="I46" s="589" t="s">
        <v>890</v>
      </c>
      <c r="J46" s="587" t="s">
        <v>898</v>
      </c>
      <c r="K46" s="587" t="s">
        <v>900</v>
      </c>
      <c r="L46" s="587" t="s">
        <v>882</v>
      </c>
      <c r="M46" s="587" t="s">
        <v>899</v>
      </c>
      <c r="N46" s="587" t="s">
        <v>884</v>
      </c>
      <c r="O46" s="587" t="s">
        <v>899</v>
      </c>
      <c r="P46" s="576">
        <v>45323</v>
      </c>
      <c r="Q46" s="576">
        <v>45657</v>
      </c>
      <c r="R46" s="62" t="s">
        <v>94</v>
      </c>
      <c r="S46" s="53">
        <f>+(S47*T46)</f>
        <v>2.0408163265306121E-2</v>
      </c>
      <c r="T46" s="68">
        <f t="shared" ref="T46:T75" si="1">SUM(U46:AG46)</f>
        <v>1</v>
      </c>
      <c r="U46" s="45"/>
      <c r="V46" s="45"/>
      <c r="W46" s="45"/>
      <c r="X46" s="45"/>
      <c r="Y46" s="45"/>
      <c r="Z46" s="45"/>
      <c r="AA46" s="45"/>
      <c r="AB46" s="45"/>
      <c r="AC46" s="45"/>
      <c r="AD46" s="45"/>
      <c r="AE46" s="45"/>
      <c r="AF46" s="45"/>
      <c r="AG46" s="45">
        <v>1</v>
      </c>
      <c r="AH46" s="581"/>
      <c r="AI46" s="583"/>
      <c r="AJ46" s="578"/>
      <c r="AK46" s="578" t="s">
        <v>352</v>
      </c>
    </row>
    <row r="47" spans="1:37" ht="37.4" customHeight="1" thickBot="1" x14ac:dyDescent="0.4">
      <c r="A47" s="279"/>
      <c r="B47" s="279"/>
      <c r="C47" s="279"/>
      <c r="D47" s="279"/>
      <c r="E47" s="279"/>
      <c r="F47" s="275"/>
      <c r="G47" s="353"/>
      <c r="H47" s="594"/>
      <c r="I47" s="590"/>
      <c r="J47" s="588"/>
      <c r="K47" s="588"/>
      <c r="L47" s="588"/>
      <c r="M47" s="588"/>
      <c r="N47" s="588"/>
      <c r="O47" s="588"/>
      <c r="P47" s="577"/>
      <c r="Q47" s="577"/>
      <c r="R47" s="62" t="s">
        <v>99</v>
      </c>
      <c r="S47" s="52">
        <f>100%/49</f>
        <v>2.0408163265306121E-2</v>
      </c>
      <c r="T47" s="68">
        <f t="shared" si="1"/>
        <v>1</v>
      </c>
      <c r="U47" s="42"/>
      <c r="V47" s="42"/>
      <c r="W47" s="42"/>
      <c r="X47" s="42"/>
      <c r="Y47" s="42"/>
      <c r="Z47" s="42"/>
      <c r="AA47" s="42"/>
      <c r="AB47" s="42"/>
      <c r="AC47" s="42"/>
      <c r="AD47" s="42"/>
      <c r="AE47" s="42"/>
      <c r="AF47" s="42"/>
      <c r="AG47" s="42">
        <v>1</v>
      </c>
      <c r="AH47" s="582"/>
      <c r="AI47" s="584"/>
      <c r="AJ47" s="579"/>
      <c r="AK47" s="579"/>
    </row>
    <row r="48" spans="1:37" ht="37.4" customHeight="1" thickBot="1" x14ac:dyDescent="0.4">
      <c r="A48" s="278">
        <v>18</v>
      </c>
      <c r="B48" s="278" t="s">
        <v>688</v>
      </c>
      <c r="C48" s="278" t="s">
        <v>694</v>
      </c>
      <c r="D48" s="278" t="s">
        <v>121</v>
      </c>
      <c r="E48" s="278" t="s">
        <v>122</v>
      </c>
      <c r="F48" s="275" t="s">
        <v>88</v>
      </c>
      <c r="G48" s="353"/>
      <c r="H48" s="594"/>
      <c r="I48" s="589" t="s">
        <v>890</v>
      </c>
      <c r="J48" s="587" t="s">
        <v>413</v>
      </c>
      <c r="K48" s="587" t="s">
        <v>414</v>
      </c>
      <c r="L48" s="587" t="s">
        <v>882</v>
      </c>
      <c r="M48" s="587" t="s">
        <v>703</v>
      </c>
      <c r="N48" s="587" t="s">
        <v>884</v>
      </c>
      <c r="O48" s="587" t="s">
        <v>703</v>
      </c>
      <c r="P48" s="576">
        <v>45474</v>
      </c>
      <c r="Q48" s="576" t="s">
        <v>901</v>
      </c>
      <c r="R48" s="62" t="s">
        <v>94</v>
      </c>
      <c r="S48" s="53">
        <f>+(S49*T48)</f>
        <v>2.0408163265306121E-2</v>
      </c>
      <c r="T48" s="68">
        <f t="shared" si="1"/>
        <v>1</v>
      </c>
      <c r="U48" s="45"/>
      <c r="V48" s="45"/>
      <c r="W48" s="45"/>
      <c r="X48" s="45"/>
      <c r="Y48" s="45"/>
      <c r="Z48" s="45"/>
      <c r="AA48" s="45">
        <v>0.5</v>
      </c>
      <c r="AB48" s="45"/>
      <c r="AC48" s="45"/>
      <c r="AD48" s="45"/>
      <c r="AE48" s="45"/>
      <c r="AF48" s="45"/>
      <c r="AG48" s="45">
        <v>0.5</v>
      </c>
      <c r="AH48" s="581"/>
      <c r="AI48" s="583" t="s">
        <v>353</v>
      </c>
      <c r="AJ48" s="578"/>
      <c r="AK48" s="578" t="s">
        <v>354</v>
      </c>
    </row>
    <row r="49" spans="1:37" ht="37.4" customHeight="1" thickBot="1" x14ac:dyDescent="0.4">
      <c r="A49" s="279"/>
      <c r="B49" s="279"/>
      <c r="C49" s="279"/>
      <c r="D49" s="279"/>
      <c r="E49" s="279"/>
      <c r="F49" s="275"/>
      <c r="G49" s="279"/>
      <c r="H49" s="595"/>
      <c r="I49" s="590"/>
      <c r="J49" s="588"/>
      <c r="K49" s="588"/>
      <c r="L49" s="588"/>
      <c r="M49" s="588"/>
      <c r="N49" s="588"/>
      <c r="O49" s="588"/>
      <c r="P49" s="577"/>
      <c r="Q49" s="577"/>
      <c r="R49" s="62" t="s">
        <v>99</v>
      </c>
      <c r="S49" s="52">
        <f>100%/49</f>
        <v>2.0408163265306121E-2</v>
      </c>
      <c r="T49" s="68">
        <f t="shared" si="1"/>
        <v>1</v>
      </c>
      <c r="U49" s="42"/>
      <c r="V49" s="42"/>
      <c r="W49" s="42"/>
      <c r="X49" s="42"/>
      <c r="Y49" s="42"/>
      <c r="Z49" s="42"/>
      <c r="AA49" s="42">
        <v>0.5</v>
      </c>
      <c r="AB49" s="42"/>
      <c r="AC49" s="42"/>
      <c r="AD49" s="42"/>
      <c r="AE49" s="42"/>
      <c r="AF49" s="42"/>
      <c r="AG49" s="42">
        <v>0.5</v>
      </c>
      <c r="AH49" s="582"/>
      <c r="AI49" s="584"/>
      <c r="AJ49" s="579"/>
      <c r="AK49" s="579"/>
    </row>
    <row r="50" spans="1:37" ht="37.4" customHeight="1" thickBot="1" x14ac:dyDescent="0.4">
      <c r="A50" s="278">
        <v>19</v>
      </c>
      <c r="B50" s="278" t="s">
        <v>688</v>
      </c>
      <c r="C50" s="278" t="s">
        <v>694</v>
      </c>
      <c r="D50" s="278" t="s">
        <v>121</v>
      </c>
      <c r="E50" s="278" t="s">
        <v>122</v>
      </c>
      <c r="F50" s="275" t="s">
        <v>88</v>
      </c>
      <c r="G50" s="278" t="s">
        <v>871</v>
      </c>
      <c r="H50" s="593" t="s">
        <v>876</v>
      </c>
      <c r="I50" s="589" t="s">
        <v>902</v>
      </c>
      <c r="J50" s="587" t="s">
        <v>323</v>
      </c>
      <c r="K50" s="587" t="s">
        <v>903</v>
      </c>
      <c r="L50" s="587" t="s">
        <v>882</v>
      </c>
      <c r="M50" s="587" t="s">
        <v>883</v>
      </c>
      <c r="N50" s="587" t="s">
        <v>884</v>
      </c>
      <c r="O50" s="587" t="s">
        <v>883</v>
      </c>
      <c r="P50" s="576">
        <v>45352</v>
      </c>
      <c r="Q50" s="576">
        <v>45473</v>
      </c>
      <c r="R50" s="62" t="s">
        <v>94</v>
      </c>
      <c r="S50" s="53">
        <f>+(S51*T50)</f>
        <v>2.0408163265306121E-2</v>
      </c>
      <c r="T50" s="68">
        <f t="shared" si="1"/>
        <v>1</v>
      </c>
      <c r="U50" s="45"/>
      <c r="V50" s="45"/>
      <c r="W50" s="45"/>
      <c r="X50" s="45"/>
      <c r="Y50" s="45"/>
      <c r="Z50" s="45"/>
      <c r="AA50" s="45"/>
      <c r="AB50" s="45"/>
      <c r="AC50" s="45"/>
      <c r="AD50" s="45"/>
      <c r="AE50" s="45"/>
      <c r="AF50" s="45"/>
      <c r="AG50" s="45">
        <v>1</v>
      </c>
      <c r="AH50" s="581"/>
      <c r="AI50" s="583"/>
      <c r="AJ50" s="578"/>
      <c r="AK50" s="578" t="s">
        <v>355</v>
      </c>
    </row>
    <row r="51" spans="1:37" ht="37.4" customHeight="1" thickBot="1" x14ac:dyDescent="0.4">
      <c r="A51" s="279"/>
      <c r="B51" s="279"/>
      <c r="C51" s="279"/>
      <c r="D51" s="279"/>
      <c r="E51" s="279"/>
      <c r="F51" s="275"/>
      <c r="G51" s="353"/>
      <c r="H51" s="594"/>
      <c r="I51" s="590"/>
      <c r="J51" s="588"/>
      <c r="K51" s="588"/>
      <c r="L51" s="588"/>
      <c r="M51" s="588"/>
      <c r="N51" s="588"/>
      <c r="O51" s="588"/>
      <c r="P51" s="577"/>
      <c r="Q51" s="577"/>
      <c r="R51" s="62" t="s">
        <v>99</v>
      </c>
      <c r="S51" s="52">
        <f>100%/49</f>
        <v>2.0408163265306121E-2</v>
      </c>
      <c r="T51" s="68">
        <f t="shared" si="1"/>
        <v>1</v>
      </c>
      <c r="U51" s="42"/>
      <c r="V51" s="42"/>
      <c r="W51" s="42"/>
      <c r="X51" s="42"/>
      <c r="Y51" s="42"/>
      <c r="Z51" s="42"/>
      <c r="AA51" s="42"/>
      <c r="AB51" s="42"/>
      <c r="AC51" s="42"/>
      <c r="AD51" s="42"/>
      <c r="AE51" s="42"/>
      <c r="AF51" s="42"/>
      <c r="AG51" s="42">
        <v>1</v>
      </c>
      <c r="AH51" s="582"/>
      <c r="AI51" s="584"/>
      <c r="AJ51" s="579"/>
      <c r="AK51" s="579"/>
    </row>
    <row r="52" spans="1:37" ht="37.4" customHeight="1" thickBot="1" x14ac:dyDescent="0.4">
      <c r="A52" s="278">
        <v>20</v>
      </c>
      <c r="B52" s="278" t="s">
        <v>688</v>
      </c>
      <c r="C52" s="278" t="s">
        <v>694</v>
      </c>
      <c r="D52" s="278" t="s">
        <v>121</v>
      </c>
      <c r="E52" s="278" t="s">
        <v>122</v>
      </c>
      <c r="F52" s="275" t="s">
        <v>88</v>
      </c>
      <c r="G52" s="353"/>
      <c r="H52" s="594"/>
      <c r="I52" s="589" t="s">
        <v>902</v>
      </c>
      <c r="J52" s="587" t="s">
        <v>323</v>
      </c>
      <c r="K52" s="587" t="s">
        <v>904</v>
      </c>
      <c r="L52" s="587" t="s">
        <v>882</v>
      </c>
      <c r="M52" s="587" t="s">
        <v>883</v>
      </c>
      <c r="N52" s="587" t="s">
        <v>884</v>
      </c>
      <c r="O52" s="587" t="s">
        <v>883</v>
      </c>
      <c r="P52" s="576">
        <v>45383</v>
      </c>
      <c r="Q52" s="576">
        <v>45473</v>
      </c>
      <c r="R52" s="62" t="s">
        <v>94</v>
      </c>
      <c r="S52" s="53">
        <f>+(S53*T52)</f>
        <v>2.0408163265306121E-2</v>
      </c>
      <c r="T52" s="68">
        <f t="shared" si="1"/>
        <v>1</v>
      </c>
      <c r="U52" s="45"/>
      <c r="V52" s="45"/>
      <c r="W52" s="45"/>
      <c r="X52" s="45"/>
      <c r="Y52" s="45"/>
      <c r="Z52" s="45"/>
      <c r="AA52" s="45"/>
      <c r="AB52" s="45"/>
      <c r="AC52" s="45"/>
      <c r="AD52" s="45"/>
      <c r="AE52" s="45"/>
      <c r="AF52" s="45"/>
      <c r="AG52" s="45">
        <v>1</v>
      </c>
      <c r="AH52" s="581"/>
      <c r="AI52" s="583"/>
      <c r="AJ52" s="578"/>
      <c r="AK52" s="578" t="s">
        <v>356</v>
      </c>
    </row>
    <row r="53" spans="1:37" ht="37.4" customHeight="1" thickBot="1" x14ac:dyDescent="0.4">
      <c r="A53" s="279"/>
      <c r="B53" s="279"/>
      <c r="C53" s="279"/>
      <c r="D53" s="279"/>
      <c r="E53" s="279"/>
      <c r="F53" s="275"/>
      <c r="G53" s="353"/>
      <c r="H53" s="594"/>
      <c r="I53" s="590"/>
      <c r="J53" s="588"/>
      <c r="K53" s="588"/>
      <c r="L53" s="588"/>
      <c r="M53" s="588"/>
      <c r="N53" s="588"/>
      <c r="O53" s="588"/>
      <c r="P53" s="577"/>
      <c r="Q53" s="577"/>
      <c r="R53" s="62" t="s">
        <v>99</v>
      </c>
      <c r="S53" s="52">
        <f>100%/49</f>
        <v>2.0408163265306121E-2</v>
      </c>
      <c r="T53" s="68">
        <f t="shared" si="1"/>
        <v>1</v>
      </c>
      <c r="U53" s="42"/>
      <c r="V53" s="42"/>
      <c r="W53" s="42"/>
      <c r="X53" s="42"/>
      <c r="Y53" s="42"/>
      <c r="Z53" s="42"/>
      <c r="AA53" s="42"/>
      <c r="AB53" s="42"/>
      <c r="AC53" s="42"/>
      <c r="AD53" s="42"/>
      <c r="AE53" s="42"/>
      <c r="AF53" s="42"/>
      <c r="AG53" s="42">
        <v>1</v>
      </c>
      <c r="AH53" s="582"/>
      <c r="AI53" s="584"/>
      <c r="AJ53" s="579"/>
      <c r="AK53" s="579"/>
    </row>
    <row r="54" spans="1:37" ht="37.4" customHeight="1" thickBot="1" x14ac:dyDescent="0.4">
      <c r="A54" s="278">
        <v>21</v>
      </c>
      <c r="B54" s="278" t="s">
        <v>688</v>
      </c>
      <c r="C54" s="278" t="s">
        <v>694</v>
      </c>
      <c r="D54" s="278" t="s">
        <v>121</v>
      </c>
      <c r="E54" s="278" t="s">
        <v>122</v>
      </c>
      <c r="F54" s="275" t="s">
        <v>88</v>
      </c>
      <c r="G54" s="353"/>
      <c r="H54" s="594"/>
      <c r="I54" s="589" t="s">
        <v>902</v>
      </c>
      <c r="J54" s="587" t="s">
        <v>323</v>
      </c>
      <c r="K54" s="587" t="s">
        <v>905</v>
      </c>
      <c r="L54" s="587" t="s">
        <v>882</v>
      </c>
      <c r="M54" s="587" t="s">
        <v>703</v>
      </c>
      <c r="N54" s="587" t="s">
        <v>884</v>
      </c>
      <c r="O54" s="587" t="s">
        <v>703</v>
      </c>
      <c r="P54" s="576">
        <v>45383</v>
      </c>
      <c r="Q54" s="576">
        <v>45473</v>
      </c>
      <c r="R54" s="62" t="s">
        <v>94</v>
      </c>
      <c r="S54" s="53">
        <f>+(S55*T54)</f>
        <v>2.0408163265306121E-2</v>
      </c>
      <c r="T54" s="68">
        <f t="shared" si="1"/>
        <v>1</v>
      </c>
      <c r="U54" s="45"/>
      <c r="V54" s="45"/>
      <c r="W54" s="45"/>
      <c r="X54" s="45"/>
      <c r="Y54" s="45"/>
      <c r="Z54" s="45"/>
      <c r="AA54" s="45">
        <v>0.5</v>
      </c>
      <c r="AB54" s="45"/>
      <c r="AC54" s="45"/>
      <c r="AD54" s="45"/>
      <c r="AE54" s="45"/>
      <c r="AF54" s="45"/>
      <c r="AG54" s="45">
        <v>0.5</v>
      </c>
      <c r="AH54" s="581"/>
      <c r="AI54" s="583" t="s">
        <v>357</v>
      </c>
      <c r="AJ54" s="578"/>
      <c r="AK54" s="578" t="s">
        <v>358</v>
      </c>
    </row>
    <row r="55" spans="1:37" ht="37.4" customHeight="1" thickBot="1" x14ac:dyDescent="0.4">
      <c r="A55" s="279"/>
      <c r="B55" s="279"/>
      <c r="C55" s="279"/>
      <c r="D55" s="279"/>
      <c r="E55" s="279"/>
      <c r="F55" s="275"/>
      <c r="G55" s="353"/>
      <c r="H55" s="594"/>
      <c r="I55" s="590"/>
      <c r="J55" s="588"/>
      <c r="K55" s="588"/>
      <c r="L55" s="588"/>
      <c r="M55" s="588"/>
      <c r="N55" s="588"/>
      <c r="O55" s="588"/>
      <c r="P55" s="577"/>
      <c r="Q55" s="577"/>
      <c r="R55" s="62" t="s">
        <v>99</v>
      </c>
      <c r="S55" s="52">
        <f>100%/49</f>
        <v>2.0408163265306121E-2</v>
      </c>
      <c r="T55" s="68">
        <f t="shared" si="1"/>
        <v>1</v>
      </c>
      <c r="U55" s="42"/>
      <c r="V55" s="42"/>
      <c r="W55" s="42"/>
      <c r="X55" s="42"/>
      <c r="Y55" s="42"/>
      <c r="Z55" s="42"/>
      <c r="AA55" s="42">
        <v>0.5</v>
      </c>
      <c r="AB55" s="42"/>
      <c r="AC55" s="42"/>
      <c r="AD55" s="42"/>
      <c r="AE55" s="42"/>
      <c r="AF55" s="42"/>
      <c r="AG55" s="42">
        <v>0.5</v>
      </c>
      <c r="AH55" s="582"/>
      <c r="AI55" s="584"/>
      <c r="AJ55" s="579"/>
      <c r="AK55" s="579"/>
    </row>
    <row r="56" spans="1:37" ht="37.4" customHeight="1" thickBot="1" x14ac:dyDescent="0.4">
      <c r="A56" s="278">
        <v>22</v>
      </c>
      <c r="B56" s="278" t="s">
        <v>688</v>
      </c>
      <c r="C56" s="278" t="s">
        <v>694</v>
      </c>
      <c r="D56" s="278" t="s">
        <v>121</v>
      </c>
      <c r="E56" s="278" t="s">
        <v>122</v>
      </c>
      <c r="F56" s="275" t="s">
        <v>88</v>
      </c>
      <c r="G56" s="353"/>
      <c r="H56" s="594"/>
      <c r="I56" s="589" t="s">
        <v>902</v>
      </c>
      <c r="J56" s="587" t="s">
        <v>323</v>
      </c>
      <c r="K56" s="587" t="s">
        <v>906</v>
      </c>
      <c r="L56" s="587" t="s">
        <v>882</v>
      </c>
      <c r="M56" s="587" t="s">
        <v>883</v>
      </c>
      <c r="N56" s="587" t="s">
        <v>884</v>
      </c>
      <c r="O56" s="587" t="s">
        <v>883</v>
      </c>
      <c r="P56" s="576">
        <v>45444</v>
      </c>
      <c r="Q56" s="576">
        <v>45534</v>
      </c>
      <c r="R56" s="62" t="s">
        <v>94</v>
      </c>
      <c r="S56" s="53">
        <f>+(S57*T56)</f>
        <v>2.0408163265306121E-2</v>
      </c>
      <c r="T56" s="68">
        <f t="shared" si="1"/>
        <v>1</v>
      </c>
      <c r="U56" s="45"/>
      <c r="V56" s="45"/>
      <c r="W56" s="45"/>
      <c r="X56" s="45"/>
      <c r="Y56" s="45"/>
      <c r="Z56" s="45"/>
      <c r="AA56" s="45"/>
      <c r="AB56" s="45"/>
      <c r="AC56" s="45"/>
      <c r="AD56" s="45"/>
      <c r="AE56" s="45"/>
      <c r="AF56" s="45"/>
      <c r="AG56" s="45">
        <v>1</v>
      </c>
      <c r="AH56" s="581"/>
      <c r="AI56" s="583"/>
      <c r="AJ56" s="578"/>
      <c r="AK56" s="578" t="s">
        <v>360</v>
      </c>
    </row>
    <row r="57" spans="1:37" ht="37.4" customHeight="1" thickBot="1" x14ac:dyDescent="0.4">
      <c r="A57" s="279"/>
      <c r="B57" s="279"/>
      <c r="C57" s="279"/>
      <c r="D57" s="279"/>
      <c r="E57" s="279"/>
      <c r="F57" s="275"/>
      <c r="G57" s="353"/>
      <c r="H57" s="594"/>
      <c r="I57" s="590"/>
      <c r="J57" s="588"/>
      <c r="K57" s="588"/>
      <c r="L57" s="588"/>
      <c r="M57" s="588"/>
      <c r="N57" s="588"/>
      <c r="O57" s="588"/>
      <c r="P57" s="577"/>
      <c r="Q57" s="577"/>
      <c r="R57" s="62" t="s">
        <v>99</v>
      </c>
      <c r="S57" s="52">
        <f>100%/49</f>
        <v>2.0408163265306121E-2</v>
      </c>
      <c r="T57" s="68">
        <f t="shared" si="1"/>
        <v>1</v>
      </c>
      <c r="U57" s="42"/>
      <c r="V57" s="42"/>
      <c r="W57" s="42"/>
      <c r="X57" s="42"/>
      <c r="Y57" s="42"/>
      <c r="Z57" s="42"/>
      <c r="AA57" s="42"/>
      <c r="AB57" s="42"/>
      <c r="AC57" s="42"/>
      <c r="AD57" s="42"/>
      <c r="AE57" s="42"/>
      <c r="AF57" s="42"/>
      <c r="AG57" s="42">
        <v>1</v>
      </c>
      <c r="AH57" s="582"/>
      <c r="AI57" s="584"/>
      <c r="AJ57" s="579"/>
      <c r="AK57" s="579"/>
    </row>
    <row r="58" spans="1:37" ht="37.4" customHeight="1" thickBot="1" x14ac:dyDescent="0.4">
      <c r="A58" s="278">
        <v>23</v>
      </c>
      <c r="B58" s="278" t="s">
        <v>688</v>
      </c>
      <c r="C58" s="278" t="s">
        <v>694</v>
      </c>
      <c r="D58" s="278" t="s">
        <v>121</v>
      </c>
      <c r="E58" s="278" t="s">
        <v>122</v>
      </c>
      <c r="F58" s="275" t="s">
        <v>88</v>
      </c>
      <c r="G58" s="353"/>
      <c r="H58" s="594"/>
      <c r="I58" s="589" t="s">
        <v>902</v>
      </c>
      <c r="J58" s="587" t="s">
        <v>323</v>
      </c>
      <c r="K58" s="587" t="s">
        <v>359</v>
      </c>
      <c r="L58" s="587" t="s">
        <v>882</v>
      </c>
      <c r="M58" s="587" t="s">
        <v>883</v>
      </c>
      <c r="N58" s="587" t="s">
        <v>884</v>
      </c>
      <c r="O58" s="587" t="s">
        <v>883</v>
      </c>
      <c r="P58" s="576">
        <v>45383</v>
      </c>
      <c r="Q58" s="576">
        <v>45473</v>
      </c>
      <c r="R58" s="62" t="s">
        <v>94</v>
      </c>
      <c r="S58" s="53">
        <f>+(S59*T58)</f>
        <v>1.9999999999999997E-2</v>
      </c>
      <c r="T58" s="68">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581" t="s">
        <v>361</v>
      </c>
      <c r="AI58" s="581" t="s">
        <v>362</v>
      </c>
      <c r="AJ58" s="581" t="s">
        <v>362</v>
      </c>
      <c r="AK58" s="578" t="s">
        <v>363</v>
      </c>
    </row>
    <row r="59" spans="1:37" ht="37.4" customHeight="1" thickBot="1" x14ac:dyDescent="0.4">
      <c r="A59" s="279"/>
      <c r="B59" s="279"/>
      <c r="C59" s="279"/>
      <c r="D59" s="279"/>
      <c r="E59" s="279"/>
      <c r="F59" s="275"/>
      <c r="G59" s="353"/>
      <c r="H59" s="594"/>
      <c r="I59" s="590"/>
      <c r="J59" s="588"/>
      <c r="K59" s="588"/>
      <c r="L59" s="588"/>
      <c r="M59" s="588"/>
      <c r="N59" s="588"/>
      <c r="O59" s="588"/>
      <c r="P59" s="577"/>
      <c r="Q59" s="577"/>
      <c r="R59" s="62" t="s">
        <v>99</v>
      </c>
      <c r="S59" s="52">
        <f>100%/49</f>
        <v>2.0408163265306121E-2</v>
      </c>
      <c r="T59" s="68">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582"/>
      <c r="AI59" s="582"/>
      <c r="AJ59" s="582"/>
      <c r="AK59" s="579"/>
    </row>
    <row r="60" spans="1:37" ht="37.4" customHeight="1" thickBot="1" x14ac:dyDescent="0.4">
      <c r="A60" s="278">
        <v>24</v>
      </c>
      <c r="B60" s="278" t="s">
        <v>688</v>
      </c>
      <c r="C60" s="278" t="s">
        <v>694</v>
      </c>
      <c r="D60" s="278" t="s">
        <v>121</v>
      </c>
      <c r="E60" s="278" t="s">
        <v>122</v>
      </c>
      <c r="F60" s="275" t="s">
        <v>88</v>
      </c>
      <c r="G60" s="353"/>
      <c r="H60" s="594"/>
      <c r="I60" s="589" t="s">
        <v>902</v>
      </c>
      <c r="J60" s="587" t="s">
        <v>323</v>
      </c>
      <c r="K60" s="587" t="s">
        <v>907</v>
      </c>
      <c r="L60" s="587" t="s">
        <v>882</v>
      </c>
      <c r="M60" s="587" t="s">
        <v>692</v>
      </c>
      <c r="N60" s="587" t="s">
        <v>884</v>
      </c>
      <c r="O60" s="587" t="s">
        <v>692</v>
      </c>
      <c r="P60" s="576">
        <v>45323</v>
      </c>
      <c r="Q60" s="576">
        <v>45626</v>
      </c>
      <c r="R60" s="62" t="s">
        <v>94</v>
      </c>
      <c r="S60" s="53">
        <f>+(S61*T60)</f>
        <v>2.0408163265306121E-2</v>
      </c>
      <c r="T60" s="68">
        <f t="shared" si="1"/>
        <v>1</v>
      </c>
      <c r="U60" s="45"/>
      <c r="V60" s="45"/>
      <c r="X60" s="45">
        <v>0.25</v>
      </c>
      <c r="Y60" s="45"/>
      <c r="Z60" s="45"/>
      <c r="AA60" s="45">
        <v>0.25</v>
      </c>
      <c r="AB60" s="45"/>
      <c r="AC60" s="45"/>
      <c r="AD60" s="45">
        <v>0.25</v>
      </c>
      <c r="AE60" s="45"/>
      <c r="AF60" s="45"/>
      <c r="AG60" s="45">
        <v>0.25</v>
      </c>
      <c r="AH60" s="581" t="s">
        <v>364</v>
      </c>
      <c r="AI60" s="581" t="s">
        <v>365</v>
      </c>
      <c r="AJ60" s="581" t="s">
        <v>366</v>
      </c>
      <c r="AK60" s="578" t="s">
        <v>367</v>
      </c>
    </row>
    <row r="61" spans="1:37" ht="37.4" customHeight="1" thickBot="1" x14ac:dyDescent="0.4">
      <c r="A61" s="279"/>
      <c r="B61" s="279"/>
      <c r="C61" s="279"/>
      <c r="D61" s="279"/>
      <c r="E61" s="279"/>
      <c r="F61" s="275"/>
      <c r="G61" s="353"/>
      <c r="H61" s="594"/>
      <c r="I61" s="590"/>
      <c r="J61" s="588"/>
      <c r="K61" s="588"/>
      <c r="L61" s="588"/>
      <c r="M61" s="588"/>
      <c r="N61" s="588"/>
      <c r="O61" s="588"/>
      <c r="P61" s="577"/>
      <c r="Q61" s="577"/>
      <c r="R61" s="62" t="s">
        <v>99</v>
      </c>
      <c r="S61" s="52">
        <f>100%/49</f>
        <v>2.0408163265306121E-2</v>
      </c>
      <c r="T61" s="68">
        <f t="shared" si="1"/>
        <v>1</v>
      </c>
      <c r="U61" s="42"/>
      <c r="V61" s="42"/>
      <c r="W61" s="42"/>
      <c r="X61" s="42">
        <v>0.25</v>
      </c>
      <c r="Y61" s="42"/>
      <c r="Z61" s="42"/>
      <c r="AA61" s="42">
        <v>0.25</v>
      </c>
      <c r="AB61" s="42"/>
      <c r="AC61" s="42"/>
      <c r="AD61" s="42">
        <v>0.25</v>
      </c>
      <c r="AE61" s="42"/>
      <c r="AF61" s="42"/>
      <c r="AG61" s="42">
        <v>0.25</v>
      </c>
      <c r="AH61" s="582"/>
      <c r="AI61" s="582"/>
      <c r="AJ61" s="582"/>
      <c r="AK61" s="579"/>
    </row>
    <row r="62" spans="1:37" ht="37.4" customHeight="1" thickBot="1" x14ac:dyDescent="0.4">
      <c r="A62" s="278">
        <v>25</v>
      </c>
      <c r="B62" s="278" t="s">
        <v>688</v>
      </c>
      <c r="C62" s="278" t="s">
        <v>694</v>
      </c>
      <c r="D62" s="278" t="s">
        <v>121</v>
      </c>
      <c r="E62" s="278" t="s">
        <v>122</v>
      </c>
      <c r="F62" s="275" t="s">
        <v>88</v>
      </c>
      <c r="G62" s="353"/>
      <c r="H62" s="594"/>
      <c r="I62" s="589" t="s">
        <v>902</v>
      </c>
      <c r="J62" s="587" t="s">
        <v>325</v>
      </c>
      <c r="K62" s="587" t="s">
        <v>908</v>
      </c>
      <c r="L62" s="587" t="s">
        <v>882</v>
      </c>
      <c r="M62" s="587" t="s">
        <v>883</v>
      </c>
      <c r="N62" s="587" t="s">
        <v>884</v>
      </c>
      <c r="O62" s="587" t="s">
        <v>883</v>
      </c>
      <c r="P62" s="576">
        <v>45352</v>
      </c>
      <c r="Q62" s="576">
        <v>45442</v>
      </c>
      <c r="R62" s="62" t="s">
        <v>94</v>
      </c>
      <c r="S62" s="53">
        <f>+(S63*T62)</f>
        <v>2.0408163265306121E-2</v>
      </c>
      <c r="T62" s="68">
        <f t="shared" si="1"/>
        <v>1</v>
      </c>
      <c r="U62" s="45"/>
      <c r="V62" s="45"/>
      <c r="X62" s="45">
        <v>0.25</v>
      </c>
      <c r="Y62" s="45"/>
      <c r="Z62" s="45"/>
      <c r="AA62" s="45">
        <v>0.25</v>
      </c>
      <c r="AB62" s="45"/>
      <c r="AC62" s="45"/>
      <c r="AD62" s="45">
        <v>0.25</v>
      </c>
      <c r="AE62" s="45"/>
      <c r="AF62" s="45"/>
      <c r="AG62" s="45">
        <v>0.25</v>
      </c>
      <c r="AH62" s="581" t="s">
        <v>368</v>
      </c>
      <c r="AI62" s="583" t="s">
        <v>369</v>
      </c>
      <c r="AJ62" s="578" t="s">
        <v>370</v>
      </c>
      <c r="AK62" s="578" t="s">
        <v>371</v>
      </c>
    </row>
    <row r="63" spans="1:37" ht="37.4" customHeight="1" thickBot="1" x14ac:dyDescent="0.4">
      <c r="A63" s="279"/>
      <c r="B63" s="279"/>
      <c r="C63" s="279"/>
      <c r="D63" s="279"/>
      <c r="E63" s="279"/>
      <c r="F63" s="275"/>
      <c r="G63" s="353"/>
      <c r="H63" s="594"/>
      <c r="I63" s="590"/>
      <c r="J63" s="588"/>
      <c r="K63" s="588"/>
      <c r="L63" s="588"/>
      <c r="M63" s="588"/>
      <c r="N63" s="588"/>
      <c r="O63" s="588"/>
      <c r="P63" s="577"/>
      <c r="Q63" s="577"/>
      <c r="R63" s="62" t="s">
        <v>99</v>
      </c>
      <c r="S63" s="52">
        <f>100%/49</f>
        <v>2.0408163265306121E-2</v>
      </c>
      <c r="T63" s="68">
        <f t="shared" si="1"/>
        <v>1</v>
      </c>
      <c r="U63" s="42"/>
      <c r="V63" s="42"/>
      <c r="W63" s="42"/>
      <c r="X63" s="42">
        <v>0.25</v>
      </c>
      <c r="Y63" s="42"/>
      <c r="Z63" s="42"/>
      <c r="AA63" s="42">
        <v>0.25</v>
      </c>
      <c r="AB63" s="42"/>
      <c r="AC63" s="42"/>
      <c r="AD63" s="42">
        <v>0.25</v>
      </c>
      <c r="AE63" s="42"/>
      <c r="AF63" s="42"/>
      <c r="AG63" s="42">
        <v>0.25</v>
      </c>
      <c r="AH63" s="582"/>
      <c r="AI63" s="584"/>
      <c r="AJ63" s="579"/>
      <c r="AK63" s="579"/>
    </row>
    <row r="64" spans="1:37" ht="37.4" customHeight="1" thickBot="1" x14ac:dyDescent="0.4">
      <c r="A64" s="278">
        <v>26</v>
      </c>
      <c r="B64" s="278" t="s">
        <v>688</v>
      </c>
      <c r="C64" s="278" t="s">
        <v>694</v>
      </c>
      <c r="D64" s="278" t="s">
        <v>121</v>
      </c>
      <c r="E64" s="278" t="s">
        <v>122</v>
      </c>
      <c r="F64" s="275" t="s">
        <v>88</v>
      </c>
      <c r="G64" s="353"/>
      <c r="H64" s="594"/>
      <c r="I64" s="589" t="s">
        <v>902</v>
      </c>
      <c r="J64" s="587" t="s">
        <v>325</v>
      </c>
      <c r="K64" s="587" t="s">
        <v>909</v>
      </c>
      <c r="L64" s="587" t="s">
        <v>882</v>
      </c>
      <c r="M64" s="587" t="s">
        <v>692</v>
      </c>
      <c r="N64" s="587" t="s">
        <v>884</v>
      </c>
      <c r="O64" s="587" t="s">
        <v>692</v>
      </c>
      <c r="P64" s="576">
        <v>45383</v>
      </c>
      <c r="Q64" s="576">
        <v>45473</v>
      </c>
      <c r="R64" s="62" t="s">
        <v>94</v>
      </c>
      <c r="S64" s="53">
        <f>+(S65*T64)</f>
        <v>2.0408163265306121E-2</v>
      </c>
      <c r="T64" s="68">
        <f t="shared" si="1"/>
        <v>1</v>
      </c>
      <c r="U64" s="45"/>
      <c r="V64" s="45"/>
      <c r="W64" s="45"/>
      <c r="X64" s="45"/>
      <c r="Y64" s="45"/>
      <c r="Z64" s="45"/>
      <c r="AA64" s="45"/>
      <c r="AB64" s="45"/>
      <c r="AC64" s="45"/>
      <c r="AD64" s="45"/>
      <c r="AE64" s="45"/>
      <c r="AF64" s="45"/>
      <c r="AG64" s="45">
        <v>1</v>
      </c>
      <c r="AH64" s="581"/>
      <c r="AI64" s="583"/>
      <c r="AJ64" s="578"/>
      <c r="AK64" s="578" t="s">
        <v>372</v>
      </c>
    </row>
    <row r="65" spans="1:37" ht="37.4" customHeight="1" thickBot="1" x14ac:dyDescent="0.4">
      <c r="A65" s="279"/>
      <c r="B65" s="353"/>
      <c r="C65" s="353"/>
      <c r="D65" s="353"/>
      <c r="E65" s="353"/>
      <c r="F65" s="275"/>
      <c r="G65" s="353"/>
      <c r="H65" s="594"/>
      <c r="I65" s="590"/>
      <c r="J65" s="588"/>
      <c r="K65" s="588"/>
      <c r="L65" s="588"/>
      <c r="M65" s="588"/>
      <c r="N65" s="588"/>
      <c r="O65" s="588"/>
      <c r="P65" s="577"/>
      <c r="Q65" s="577"/>
      <c r="R65" s="62" t="s">
        <v>99</v>
      </c>
      <c r="S65" s="52">
        <f>100%/49</f>
        <v>2.0408163265306121E-2</v>
      </c>
      <c r="T65" s="68">
        <f t="shared" si="1"/>
        <v>1</v>
      </c>
      <c r="U65" s="42"/>
      <c r="V65" s="42"/>
      <c r="W65" s="42"/>
      <c r="X65" s="42"/>
      <c r="Y65" s="42"/>
      <c r="Z65" s="42"/>
      <c r="AA65" s="42"/>
      <c r="AB65" s="42"/>
      <c r="AC65" s="42"/>
      <c r="AD65" s="42"/>
      <c r="AE65" s="42"/>
      <c r="AF65" s="42"/>
      <c r="AG65" s="42">
        <v>1</v>
      </c>
      <c r="AH65" s="582"/>
      <c r="AI65" s="584"/>
      <c r="AJ65" s="579"/>
      <c r="AK65" s="579"/>
    </row>
    <row r="66" spans="1:37" ht="37.4" customHeight="1" thickBot="1" x14ac:dyDescent="0.4">
      <c r="A66" s="278">
        <v>27</v>
      </c>
      <c r="B66" s="278" t="s">
        <v>688</v>
      </c>
      <c r="C66" s="278" t="s">
        <v>694</v>
      </c>
      <c r="D66" s="278" t="s">
        <v>121</v>
      </c>
      <c r="E66" s="278" t="s">
        <v>122</v>
      </c>
      <c r="F66" s="275" t="s">
        <v>88</v>
      </c>
      <c r="G66" s="353"/>
      <c r="H66" s="594"/>
      <c r="I66" s="589" t="s">
        <v>902</v>
      </c>
      <c r="J66" s="587" t="s">
        <v>325</v>
      </c>
      <c r="K66" s="587" t="s">
        <v>910</v>
      </c>
      <c r="L66" s="587" t="s">
        <v>882</v>
      </c>
      <c r="M66" s="587" t="s">
        <v>692</v>
      </c>
      <c r="N66" s="587" t="s">
        <v>884</v>
      </c>
      <c r="O66" s="587" t="s">
        <v>692</v>
      </c>
      <c r="P66" s="576">
        <v>45383</v>
      </c>
      <c r="Q66" s="576">
        <v>45534</v>
      </c>
      <c r="R66" s="62" t="s">
        <v>94</v>
      </c>
      <c r="S66" s="53">
        <f>+(S67*T66)</f>
        <v>2.0408163265306121E-2</v>
      </c>
      <c r="T66" s="68">
        <f t="shared" si="1"/>
        <v>1</v>
      </c>
      <c r="U66" s="45"/>
      <c r="V66" s="45"/>
      <c r="W66" s="45"/>
      <c r="X66" s="45"/>
      <c r="Y66" s="45"/>
      <c r="Z66" s="45"/>
      <c r="AA66" s="45">
        <v>0.5</v>
      </c>
      <c r="AB66" s="45"/>
      <c r="AC66" s="45"/>
      <c r="AD66" s="45"/>
      <c r="AE66" s="45"/>
      <c r="AF66" s="45"/>
      <c r="AG66" s="45">
        <v>0.5</v>
      </c>
      <c r="AH66" s="581"/>
      <c r="AI66" s="583" t="s">
        <v>374</v>
      </c>
      <c r="AJ66" s="578"/>
      <c r="AK66" s="578" t="s">
        <v>375</v>
      </c>
    </row>
    <row r="67" spans="1:37" ht="37.4" customHeight="1" thickBot="1" x14ac:dyDescent="0.4">
      <c r="A67" s="279"/>
      <c r="B67" s="353"/>
      <c r="C67" s="353"/>
      <c r="D67" s="353"/>
      <c r="E67" s="353"/>
      <c r="F67" s="275"/>
      <c r="G67" s="353"/>
      <c r="H67" s="594"/>
      <c r="I67" s="590"/>
      <c r="J67" s="588"/>
      <c r="K67" s="588"/>
      <c r="L67" s="588"/>
      <c r="M67" s="588"/>
      <c r="N67" s="588"/>
      <c r="O67" s="588"/>
      <c r="P67" s="577"/>
      <c r="Q67" s="577"/>
      <c r="R67" s="62" t="s">
        <v>99</v>
      </c>
      <c r="S67" s="52">
        <f>100%/49</f>
        <v>2.0408163265306121E-2</v>
      </c>
      <c r="T67" s="68">
        <f t="shared" si="1"/>
        <v>1</v>
      </c>
      <c r="U67" s="42"/>
      <c r="V67" s="42"/>
      <c r="W67" s="42"/>
      <c r="X67" s="42"/>
      <c r="Y67" s="42"/>
      <c r="Z67" s="42"/>
      <c r="AA67" s="42">
        <v>0.5</v>
      </c>
      <c r="AB67" s="42"/>
      <c r="AC67" s="42"/>
      <c r="AD67" s="42"/>
      <c r="AE67" s="42"/>
      <c r="AF67" s="42"/>
      <c r="AG67" s="42">
        <v>0.5</v>
      </c>
      <c r="AH67" s="582"/>
      <c r="AI67" s="584"/>
      <c r="AJ67" s="579"/>
      <c r="AK67" s="579"/>
    </row>
    <row r="68" spans="1:37" ht="37.4" customHeight="1" thickBot="1" x14ac:dyDescent="0.4">
      <c r="A68" s="278">
        <v>28</v>
      </c>
      <c r="B68" s="278" t="s">
        <v>688</v>
      </c>
      <c r="C68" s="278" t="s">
        <v>694</v>
      </c>
      <c r="D68" s="278" t="s">
        <v>121</v>
      </c>
      <c r="E68" s="278" t="s">
        <v>122</v>
      </c>
      <c r="F68" s="275" t="s">
        <v>88</v>
      </c>
      <c r="G68" s="353"/>
      <c r="H68" s="594"/>
      <c r="I68" s="589" t="s">
        <v>902</v>
      </c>
      <c r="J68" s="587" t="s">
        <v>911</v>
      </c>
      <c r="K68" s="587" t="s">
        <v>912</v>
      </c>
      <c r="L68" s="587" t="s">
        <v>882</v>
      </c>
      <c r="M68" s="587" t="s">
        <v>899</v>
      </c>
      <c r="N68" s="587" t="s">
        <v>884</v>
      </c>
      <c r="O68" s="587" t="s">
        <v>899</v>
      </c>
      <c r="P68" s="576">
        <v>45323</v>
      </c>
      <c r="Q68" s="576">
        <v>45626</v>
      </c>
      <c r="R68" s="62" t="s">
        <v>94</v>
      </c>
      <c r="S68" s="53">
        <f>+(S69*T68)</f>
        <v>2.0408163265306121E-2</v>
      </c>
      <c r="T68" s="68">
        <f t="shared" si="1"/>
        <v>1</v>
      </c>
      <c r="U68" s="45"/>
      <c r="V68" s="45"/>
      <c r="W68" s="45"/>
      <c r="X68" s="45">
        <v>0.25</v>
      </c>
      <c r="Y68" s="45"/>
      <c r="Z68" s="45"/>
      <c r="AA68" s="45">
        <v>0.25</v>
      </c>
      <c r="AB68" s="45"/>
      <c r="AC68" s="45"/>
      <c r="AD68" s="45">
        <v>0.25</v>
      </c>
      <c r="AE68" s="45"/>
      <c r="AF68" s="45"/>
      <c r="AG68" s="45">
        <v>0.25</v>
      </c>
      <c r="AH68" s="581" t="s">
        <v>377</v>
      </c>
      <c r="AI68" s="581" t="s">
        <v>377</v>
      </c>
      <c r="AJ68" s="581" t="s">
        <v>377</v>
      </c>
      <c r="AK68" s="581" t="s">
        <v>377</v>
      </c>
    </row>
    <row r="69" spans="1:37" ht="37.4" customHeight="1" thickBot="1" x14ac:dyDescent="0.4">
      <c r="A69" s="279"/>
      <c r="B69" s="353"/>
      <c r="C69" s="353"/>
      <c r="D69" s="353"/>
      <c r="E69" s="353"/>
      <c r="F69" s="275"/>
      <c r="G69" s="353"/>
      <c r="H69" s="594"/>
      <c r="I69" s="590"/>
      <c r="J69" s="588"/>
      <c r="K69" s="588"/>
      <c r="L69" s="588"/>
      <c r="M69" s="588"/>
      <c r="N69" s="588"/>
      <c r="O69" s="588"/>
      <c r="P69" s="577"/>
      <c r="Q69" s="577"/>
      <c r="R69" s="62" t="s">
        <v>99</v>
      </c>
      <c r="S69" s="52">
        <f>100%/49</f>
        <v>2.0408163265306121E-2</v>
      </c>
      <c r="T69" s="68">
        <f t="shared" si="1"/>
        <v>1</v>
      </c>
      <c r="U69" s="42"/>
      <c r="V69" s="42"/>
      <c r="W69" s="42"/>
      <c r="X69" s="42">
        <v>0.25</v>
      </c>
      <c r="Y69" s="42"/>
      <c r="Z69" s="42"/>
      <c r="AA69" s="42">
        <v>0.25</v>
      </c>
      <c r="AB69" s="42"/>
      <c r="AC69" s="42"/>
      <c r="AD69" s="42">
        <v>0.25</v>
      </c>
      <c r="AE69" s="42"/>
      <c r="AF69" s="42"/>
      <c r="AG69" s="42">
        <v>0.25</v>
      </c>
      <c r="AH69" s="582"/>
      <c r="AI69" s="582"/>
      <c r="AJ69" s="582"/>
      <c r="AK69" s="582"/>
    </row>
    <row r="70" spans="1:37" ht="37.4" customHeight="1" thickBot="1" x14ac:dyDescent="0.4">
      <c r="A70" s="278">
        <v>29</v>
      </c>
      <c r="B70" s="278" t="s">
        <v>688</v>
      </c>
      <c r="C70" s="278" t="s">
        <v>694</v>
      </c>
      <c r="D70" s="278" t="s">
        <v>121</v>
      </c>
      <c r="E70" s="278" t="s">
        <v>122</v>
      </c>
      <c r="F70" s="275" t="s">
        <v>88</v>
      </c>
      <c r="G70" s="353"/>
      <c r="H70" s="594"/>
      <c r="I70" s="589" t="s">
        <v>902</v>
      </c>
      <c r="J70" s="587" t="s">
        <v>327</v>
      </c>
      <c r="K70" s="587" t="s">
        <v>913</v>
      </c>
      <c r="L70" s="587" t="s">
        <v>882</v>
      </c>
      <c r="M70" s="587" t="s">
        <v>883</v>
      </c>
      <c r="N70" s="587" t="s">
        <v>884</v>
      </c>
      <c r="O70" s="587" t="s">
        <v>883</v>
      </c>
      <c r="P70" s="576">
        <v>45352</v>
      </c>
      <c r="Q70" s="576">
        <v>45442</v>
      </c>
      <c r="R70" s="62" t="s">
        <v>94</v>
      </c>
      <c r="S70" s="53">
        <f>+(S71*T70)</f>
        <v>1.9999999999999997E-2</v>
      </c>
      <c r="T70" s="68">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581" t="s">
        <v>379</v>
      </c>
      <c r="AI70" s="581" t="s">
        <v>380</v>
      </c>
      <c r="AJ70" s="581" t="s">
        <v>380</v>
      </c>
      <c r="AK70" s="581" t="s">
        <v>380</v>
      </c>
    </row>
    <row r="71" spans="1:37" ht="37.4" customHeight="1" thickBot="1" x14ac:dyDescent="0.4">
      <c r="A71" s="279"/>
      <c r="B71" s="353"/>
      <c r="C71" s="353"/>
      <c r="D71" s="353"/>
      <c r="E71" s="353"/>
      <c r="F71" s="275"/>
      <c r="G71" s="353"/>
      <c r="H71" s="594"/>
      <c r="I71" s="590"/>
      <c r="J71" s="588"/>
      <c r="K71" s="588"/>
      <c r="L71" s="588"/>
      <c r="M71" s="588"/>
      <c r="N71" s="588"/>
      <c r="O71" s="588"/>
      <c r="P71" s="577"/>
      <c r="Q71" s="577"/>
      <c r="R71" s="62" t="s">
        <v>99</v>
      </c>
      <c r="S71" s="52">
        <f>100%/49</f>
        <v>2.0408163265306121E-2</v>
      </c>
      <c r="T71" s="68">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582"/>
      <c r="AI71" s="582"/>
      <c r="AJ71" s="582"/>
      <c r="AK71" s="582"/>
    </row>
    <row r="72" spans="1:37" ht="37.4" customHeight="1" thickBot="1" x14ac:dyDescent="0.4">
      <c r="A72" s="278">
        <v>30</v>
      </c>
      <c r="B72" s="278" t="s">
        <v>688</v>
      </c>
      <c r="C72" s="278" t="s">
        <v>694</v>
      </c>
      <c r="D72" s="278" t="s">
        <v>121</v>
      </c>
      <c r="E72" s="278" t="s">
        <v>122</v>
      </c>
      <c r="F72" s="275" t="s">
        <v>88</v>
      </c>
      <c r="G72" s="353"/>
      <c r="H72" s="594"/>
      <c r="I72" s="589" t="s">
        <v>902</v>
      </c>
      <c r="J72" s="587" t="s">
        <v>327</v>
      </c>
      <c r="K72" s="587" t="s">
        <v>914</v>
      </c>
      <c r="L72" s="587" t="s">
        <v>882</v>
      </c>
      <c r="M72" s="587" t="s">
        <v>698</v>
      </c>
      <c r="N72" s="587" t="s">
        <v>884</v>
      </c>
      <c r="O72" s="587" t="s">
        <v>698</v>
      </c>
      <c r="P72" s="576">
        <v>45352</v>
      </c>
      <c r="Q72" s="576">
        <v>45565</v>
      </c>
      <c r="R72" s="62" t="s">
        <v>94</v>
      </c>
      <c r="S72" s="53">
        <f>+(S73*T72)</f>
        <v>2.0408163265306121E-2</v>
      </c>
      <c r="T72" s="68">
        <f t="shared" si="1"/>
        <v>1</v>
      </c>
      <c r="U72" s="45"/>
      <c r="V72" s="45"/>
      <c r="W72" s="45"/>
      <c r="X72" s="45">
        <v>0.25</v>
      </c>
      <c r="Y72" s="45"/>
      <c r="Z72" s="45"/>
      <c r="AA72" s="45">
        <v>0.25</v>
      </c>
      <c r="AB72" s="45"/>
      <c r="AC72" s="45"/>
      <c r="AD72" s="45">
        <v>0.25</v>
      </c>
      <c r="AE72" s="45"/>
      <c r="AF72" s="45"/>
      <c r="AG72" s="45">
        <v>0.25</v>
      </c>
      <c r="AH72" s="581" t="s">
        <v>381</v>
      </c>
      <c r="AI72" s="581" t="s">
        <v>382</v>
      </c>
      <c r="AJ72" s="581" t="s">
        <v>383</v>
      </c>
      <c r="AK72" s="578" t="s">
        <v>384</v>
      </c>
    </row>
    <row r="73" spans="1:37" ht="37.4" customHeight="1" thickBot="1" x14ac:dyDescent="0.4">
      <c r="A73" s="279"/>
      <c r="B73" s="353"/>
      <c r="C73" s="353"/>
      <c r="D73" s="353"/>
      <c r="E73" s="353"/>
      <c r="F73" s="275"/>
      <c r="G73" s="353"/>
      <c r="H73" s="594"/>
      <c r="I73" s="590"/>
      <c r="J73" s="588"/>
      <c r="K73" s="588"/>
      <c r="L73" s="588"/>
      <c r="M73" s="588"/>
      <c r="N73" s="588"/>
      <c r="O73" s="588"/>
      <c r="P73" s="577"/>
      <c r="Q73" s="577"/>
      <c r="R73" s="62" t="s">
        <v>99</v>
      </c>
      <c r="S73" s="52">
        <f>100%/49</f>
        <v>2.0408163265306121E-2</v>
      </c>
      <c r="T73" s="68">
        <f t="shared" si="1"/>
        <v>1</v>
      </c>
      <c r="U73" s="42"/>
      <c r="V73" s="42"/>
      <c r="W73" s="42"/>
      <c r="X73" s="42">
        <v>0.25</v>
      </c>
      <c r="Y73" s="42"/>
      <c r="Z73" s="42"/>
      <c r="AA73" s="42">
        <v>0.25</v>
      </c>
      <c r="AB73" s="42"/>
      <c r="AC73" s="42"/>
      <c r="AD73" s="42">
        <v>0.25</v>
      </c>
      <c r="AE73" s="42"/>
      <c r="AF73" s="42"/>
      <c r="AG73" s="42">
        <v>0.25</v>
      </c>
      <c r="AH73" s="582"/>
      <c r="AI73" s="582"/>
      <c r="AJ73" s="582"/>
      <c r="AK73" s="579"/>
    </row>
    <row r="74" spans="1:37" ht="37.4" customHeight="1" thickBot="1" x14ac:dyDescent="0.4">
      <c r="A74" s="278">
        <v>31</v>
      </c>
      <c r="B74" s="278" t="s">
        <v>688</v>
      </c>
      <c r="C74" s="278" t="s">
        <v>694</v>
      </c>
      <c r="D74" s="278" t="s">
        <v>121</v>
      </c>
      <c r="E74" s="278" t="s">
        <v>122</v>
      </c>
      <c r="F74" s="275" t="s">
        <v>88</v>
      </c>
      <c r="G74" s="353"/>
      <c r="H74" s="594"/>
      <c r="I74" s="589" t="s">
        <v>902</v>
      </c>
      <c r="J74" s="587" t="s">
        <v>327</v>
      </c>
      <c r="K74" s="587" t="s">
        <v>915</v>
      </c>
      <c r="L74" s="587" t="s">
        <v>882</v>
      </c>
      <c r="M74" s="587" t="s">
        <v>883</v>
      </c>
      <c r="N74" s="587" t="s">
        <v>884</v>
      </c>
      <c r="O74" s="587" t="s">
        <v>883</v>
      </c>
      <c r="P74" s="576">
        <v>45536</v>
      </c>
      <c r="Q74" s="576">
        <v>45565</v>
      </c>
      <c r="R74" s="62" t="s">
        <v>94</v>
      </c>
      <c r="S74" s="53">
        <f>+(S75*T74)</f>
        <v>1.9999999999999997E-2</v>
      </c>
      <c r="T74" s="68">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581" t="s">
        <v>386</v>
      </c>
      <c r="AI74" s="583" t="s">
        <v>387</v>
      </c>
      <c r="AJ74" s="578" t="s">
        <v>388</v>
      </c>
      <c r="AK74" s="578" t="s">
        <v>389</v>
      </c>
    </row>
    <row r="75" spans="1:37" ht="37.4" customHeight="1" thickBot="1" x14ac:dyDescent="0.4">
      <c r="A75" s="279"/>
      <c r="B75" s="353"/>
      <c r="C75" s="353"/>
      <c r="D75" s="353"/>
      <c r="E75" s="353"/>
      <c r="F75" s="275"/>
      <c r="G75" s="353"/>
      <c r="H75" s="594"/>
      <c r="I75" s="590"/>
      <c r="J75" s="588"/>
      <c r="K75" s="588"/>
      <c r="L75" s="588"/>
      <c r="M75" s="588"/>
      <c r="N75" s="588"/>
      <c r="O75" s="588"/>
      <c r="P75" s="577"/>
      <c r="Q75" s="577"/>
      <c r="R75" s="62" t="s">
        <v>99</v>
      </c>
      <c r="S75" s="52">
        <f>100%/49</f>
        <v>2.0408163265306121E-2</v>
      </c>
      <c r="T75" s="68">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582"/>
      <c r="AI75" s="584"/>
      <c r="AJ75" s="579"/>
      <c r="AK75" s="579"/>
    </row>
    <row r="76" spans="1:37" ht="37.4" customHeight="1" thickBot="1" x14ac:dyDescent="0.4">
      <c r="A76" s="278">
        <v>32</v>
      </c>
      <c r="B76" s="278" t="s">
        <v>688</v>
      </c>
      <c r="C76" s="278" t="s">
        <v>694</v>
      </c>
      <c r="D76" s="278" t="s">
        <v>121</v>
      </c>
      <c r="E76" s="278" t="s">
        <v>122</v>
      </c>
      <c r="F76" s="275" t="s">
        <v>88</v>
      </c>
      <c r="G76" s="353"/>
      <c r="H76" s="594"/>
      <c r="I76" s="589" t="s">
        <v>902</v>
      </c>
      <c r="J76" s="587" t="s">
        <v>329</v>
      </c>
      <c r="K76" s="587" t="s">
        <v>916</v>
      </c>
      <c r="L76" s="587" t="s">
        <v>882</v>
      </c>
      <c r="M76" s="587" t="s">
        <v>883</v>
      </c>
      <c r="N76" s="587" t="s">
        <v>884</v>
      </c>
      <c r="O76" s="587" t="s">
        <v>883</v>
      </c>
      <c r="P76" s="576">
        <v>45413</v>
      </c>
      <c r="Q76" s="576">
        <v>45473</v>
      </c>
      <c r="R76" s="62" t="s">
        <v>94</v>
      </c>
      <c r="S76" s="53">
        <f>+(S77*T76)</f>
        <v>2.0408163265306121E-2</v>
      </c>
      <c r="T76" s="68">
        <f t="shared" ref="T76:T107" si="2">SUM(U76:AG76)</f>
        <v>1</v>
      </c>
      <c r="U76" s="45"/>
      <c r="V76" s="45"/>
      <c r="W76" s="45"/>
      <c r="X76" s="45"/>
      <c r="Y76" s="45"/>
      <c r="Z76" s="45"/>
      <c r="AA76" s="45"/>
      <c r="AB76" s="45"/>
      <c r="AC76" s="45"/>
      <c r="AD76" s="45"/>
      <c r="AE76" s="45"/>
      <c r="AF76" s="45"/>
      <c r="AG76" s="45">
        <v>1</v>
      </c>
      <c r="AH76" s="581"/>
      <c r="AI76" s="583"/>
      <c r="AJ76" s="578"/>
      <c r="AK76" s="578" t="s">
        <v>390</v>
      </c>
    </row>
    <row r="77" spans="1:37" ht="37.4" customHeight="1" thickBot="1" x14ac:dyDescent="0.4">
      <c r="A77" s="279"/>
      <c r="B77" s="353"/>
      <c r="C77" s="353"/>
      <c r="D77" s="353"/>
      <c r="E77" s="353"/>
      <c r="F77" s="275"/>
      <c r="G77" s="353"/>
      <c r="H77" s="594"/>
      <c r="I77" s="590"/>
      <c r="J77" s="588"/>
      <c r="K77" s="588"/>
      <c r="L77" s="588"/>
      <c r="M77" s="588"/>
      <c r="N77" s="588"/>
      <c r="O77" s="588"/>
      <c r="P77" s="577"/>
      <c r="Q77" s="577"/>
      <c r="R77" s="62" t="s">
        <v>99</v>
      </c>
      <c r="S77" s="52">
        <f>100%/49</f>
        <v>2.0408163265306121E-2</v>
      </c>
      <c r="T77" s="68">
        <f t="shared" si="2"/>
        <v>1</v>
      </c>
      <c r="U77" s="42"/>
      <c r="V77" s="42"/>
      <c r="W77" s="42"/>
      <c r="X77" s="42"/>
      <c r="Y77" s="42"/>
      <c r="Z77" s="42"/>
      <c r="AA77" s="42"/>
      <c r="AB77" s="42"/>
      <c r="AC77" s="42"/>
      <c r="AD77" s="42"/>
      <c r="AE77" s="42"/>
      <c r="AF77" s="42"/>
      <c r="AG77" s="42">
        <v>1</v>
      </c>
      <c r="AH77" s="582"/>
      <c r="AI77" s="584"/>
      <c r="AJ77" s="579"/>
      <c r="AK77" s="579"/>
    </row>
    <row r="78" spans="1:37" ht="37.4" customHeight="1" thickBot="1" x14ac:dyDescent="0.4">
      <c r="A78" s="278">
        <v>33</v>
      </c>
      <c r="B78" s="278" t="s">
        <v>688</v>
      </c>
      <c r="C78" s="278" t="s">
        <v>694</v>
      </c>
      <c r="D78" s="278" t="s">
        <v>121</v>
      </c>
      <c r="E78" s="278" t="s">
        <v>122</v>
      </c>
      <c r="F78" s="275" t="s">
        <v>88</v>
      </c>
      <c r="G78" s="353"/>
      <c r="H78" s="594"/>
      <c r="I78" s="589" t="s">
        <v>902</v>
      </c>
      <c r="J78" s="587" t="s">
        <v>373</v>
      </c>
      <c r="K78" s="587" t="s">
        <v>376</v>
      </c>
      <c r="L78" s="587" t="s">
        <v>882</v>
      </c>
      <c r="M78" s="587" t="s">
        <v>692</v>
      </c>
      <c r="N78" s="587" t="s">
        <v>884</v>
      </c>
      <c r="O78" s="587" t="s">
        <v>692</v>
      </c>
      <c r="P78" s="576">
        <v>45292</v>
      </c>
      <c r="Q78" s="576">
        <v>45656</v>
      </c>
      <c r="R78" s="62" t="s">
        <v>94</v>
      </c>
      <c r="S78" s="53">
        <f>+(S79*T78)</f>
        <v>2.0408163265306121E-2</v>
      </c>
      <c r="T78" s="68">
        <f t="shared" si="2"/>
        <v>1</v>
      </c>
      <c r="U78" s="45"/>
      <c r="V78" s="45"/>
      <c r="W78" s="45"/>
      <c r="X78" s="45"/>
      <c r="Y78" s="45"/>
      <c r="Z78" s="45"/>
      <c r="AA78" s="45"/>
      <c r="AB78" s="45"/>
      <c r="AC78" s="45"/>
      <c r="AD78" s="45"/>
      <c r="AE78" s="45"/>
      <c r="AF78" s="45"/>
      <c r="AG78" s="45">
        <v>1</v>
      </c>
      <c r="AH78" s="581"/>
      <c r="AI78" s="583"/>
      <c r="AJ78" s="578"/>
      <c r="AK78" s="578" t="s">
        <v>391</v>
      </c>
    </row>
    <row r="79" spans="1:37" ht="37.4" customHeight="1" thickBot="1" x14ac:dyDescent="0.4">
      <c r="A79" s="279"/>
      <c r="B79" s="353"/>
      <c r="C79" s="353"/>
      <c r="D79" s="353"/>
      <c r="E79" s="353"/>
      <c r="F79" s="275"/>
      <c r="G79" s="353"/>
      <c r="H79" s="594"/>
      <c r="I79" s="590"/>
      <c r="J79" s="588"/>
      <c r="K79" s="588"/>
      <c r="L79" s="588"/>
      <c r="M79" s="588"/>
      <c r="N79" s="588"/>
      <c r="O79" s="588"/>
      <c r="P79" s="577"/>
      <c r="Q79" s="577"/>
      <c r="R79" s="62" t="s">
        <v>99</v>
      </c>
      <c r="S79" s="52">
        <f>100%/49</f>
        <v>2.0408163265306121E-2</v>
      </c>
      <c r="T79" s="68">
        <f t="shared" si="2"/>
        <v>1</v>
      </c>
      <c r="U79" s="42"/>
      <c r="V79" s="42"/>
      <c r="W79" s="42"/>
      <c r="X79" s="42"/>
      <c r="Y79" s="42"/>
      <c r="Z79" s="42"/>
      <c r="AA79" s="42"/>
      <c r="AB79" s="42"/>
      <c r="AC79" s="42"/>
      <c r="AD79" s="42"/>
      <c r="AE79" s="42"/>
      <c r="AF79" s="42"/>
      <c r="AG79" s="42">
        <v>1</v>
      </c>
      <c r="AH79" s="582"/>
      <c r="AI79" s="584"/>
      <c r="AJ79" s="579"/>
      <c r="AK79" s="579"/>
    </row>
    <row r="80" spans="1:37" ht="37.4" customHeight="1" thickBot="1" x14ac:dyDescent="0.4">
      <c r="A80" s="278">
        <v>34</v>
      </c>
      <c r="B80" s="278" t="s">
        <v>688</v>
      </c>
      <c r="C80" s="278" t="s">
        <v>694</v>
      </c>
      <c r="D80" s="278" t="s">
        <v>121</v>
      </c>
      <c r="E80" s="278" t="s">
        <v>122</v>
      </c>
      <c r="F80" s="275" t="s">
        <v>88</v>
      </c>
      <c r="G80" s="353"/>
      <c r="H80" s="594"/>
      <c r="I80" s="589" t="s">
        <v>902</v>
      </c>
      <c r="J80" s="587" t="s">
        <v>373</v>
      </c>
      <c r="K80" s="587" t="s">
        <v>917</v>
      </c>
      <c r="L80" s="587" t="s">
        <v>882</v>
      </c>
      <c r="M80" s="587" t="s">
        <v>692</v>
      </c>
      <c r="N80" s="587" t="s">
        <v>884</v>
      </c>
      <c r="O80" s="587" t="s">
        <v>692</v>
      </c>
      <c r="P80" s="576">
        <v>45292</v>
      </c>
      <c r="Q80" s="576">
        <v>45656</v>
      </c>
      <c r="R80" s="62" t="s">
        <v>94</v>
      </c>
      <c r="S80" s="53">
        <f>+(S81*T80)</f>
        <v>1.9999999999999997E-2</v>
      </c>
      <c r="T80" s="68">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581" t="s">
        <v>393</v>
      </c>
      <c r="AI80" s="581" t="s">
        <v>393</v>
      </c>
      <c r="AJ80" s="581" t="s">
        <v>393</v>
      </c>
      <c r="AK80" s="581" t="s">
        <v>393</v>
      </c>
    </row>
    <row r="81" spans="1:37" ht="37.4" customHeight="1" thickBot="1" x14ac:dyDescent="0.4">
      <c r="A81" s="279"/>
      <c r="B81" s="353"/>
      <c r="C81" s="353"/>
      <c r="D81" s="353"/>
      <c r="E81" s="353"/>
      <c r="F81" s="275"/>
      <c r="G81" s="353"/>
      <c r="H81" s="594"/>
      <c r="I81" s="590"/>
      <c r="J81" s="588"/>
      <c r="K81" s="588"/>
      <c r="L81" s="588"/>
      <c r="M81" s="588"/>
      <c r="N81" s="588"/>
      <c r="O81" s="588"/>
      <c r="P81" s="577"/>
      <c r="Q81" s="577"/>
      <c r="R81" s="62" t="s">
        <v>99</v>
      </c>
      <c r="S81" s="52">
        <f>100%/49</f>
        <v>2.0408163265306121E-2</v>
      </c>
      <c r="T81" s="68">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582"/>
      <c r="AI81" s="582"/>
      <c r="AJ81" s="582"/>
      <c r="AK81" s="582"/>
    </row>
    <row r="82" spans="1:37" ht="37.4" customHeight="1" thickBot="1" x14ac:dyDescent="0.4">
      <c r="A82" s="278">
        <v>35</v>
      </c>
      <c r="B82" s="278" t="s">
        <v>688</v>
      </c>
      <c r="C82" s="278" t="s">
        <v>694</v>
      </c>
      <c r="D82" s="278" t="s">
        <v>121</v>
      </c>
      <c r="E82" s="278" t="s">
        <v>122</v>
      </c>
      <c r="F82" s="275" t="s">
        <v>88</v>
      </c>
      <c r="G82" s="353"/>
      <c r="H82" s="594"/>
      <c r="I82" s="589" t="s">
        <v>902</v>
      </c>
      <c r="J82" s="587" t="s">
        <v>378</v>
      </c>
      <c r="K82" s="587" t="s">
        <v>918</v>
      </c>
      <c r="L82" s="587" t="s">
        <v>882</v>
      </c>
      <c r="M82" s="587" t="s">
        <v>692</v>
      </c>
      <c r="N82" s="587" t="s">
        <v>884</v>
      </c>
      <c r="O82" s="587" t="s">
        <v>692</v>
      </c>
      <c r="P82" s="576">
        <v>45292</v>
      </c>
      <c r="Q82" s="576">
        <v>45656</v>
      </c>
      <c r="R82" s="62" t="s">
        <v>94</v>
      </c>
      <c r="S82" s="53">
        <f>+(S83*T82)</f>
        <v>2.0408163265306121E-2</v>
      </c>
      <c r="T82" s="68">
        <f t="shared" si="2"/>
        <v>1</v>
      </c>
      <c r="U82" s="45"/>
      <c r="V82" s="45"/>
      <c r="W82" s="45"/>
      <c r="X82" s="45"/>
      <c r="Y82" s="45"/>
      <c r="Z82" s="45"/>
      <c r="AA82" s="45"/>
      <c r="AB82" s="45"/>
      <c r="AC82" s="45"/>
      <c r="AD82" s="45"/>
      <c r="AE82" s="45"/>
      <c r="AF82" s="45"/>
      <c r="AG82" s="45">
        <v>1</v>
      </c>
      <c r="AH82" s="581"/>
      <c r="AI82" s="583"/>
      <c r="AJ82" s="578"/>
      <c r="AK82" s="578" t="s">
        <v>395</v>
      </c>
    </row>
    <row r="83" spans="1:37" ht="37.4" customHeight="1" thickBot="1" x14ac:dyDescent="0.4">
      <c r="A83" s="279"/>
      <c r="B83" s="353"/>
      <c r="C83" s="353"/>
      <c r="D83" s="353"/>
      <c r="E83" s="353"/>
      <c r="F83" s="275"/>
      <c r="G83" s="353"/>
      <c r="H83" s="594"/>
      <c r="I83" s="590"/>
      <c r="J83" s="588"/>
      <c r="K83" s="588"/>
      <c r="L83" s="588"/>
      <c r="M83" s="588"/>
      <c r="N83" s="588"/>
      <c r="O83" s="588"/>
      <c r="P83" s="577"/>
      <c r="Q83" s="577"/>
      <c r="R83" s="62" t="s">
        <v>99</v>
      </c>
      <c r="S83" s="52">
        <f>100%/49</f>
        <v>2.0408163265306121E-2</v>
      </c>
      <c r="T83" s="68">
        <f t="shared" si="2"/>
        <v>1</v>
      </c>
      <c r="U83" s="42"/>
      <c r="V83" s="42"/>
      <c r="W83" s="42"/>
      <c r="X83" s="42"/>
      <c r="Y83" s="42"/>
      <c r="Z83" s="42"/>
      <c r="AA83" s="42"/>
      <c r="AB83" s="42"/>
      <c r="AC83" s="42"/>
      <c r="AD83" s="42"/>
      <c r="AE83" s="42"/>
      <c r="AF83" s="42"/>
      <c r="AG83" s="42">
        <v>1</v>
      </c>
      <c r="AH83" s="582"/>
      <c r="AI83" s="584"/>
      <c r="AJ83" s="579"/>
      <c r="AK83" s="579"/>
    </row>
    <row r="84" spans="1:37" ht="37.4" customHeight="1" thickBot="1" x14ac:dyDescent="0.4">
      <c r="A84" s="278">
        <v>36</v>
      </c>
      <c r="B84" s="278" t="s">
        <v>688</v>
      </c>
      <c r="C84" s="278" t="s">
        <v>694</v>
      </c>
      <c r="D84" s="278" t="s">
        <v>121</v>
      </c>
      <c r="E84" s="278" t="s">
        <v>122</v>
      </c>
      <c r="F84" s="275" t="s">
        <v>88</v>
      </c>
      <c r="G84" s="353"/>
      <c r="H84" s="594"/>
      <c r="I84" s="589" t="s">
        <v>902</v>
      </c>
      <c r="J84" s="587" t="s">
        <v>378</v>
      </c>
      <c r="K84" s="587" t="s">
        <v>919</v>
      </c>
      <c r="L84" s="587" t="s">
        <v>882</v>
      </c>
      <c r="M84" s="587" t="s">
        <v>692</v>
      </c>
      <c r="N84" s="587" t="s">
        <v>884</v>
      </c>
      <c r="O84" s="587" t="s">
        <v>692</v>
      </c>
      <c r="P84" s="576">
        <v>45292</v>
      </c>
      <c r="Q84" s="576">
        <v>45656</v>
      </c>
      <c r="R84" s="62" t="s">
        <v>94</v>
      </c>
      <c r="S84" s="53">
        <f>+(S85*T84)</f>
        <v>2.0408163265306121E-2</v>
      </c>
      <c r="T84" s="68">
        <f t="shared" si="2"/>
        <v>1</v>
      </c>
      <c r="U84" s="45"/>
      <c r="V84" s="45"/>
      <c r="W84" s="45"/>
      <c r="X84" s="45"/>
      <c r="Y84" s="45"/>
      <c r="Z84" s="45"/>
      <c r="AA84" s="45">
        <v>0.5</v>
      </c>
      <c r="AB84" s="45"/>
      <c r="AC84" s="45"/>
      <c r="AD84" s="45"/>
      <c r="AE84" s="45"/>
      <c r="AF84" s="45"/>
      <c r="AG84" s="45">
        <v>0.5</v>
      </c>
      <c r="AH84" s="581"/>
      <c r="AI84" s="583" t="s">
        <v>398</v>
      </c>
      <c r="AJ84" s="578"/>
      <c r="AK84" s="578" t="s">
        <v>399</v>
      </c>
    </row>
    <row r="85" spans="1:37" ht="37.4" customHeight="1" thickBot="1" x14ac:dyDescent="0.4">
      <c r="A85" s="279"/>
      <c r="B85" s="353"/>
      <c r="C85" s="353"/>
      <c r="D85" s="353"/>
      <c r="E85" s="353"/>
      <c r="F85" s="275"/>
      <c r="G85" s="353"/>
      <c r="H85" s="594"/>
      <c r="I85" s="590"/>
      <c r="J85" s="588"/>
      <c r="K85" s="588"/>
      <c r="L85" s="588"/>
      <c r="M85" s="588"/>
      <c r="N85" s="588"/>
      <c r="O85" s="588"/>
      <c r="P85" s="577"/>
      <c r="Q85" s="577"/>
      <c r="R85" s="62" t="s">
        <v>99</v>
      </c>
      <c r="S85" s="52">
        <f>100%/49</f>
        <v>2.0408163265306121E-2</v>
      </c>
      <c r="T85" s="68">
        <f t="shared" si="2"/>
        <v>1</v>
      </c>
      <c r="U85" s="42"/>
      <c r="V85" s="42"/>
      <c r="W85" s="42"/>
      <c r="X85" s="42"/>
      <c r="Y85" s="42"/>
      <c r="Z85" s="42"/>
      <c r="AA85" s="42">
        <v>0.5</v>
      </c>
      <c r="AB85" s="42"/>
      <c r="AC85" s="42"/>
      <c r="AD85" s="42"/>
      <c r="AE85" s="42"/>
      <c r="AF85" s="42"/>
      <c r="AG85" s="42">
        <v>0.5</v>
      </c>
      <c r="AH85" s="582"/>
      <c r="AI85" s="584"/>
      <c r="AJ85" s="579"/>
      <c r="AK85" s="579"/>
    </row>
    <row r="86" spans="1:37" ht="37.4" customHeight="1" thickBot="1" x14ac:dyDescent="0.4">
      <c r="A86" s="278">
        <v>37</v>
      </c>
      <c r="B86" s="278" t="s">
        <v>688</v>
      </c>
      <c r="C86" s="278" t="s">
        <v>694</v>
      </c>
      <c r="D86" s="278" t="s">
        <v>121</v>
      </c>
      <c r="E86" s="278" t="s">
        <v>122</v>
      </c>
      <c r="F86" s="275" t="s">
        <v>88</v>
      </c>
      <c r="G86" s="353"/>
      <c r="H86" s="594"/>
      <c r="I86" s="589" t="s">
        <v>902</v>
      </c>
      <c r="J86" s="587" t="s">
        <v>420</v>
      </c>
      <c r="K86" s="587" t="s">
        <v>385</v>
      </c>
      <c r="L86" s="587" t="s">
        <v>882</v>
      </c>
      <c r="M86" s="587" t="s">
        <v>920</v>
      </c>
      <c r="N86" s="587" t="s">
        <v>884</v>
      </c>
      <c r="O86" s="587" t="s">
        <v>920</v>
      </c>
      <c r="P86" s="576">
        <v>45292</v>
      </c>
      <c r="Q86" s="576">
        <v>45656</v>
      </c>
      <c r="R86" s="62" t="s">
        <v>94</v>
      </c>
      <c r="S86" s="53">
        <f>+(S87*T86)</f>
        <v>2.0408163265306121E-2</v>
      </c>
      <c r="T86" s="68">
        <f t="shared" si="2"/>
        <v>1</v>
      </c>
      <c r="U86" s="45"/>
      <c r="V86" s="45"/>
      <c r="W86" s="45"/>
      <c r="X86" s="45"/>
      <c r="Y86" s="45"/>
      <c r="Z86" s="45"/>
      <c r="AA86" s="45">
        <v>0.5</v>
      </c>
      <c r="AB86" s="45"/>
      <c r="AC86" s="45"/>
      <c r="AD86" s="45"/>
      <c r="AE86" s="45"/>
      <c r="AF86" s="45"/>
      <c r="AG86" s="45">
        <v>0.5</v>
      </c>
      <c r="AH86" s="581"/>
      <c r="AI86" s="583" t="s">
        <v>401</v>
      </c>
      <c r="AJ86" s="578"/>
      <c r="AK86" s="583" t="s">
        <v>401</v>
      </c>
    </row>
    <row r="87" spans="1:37" ht="37.4" customHeight="1" thickBot="1" x14ac:dyDescent="0.4">
      <c r="A87" s="279"/>
      <c r="B87" s="353"/>
      <c r="C87" s="353"/>
      <c r="D87" s="353"/>
      <c r="E87" s="353"/>
      <c r="F87" s="275"/>
      <c r="G87" s="353"/>
      <c r="H87" s="594"/>
      <c r="I87" s="590"/>
      <c r="J87" s="588"/>
      <c r="K87" s="588"/>
      <c r="L87" s="588"/>
      <c r="M87" s="588"/>
      <c r="N87" s="588"/>
      <c r="O87" s="588"/>
      <c r="P87" s="577"/>
      <c r="Q87" s="577"/>
      <c r="R87" s="62" t="s">
        <v>99</v>
      </c>
      <c r="S87" s="52">
        <f>100%/49</f>
        <v>2.0408163265306121E-2</v>
      </c>
      <c r="T87" s="68">
        <f t="shared" si="2"/>
        <v>1</v>
      </c>
      <c r="U87" s="42"/>
      <c r="V87" s="42"/>
      <c r="W87" s="42"/>
      <c r="X87" s="42"/>
      <c r="Y87" s="42"/>
      <c r="Z87" s="42"/>
      <c r="AA87" s="42">
        <v>0.5</v>
      </c>
      <c r="AB87" s="42"/>
      <c r="AC87" s="42"/>
      <c r="AD87" s="42"/>
      <c r="AE87" s="42"/>
      <c r="AF87" s="42"/>
      <c r="AG87" s="42">
        <v>0.5</v>
      </c>
      <c r="AH87" s="582"/>
      <c r="AI87" s="584"/>
      <c r="AJ87" s="579"/>
      <c r="AK87" s="584"/>
    </row>
    <row r="88" spans="1:37" ht="37.4" customHeight="1" thickBot="1" x14ac:dyDescent="0.4">
      <c r="A88" s="278">
        <v>38</v>
      </c>
      <c r="B88" s="278" t="s">
        <v>688</v>
      </c>
      <c r="C88" s="278" t="s">
        <v>694</v>
      </c>
      <c r="D88" s="278" t="s">
        <v>121</v>
      </c>
      <c r="E88" s="278" t="s">
        <v>122</v>
      </c>
      <c r="F88" s="275" t="s">
        <v>88</v>
      </c>
      <c r="G88" s="353"/>
      <c r="H88" s="594"/>
      <c r="I88" s="589" t="s">
        <v>902</v>
      </c>
      <c r="J88" s="587" t="s">
        <v>420</v>
      </c>
      <c r="K88" s="587" t="s">
        <v>921</v>
      </c>
      <c r="L88" s="587" t="s">
        <v>882</v>
      </c>
      <c r="M88" s="587" t="s">
        <v>703</v>
      </c>
      <c r="N88" s="587" t="s">
        <v>884</v>
      </c>
      <c r="O88" s="587" t="s">
        <v>703</v>
      </c>
      <c r="P88" s="576">
        <v>45292</v>
      </c>
      <c r="Q88" s="576">
        <v>45656</v>
      </c>
      <c r="R88" s="62" t="s">
        <v>94</v>
      </c>
      <c r="S88" s="53">
        <f>+(S89*T88)</f>
        <v>2.0408163265306121E-2</v>
      </c>
      <c r="T88" s="68">
        <f t="shared" si="2"/>
        <v>1</v>
      </c>
      <c r="U88" s="45"/>
      <c r="V88" s="45"/>
      <c r="W88" s="45"/>
      <c r="X88" s="45"/>
      <c r="Y88" s="45"/>
      <c r="Z88" s="45"/>
      <c r="AA88" s="45">
        <v>0.5</v>
      </c>
      <c r="AB88" s="45"/>
      <c r="AC88" s="45"/>
      <c r="AD88" s="45"/>
      <c r="AE88" s="45"/>
      <c r="AF88" s="45"/>
      <c r="AG88" s="45">
        <v>0.5</v>
      </c>
      <c r="AH88" s="581"/>
      <c r="AI88" s="581" t="s">
        <v>403</v>
      </c>
      <c r="AJ88" s="578"/>
      <c r="AK88" s="581" t="s">
        <v>404</v>
      </c>
    </row>
    <row r="89" spans="1:37" ht="37.4" customHeight="1" thickBot="1" x14ac:dyDescent="0.4">
      <c r="A89" s="279"/>
      <c r="B89" s="353"/>
      <c r="C89" s="353"/>
      <c r="D89" s="353"/>
      <c r="E89" s="353"/>
      <c r="F89" s="275"/>
      <c r="G89" s="279"/>
      <c r="H89" s="595"/>
      <c r="I89" s="590"/>
      <c r="J89" s="588"/>
      <c r="K89" s="588"/>
      <c r="L89" s="588"/>
      <c r="M89" s="588"/>
      <c r="N89" s="588"/>
      <c r="O89" s="588"/>
      <c r="P89" s="577"/>
      <c r="Q89" s="577"/>
      <c r="R89" s="62" t="s">
        <v>99</v>
      </c>
      <c r="S89" s="52">
        <f>100%/49</f>
        <v>2.0408163265306121E-2</v>
      </c>
      <c r="T89" s="68">
        <f t="shared" si="2"/>
        <v>1</v>
      </c>
      <c r="U89" s="42"/>
      <c r="V89" s="42"/>
      <c r="W89" s="42"/>
      <c r="X89" s="42"/>
      <c r="Y89" s="42"/>
      <c r="Z89" s="42"/>
      <c r="AA89" s="42">
        <v>0.5</v>
      </c>
      <c r="AB89" s="42"/>
      <c r="AC89" s="42"/>
      <c r="AD89" s="42"/>
      <c r="AE89" s="42"/>
      <c r="AF89" s="42"/>
      <c r="AG89" s="42">
        <v>0.5</v>
      </c>
      <c r="AH89" s="582"/>
      <c r="AI89" s="582"/>
      <c r="AJ89" s="579"/>
      <c r="AK89" s="582"/>
    </row>
    <row r="90" spans="1:37" ht="37.4" customHeight="1" thickBot="1" x14ac:dyDescent="0.4">
      <c r="A90" s="278">
        <v>39</v>
      </c>
      <c r="B90" s="278" t="s">
        <v>688</v>
      </c>
      <c r="C90" s="278" t="s">
        <v>694</v>
      </c>
      <c r="D90" s="278" t="s">
        <v>121</v>
      </c>
      <c r="E90" s="278" t="s">
        <v>122</v>
      </c>
      <c r="F90" s="275" t="s">
        <v>88</v>
      </c>
      <c r="G90" s="278" t="s">
        <v>872</v>
      </c>
      <c r="H90" s="593" t="s">
        <v>877</v>
      </c>
      <c r="I90" s="589" t="s">
        <v>922</v>
      </c>
      <c r="J90" s="587" t="s">
        <v>333</v>
      </c>
      <c r="K90" s="587" t="s">
        <v>923</v>
      </c>
      <c r="L90" s="587" t="s">
        <v>882</v>
      </c>
      <c r="M90" s="587" t="s">
        <v>883</v>
      </c>
      <c r="N90" s="587" t="s">
        <v>884</v>
      </c>
      <c r="O90" s="587" t="s">
        <v>883</v>
      </c>
      <c r="P90" s="576">
        <v>45413</v>
      </c>
      <c r="Q90" s="576">
        <v>45534</v>
      </c>
      <c r="R90" s="62" t="s">
        <v>94</v>
      </c>
      <c r="S90" s="53">
        <f>+(S91*T90)</f>
        <v>2.0408163265306121E-2</v>
      </c>
      <c r="T90" s="68">
        <f t="shared" si="2"/>
        <v>1</v>
      </c>
      <c r="U90" s="45"/>
      <c r="V90" s="45"/>
      <c r="W90" s="45"/>
      <c r="X90" s="45">
        <v>0.25</v>
      </c>
      <c r="Y90" s="45"/>
      <c r="Z90" s="45"/>
      <c r="AA90" s="45">
        <v>0.25</v>
      </c>
      <c r="AB90" s="45"/>
      <c r="AC90" s="45"/>
      <c r="AD90" s="45">
        <v>0.25</v>
      </c>
      <c r="AE90" s="45"/>
      <c r="AF90" s="45"/>
      <c r="AG90" s="45">
        <v>0.25</v>
      </c>
      <c r="AH90" s="581" t="s">
        <v>407</v>
      </c>
      <c r="AI90" s="581" t="s">
        <v>407</v>
      </c>
      <c r="AJ90" s="581" t="s">
        <v>407</v>
      </c>
      <c r="AK90" s="581" t="s">
        <v>407</v>
      </c>
    </row>
    <row r="91" spans="1:37" ht="37.4" customHeight="1" thickBot="1" x14ac:dyDescent="0.4">
      <c r="A91" s="279"/>
      <c r="B91" s="353"/>
      <c r="C91" s="353"/>
      <c r="D91" s="353"/>
      <c r="E91" s="353"/>
      <c r="F91" s="275"/>
      <c r="G91" s="353"/>
      <c r="H91" s="594"/>
      <c r="I91" s="590"/>
      <c r="J91" s="588"/>
      <c r="K91" s="588"/>
      <c r="L91" s="588"/>
      <c r="M91" s="588"/>
      <c r="N91" s="588"/>
      <c r="O91" s="588"/>
      <c r="P91" s="577"/>
      <c r="Q91" s="577"/>
      <c r="R91" s="62" t="s">
        <v>99</v>
      </c>
      <c r="S91" s="52">
        <f>100%/49</f>
        <v>2.0408163265306121E-2</v>
      </c>
      <c r="T91" s="68">
        <f t="shared" si="2"/>
        <v>1</v>
      </c>
      <c r="U91" s="42"/>
      <c r="V91" s="42"/>
      <c r="W91" s="42"/>
      <c r="X91" s="42">
        <v>0.25</v>
      </c>
      <c r="Y91" s="42"/>
      <c r="Z91" s="42"/>
      <c r="AA91" s="42">
        <v>0.25</v>
      </c>
      <c r="AB91" s="42"/>
      <c r="AC91" s="42"/>
      <c r="AD91" s="42">
        <v>0.25</v>
      </c>
      <c r="AE91" s="42"/>
      <c r="AF91" s="42"/>
      <c r="AG91" s="42">
        <v>0.25</v>
      </c>
      <c r="AH91" s="582"/>
      <c r="AI91" s="582"/>
      <c r="AJ91" s="582"/>
      <c r="AK91" s="582"/>
    </row>
    <row r="92" spans="1:37" ht="37.4" customHeight="1" thickBot="1" x14ac:dyDescent="0.4">
      <c r="A92" s="278">
        <v>40</v>
      </c>
      <c r="B92" s="278" t="s">
        <v>688</v>
      </c>
      <c r="C92" s="278" t="s">
        <v>694</v>
      </c>
      <c r="D92" s="278" t="s">
        <v>121</v>
      </c>
      <c r="E92" s="278" t="s">
        <v>122</v>
      </c>
      <c r="F92" s="275" t="s">
        <v>88</v>
      </c>
      <c r="G92" s="353"/>
      <c r="H92" s="594"/>
      <c r="I92" s="589" t="s">
        <v>922</v>
      </c>
      <c r="J92" s="587" t="s">
        <v>924</v>
      </c>
      <c r="K92" s="587" t="s">
        <v>925</v>
      </c>
      <c r="L92" s="587" t="s">
        <v>882</v>
      </c>
      <c r="M92" s="587" t="s">
        <v>883</v>
      </c>
      <c r="N92" s="587" t="s">
        <v>884</v>
      </c>
      <c r="O92" s="587" t="s">
        <v>883</v>
      </c>
      <c r="P92" s="576">
        <v>45536</v>
      </c>
      <c r="Q92" s="576">
        <v>45595</v>
      </c>
      <c r="R92" s="62" t="s">
        <v>94</v>
      </c>
      <c r="S92" s="53">
        <f>+(S93*T92)</f>
        <v>2.0408163265306121E-2</v>
      </c>
      <c r="T92" s="68">
        <f t="shared" si="2"/>
        <v>1</v>
      </c>
      <c r="U92" s="45"/>
      <c r="V92" s="45"/>
      <c r="W92" s="45"/>
      <c r="X92" s="45"/>
      <c r="Y92" s="45"/>
      <c r="Z92" s="45"/>
      <c r="AA92" s="45"/>
      <c r="AB92" s="45"/>
      <c r="AC92" s="45"/>
      <c r="AD92" s="45"/>
      <c r="AE92" s="45"/>
      <c r="AF92" s="45"/>
      <c r="AG92" s="45">
        <v>1</v>
      </c>
      <c r="AH92" s="581"/>
      <c r="AI92" s="583"/>
      <c r="AJ92" s="578"/>
      <c r="AK92" s="578" t="s">
        <v>409</v>
      </c>
    </row>
    <row r="93" spans="1:37" ht="37.4" customHeight="1" thickBot="1" x14ac:dyDescent="0.4">
      <c r="A93" s="279"/>
      <c r="B93" s="353"/>
      <c r="C93" s="353"/>
      <c r="D93" s="353"/>
      <c r="E93" s="353"/>
      <c r="F93" s="275"/>
      <c r="G93" s="353"/>
      <c r="H93" s="594"/>
      <c r="I93" s="590"/>
      <c r="J93" s="588"/>
      <c r="K93" s="588"/>
      <c r="L93" s="588"/>
      <c r="M93" s="588"/>
      <c r="N93" s="588"/>
      <c r="O93" s="588"/>
      <c r="P93" s="577"/>
      <c r="Q93" s="577"/>
      <c r="R93" s="62" t="s">
        <v>99</v>
      </c>
      <c r="S93" s="52">
        <f>100%/49</f>
        <v>2.0408163265306121E-2</v>
      </c>
      <c r="T93" s="68">
        <f t="shared" si="2"/>
        <v>1</v>
      </c>
      <c r="U93" s="42"/>
      <c r="V93" s="42"/>
      <c r="W93" s="42"/>
      <c r="X93" s="42"/>
      <c r="Y93" s="42"/>
      <c r="Z93" s="42"/>
      <c r="AA93" s="42"/>
      <c r="AB93" s="42"/>
      <c r="AC93" s="42"/>
      <c r="AD93" s="42"/>
      <c r="AE93" s="42"/>
      <c r="AF93" s="42"/>
      <c r="AG93" s="42">
        <v>1</v>
      </c>
      <c r="AH93" s="582"/>
      <c r="AI93" s="584"/>
      <c r="AJ93" s="579"/>
      <c r="AK93" s="579"/>
    </row>
    <row r="94" spans="1:37" ht="37.4" customHeight="1" thickBot="1" x14ac:dyDescent="0.4">
      <c r="A94" s="278">
        <v>41</v>
      </c>
      <c r="B94" s="278" t="s">
        <v>688</v>
      </c>
      <c r="C94" s="278" t="s">
        <v>694</v>
      </c>
      <c r="D94" s="278" t="s">
        <v>121</v>
      </c>
      <c r="E94" s="278" t="s">
        <v>122</v>
      </c>
      <c r="F94" s="275" t="s">
        <v>88</v>
      </c>
      <c r="G94" s="353"/>
      <c r="H94" s="594"/>
      <c r="I94" s="589" t="s">
        <v>922</v>
      </c>
      <c r="J94" s="587" t="s">
        <v>423</v>
      </c>
      <c r="K94" s="587" t="s">
        <v>424</v>
      </c>
      <c r="L94" s="587" t="s">
        <v>882</v>
      </c>
      <c r="M94" s="587" t="s">
        <v>698</v>
      </c>
      <c r="N94" s="587" t="s">
        <v>884</v>
      </c>
      <c r="O94" s="587" t="s">
        <v>698</v>
      </c>
      <c r="P94" s="576">
        <v>45383</v>
      </c>
      <c r="Q94" s="576">
        <v>45595</v>
      </c>
      <c r="R94" s="62" t="s">
        <v>94</v>
      </c>
      <c r="S94" s="53">
        <f>+(S95*T94)</f>
        <v>2.0408163265306121E-2</v>
      </c>
      <c r="T94" s="68">
        <f t="shared" si="2"/>
        <v>1</v>
      </c>
      <c r="U94" s="45"/>
      <c r="V94" s="45"/>
      <c r="W94" s="45"/>
      <c r="X94" s="45"/>
      <c r="Y94" s="45"/>
      <c r="Z94" s="45"/>
      <c r="AA94" s="45">
        <v>0.5</v>
      </c>
      <c r="AB94" s="45"/>
      <c r="AC94" s="45"/>
      <c r="AD94" s="45"/>
      <c r="AE94" s="45"/>
      <c r="AF94" s="45"/>
      <c r="AG94" s="45">
        <v>0.5</v>
      </c>
      <c r="AH94" s="581"/>
      <c r="AI94" s="583" t="s">
        <v>411</v>
      </c>
      <c r="AJ94" s="578"/>
      <c r="AK94" s="583" t="s">
        <v>412</v>
      </c>
    </row>
    <row r="95" spans="1:37" ht="37.4" customHeight="1" thickBot="1" x14ac:dyDescent="0.4">
      <c r="A95" s="279"/>
      <c r="B95" s="353"/>
      <c r="C95" s="353"/>
      <c r="D95" s="353"/>
      <c r="E95" s="353"/>
      <c r="F95" s="275"/>
      <c r="G95" s="353"/>
      <c r="H95" s="594"/>
      <c r="I95" s="590"/>
      <c r="J95" s="588"/>
      <c r="K95" s="588"/>
      <c r="L95" s="588"/>
      <c r="M95" s="588"/>
      <c r="N95" s="588"/>
      <c r="O95" s="588"/>
      <c r="P95" s="577"/>
      <c r="Q95" s="577"/>
      <c r="R95" s="62" t="s">
        <v>99</v>
      </c>
      <c r="S95" s="52">
        <f>100%/49</f>
        <v>2.0408163265306121E-2</v>
      </c>
      <c r="T95" s="68">
        <f t="shared" si="2"/>
        <v>1</v>
      </c>
      <c r="U95" s="42"/>
      <c r="V95" s="42"/>
      <c r="W95" s="42"/>
      <c r="X95" s="42"/>
      <c r="Y95" s="42"/>
      <c r="Z95" s="42"/>
      <c r="AA95" s="42">
        <v>0.5</v>
      </c>
      <c r="AB95" s="42"/>
      <c r="AC95" s="42"/>
      <c r="AD95" s="42"/>
      <c r="AE95" s="42"/>
      <c r="AF95" s="42"/>
      <c r="AG95" s="42">
        <v>0.5</v>
      </c>
      <c r="AH95" s="582"/>
      <c r="AI95" s="584"/>
      <c r="AJ95" s="579"/>
      <c r="AK95" s="584"/>
    </row>
    <row r="96" spans="1:37" ht="37.4" customHeight="1" thickBot="1" x14ac:dyDescent="0.4">
      <c r="A96" s="278">
        <v>42</v>
      </c>
      <c r="B96" s="278" t="s">
        <v>688</v>
      </c>
      <c r="C96" s="278" t="s">
        <v>694</v>
      </c>
      <c r="D96" s="278" t="s">
        <v>121</v>
      </c>
      <c r="E96" s="278" t="s">
        <v>122</v>
      </c>
      <c r="F96" s="275" t="s">
        <v>88</v>
      </c>
      <c r="G96" s="353"/>
      <c r="H96" s="594"/>
      <c r="I96" s="589" t="s">
        <v>922</v>
      </c>
      <c r="J96" s="587" t="s">
        <v>926</v>
      </c>
      <c r="K96" s="587" t="s">
        <v>927</v>
      </c>
      <c r="L96" s="587" t="s">
        <v>882</v>
      </c>
      <c r="M96" s="587" t="s">
        <v>692</v>
      </c>
      <c r="N96" s="587" t="s">
        <v>884</v>
      </c>
      <c r="O96" s="587" t="s">
        <v>692</v>
      </c>
      <c r="P96" s="576">
        <v>45292</v>
      </c>
      <c r="Q96" s="576">
        <v>45656</v>
      </c>
      <c r="R96" s="62" t="s">
        <v>94</v>
      </c>
      <c r="S96" s="53">
        <f>+(S97*T96)</f>
        <v>2.0408163265306121E-2</v>
      </c>
      <c r="T96" s="68">
        <f t="shared" si="2"/>
        <v>1</v>
      </c>
      <c r="U96" s="45"/>
      <c r="V96" s="45"/>
      <c r="W96" s="45"/>
      <c r="X96" s="45"/>
      <c r="Y96" s="45"/>
      <c r="Z96" s="45"/>
      <c r="AA96" s="45">
        <v>0.5</v>
      </c>
      <c r="AB96" s="45"/>
      <c r="AC96" s="45"/>
      <c r="AD96" s="45"/>
      <c r="AE96" s="45"/>
      <c r="AF96" s="45"/>
      <c r="AG96" s="45">
        <v>0.5</v>
      </c>
      <c r="AH96" s="581"/>
      <c r="AI96" s="583" t="s">
        <v>415</v>
      </c>
      <c r="AJ96" s="578"/>
      <c r="AK96" s="583" t="s">
        <v>416</v>
      </c>
    </row>
    <row r="97" spans="1:37" ht="37.4" customHeight="1" thickBot="1" x14ac:dyDescent="0.4">
      <c r="A97" s="279"/>
      <c r="B97" s="353"/>
      <c r="C97" s="353"/>
      <c r="D97" s="353"/>
      <c r="E97" s="353"/>
      <c r="F97" s="275"/>
      <c r="G97" s="353"/>
      <c r="H97" s="594"/>
      <c r="I97" s="590"/>
      <c r="J97" s="588"/>
      <c r="K97" s="588"/>
      <c r="L97" s="588"/>
      <c r="M97" s="588"/>
      <c r="N97" s="588"/>
      <c r="O97" s="588"/>
      <c r="P97" s="577"/>
      <c r="Q97" s="577"/>
      <c r="R97" s="62" t="s">
        <v>99</v>
      </c>
      <c r="S97" s="52">
        <f>100%/49</f>
        <v>2.0408163265306121E-2</v>
      </c>
      <c r="T97" s="68">
        <f t="shared" si="2"/>
        <v>1</v>
      </c>
      <c r="U97" s="42"/>
      <c r="V97" s="42"/>
      <c r="W97" s="42"/>
      <c r="X97" s="42"/>
      <c r="Y97" s="42"/>
      <c r="Z97" s="42"/>
      <c r="AA97" s="42">
        <v>0.5</v>
      </c>
      <c r="AB97" s="42"/>
      <c r="AC97" s="42"/>
      <c r="AD97" s="42"/>
      <c r="AE97" s="42"/>
      <c r="AF97" s="42"/>
      <c r="AG97" s="42">
        <v>0.5</v>
      </c>
      <c r="AH97" s="582"/>
      <c r="AI97" s="584"/>
      <c r="AJ97" s="579"/>
      <c r="AK97" s="584"/>
    </row>
    <row r="98" spans="1:37" ht="37.4" customHeight="1" thickBot="1" x14ac:dyDescent="0.4">
      <c r="A98" s="278">
        <v>43</v>
      </c>
      <c r="B98" s="278" t="s">
        <v>688</v>
      </c>
      <c r="C98" s="278" t="s">
        <v>694</v>
      </c>
      <c r="D98" s="278" t="s">
        <v>121</v>
      </c>
      <c r="E98" s="278" t="s">
        <v>122</v>
      </c>
      <c r="F98" s="275" t="s">
        <v>88</v>
      </c>
      <c r="G98" s="353"/>
      <c r="H98" s="594"/>
      <c r="I98" s="589" t="s">
        <v>922</v>
      </c>
      <c r="J98" s="587" t="s">
        <v>928</v>
      </c>
      <c r="K98" s="587" t="s">
        <v>929</v>
      </c>
      <c r="L98" s="587" t="s">
        <v>882</v>
      </c>
      <c r="M98" s="587" t="s">
        <v>883</v>
      </c>
      <c r="N98" s="587" t="s">
        <v>884</v>
      </c>
      <c r="O98" s="587" t="s">
        <v>883</v>
      </c>
      <c r="P98" s="576">
        <v>45413</v>
      </c>
      <c r="Q98" s="576">
        <v>45442</v>
      </c>
      <c r="R98" s="62" t="s">
        <v>94</v>
      </c>
      <c r="S98" s="53">
        <f>+(S99*T98)</f>
        <v>1.9999999999999997E-2</v>
      </c>
      <c r="T98" s="68">
        <f t="shared" si="2"/>
        <v>0.97999999999999987</v>
      </c>
      <c r="U98" s="45"/>
      <c r="V98" s="42">
        <v>8.3333333333333343E-2</v>
      </c>
      <c r="W98" s="42">
        <v>8.3333333333333343E-2</v>
      </c>
      <c r="X98" s="42">
        <v>8.3333333333333343E-2</v>
      </c>
      <c r="Y98" s="42">
        <v>8.3333333333333343E-2</v>
      </c>
      <c r="Z98" s="42">
        <v>8.3333333333333343E-2</v>
      </c>
      <c r="AA98" s="42">
        <v>8.3333333333333343E-2</v>
      </c>
      <c r="AB98" s="45">
        <v>0.08</v>
      </c>
      <c r="AC98" s="45">
        <v>0.08</v>
      </c>
      <c r="AD98" s="45">
        <v>0.08</v>
      </c>
      <c r="AE98" s="45">
        <v>0.08</v>
      </c>
      <c r="AF98" s="45">
        <v>0.08</v>
      </c>
      <c r="AG98" s="45">
        <v>0.08</v>
      </c>
      <c r="AH98" s="581" t="s">
        <v>417</v>
      </c>
      <c r="AI98" s="581" t="s">
        <v>418</v>
      </c>
      <c r="AJ98" s="581" t="s">
        <v>419</v>
      </c>
      <c r="AK98" s="581" t="s">
        <v>419</v>
      </c>
    </row>
    <row r="99" spans="1:37" ht="37.4" customHeight="1" thickBot="1" x14ac:dyDescent="0.4">
      <c r="A99" s="279"/>
      <c r="B99" s="353"/>
      <c r="C99" s="353"/>
      <c r="D99" s="353"/>
      <c r="E99" s="353"/>
      <c r="F99" s="275"/>
      <c r="G99" s="279"/>
      <c r="H99" s="595"/>
      <c r="I99" s="590"/>
      <c r="J99" s="588"/>
      <c r="K99" s="588"/>
      <c r="L99" s="588"/>
      <c r="M99" s="588"/>
      <c r="N99" s="588"/>
      <c r="O99" s="588"/>
      <c r="P99" s="577"/>
      <c r="Q99" s="577"/>
      <c r="R99" s="62" t="s">
        <v>99</v>
      </c>
      <c r="S99" s="52">
        <f>100%/49</f>
        <v>2.0408163265306121E-2</v>
      </c>
      <c r="T99" s="68">
        <f t="shared" si="2"/>
        <v>1.0000000000000002</v>
      </c>
      <c r="U99" s="42"/>
      <c r="V99" s="42">
        <v>8.3333333333333343E-2</v>
      </c>
      <c r="W99" s="42">
        <v>8.3333333333333343E-2</v>
      </c>
      <c r="X99" s="42">
        <v>8.3333333333333343E-2</v>
      </c>
      <c r="Y99" s="42">
        <v>8.3333333333333343E-2</v>
      </c>
      <c r="Z99" s="42">
        <v>8.3333333333333343E-2</v>
      </c>
      <c r="AA99" s="42">
        <v>8.3333333333333343E-2</v>
      </c>
      <c r="AB99" s="42">
        <v>8.3333333333333343E-2</v>
      </c>
      <c r="AC99" s="42">
        <v>8.3333333333333343E-2</v>
      </c>
      <c r="AD99" s="42">
        <v>8.3333333333333343E-2</v>
      </c>
      <c r="AE99" s="42">
        <v>8.3333333333333343E-2</v>
      </c>
      <c r="AF99" s="42">
        <v>8.3333333333333343E-2</v>
      </c>
      <c r="AG99" s="42">
        <v>8.3333333333333343E-2</v>
      </c>
      <c r="AH99" s="582"/>
      <c r="AI99" s="582"/>
      <c r="AJ99" s="582"/>
      <c r="AK99" s="582"/>
    </row>
    <row r="100" spans="1:37" ht="37.4" customHeight="1" thickBot="1" x14ac:dyDescent="0.4">
      <c r="A100" s="278">
        <v>44</v>
      </c>
      <c r="B100" s="278" t="s">
        <v>688</v>
      </c>
      <c r="C100" s="278" t="s">
        <v>694</v>
      </c>
      <c r="D100" s="278" t="s">
        <v>121</v>
      </c>
      <c r="E100" s="278" t="s">
        <v>122</v>
      </c>
      <c r="F100" s="275" t="s">
        <v>88</v>
      </c>
      <c r="G100" s="278" t="s">
        <v>871</v>
      </c>
      <c r="H100" s="593" t="s">
        <v>878</v>
      </c>
      <c r="I100" s="589" t="s">
        <v>930</v>
      </c>
      <c r="J100" s="587" t="s">
        <v>335</v>
      </c>
      <c r="K100" s="587" t="s">
        <v>931</v>
      </c>
      <c r="L100" s="587" t="s">
        <v>882</v>
      </c>
      <c r="M100" s="587" t="s">
        <v>883</v>
      </c>
      <c r="N100" s="587" t="s">
        <v>884</v>
      </c>
      <c r="O100" s="587" t="s">
        <v>883</v>
      </c>
      <c r="P100" s="576">
        <v>45383</v>
      </c>
      <c r="Q100" s="576">
        <v>45473</v>
      </c>
      <c r="R100" s="62" t="s">
        <v>94</v>
      </c>
      <c r="S100" s="53">
        <f>+(S101*T100)</f>
        <v>2.0408163265306121E-2</v>
      </c>
      <c r="T100" s="68">
        <f t="shared" si="2"/>
        <v>1</v>
      </c>
      <c r="U100" s="45"/>
      <c r="V100" s="45"/>
      <c r="W100" s="45"/>
      <c r="X100" s="45"/>
      <c r="Y100" s="45"/>
      <c r="Z100" s="45"/>
      <c r="AA100" s="45">
        <v>0.5</v>
      </c>
      <c r="AB100" s="45"/>
      <c r="AC100" s="45"/>
      <c r="AD100" s="45"/>
      <c r="AE100" s="45"/>
      <c r="AF100" s="45"/>
      <c r="AG100" s="45">
        <v>0.5</v>
      </c>
      <c r="AH100" s="581"/>
      <c r="AI100" s="583" t="s">
        <v>421</v>
      </c>
      <c r="AJ100" s="578"/>
      <c r="AK100" s="583" t="s">
        <v>421</v>
      </c>
    </row>
    <row r="101" spans="1:37" ht="37.4" customHeight="1" thickBot="1" x14ac:dyDescent="0.4">
      <c r="A101" s="279"/>
      <c r="B101" s="353"/>
      <c r="C101" s="353"/>
      <c r="D101" s="353"/>
      <c r="E101" s="353"/>
      <c r="F101" s="275"/>
      <c r="G101" s="353"/>
      <c r="H101" s="594"/>
      <c r="I101" s="590"/>
      <c r="J101" s="588"/>
      <c r="K101" s="588"/>
      <c r="L101" s="588"/>
      <c r="M101" s="588"/>
      <c r="N101" s="588"/>
      <c r="O101" s="588"/>
      <c r="P101" s="577"/>
      <c r="Q101" s="577"/>
      <c r="R101" s="62" t="s">
        <v>99</v>
      </c>
      <c r="S101" s="52">
        <f>100%/49</f>
        <v>2.0408163265306121E-2</v>
      </c>
      <c r="T101" s="68">
        <f t="shared" si="2"/>
        <v>1</v>
      </c>
      <c r="U101" s="42"/>
      <c r="V101" s="42"/>
      <c r="W101" s="42"/>
      <c r="X101" s="42"/>
      <c r="Y101" s="42"/>
      <c r="Z101" s="42"/>
      <c r="AA101" s="42">
        <v>0.5</v>
      </c>
      <c r="AB101" s="42"/>
      <c r="AC101" s="42"/>
      <c r="AD101" s="42"/>
      <c r="AE101" s="42"/>
      <c r="AF101" s="42"/>
      <c r="AG101" s="42">
        <v>0.5</v>
      </c>
      <c r="AH101" s="582"/>
      <c r="AI101" s="584"/>
      <c r="AJ101" s="579"/>
      <c r="AK101" s="584"/>
    </row>
    <row r="102" spans="1:37" ht="37.4" customHeight="1" thickBot="1" x14ac:dyDescent="0.4">
      <c r="A102" s="278">
        <v>45</v>
      </c>
      <c r="B102" s="278" t="s">
        <v>688</v>
      </c>
      <c r="C102" s="278" t="s">
        <v>694</v>
      </c>
      <c r="D102" s="278" t="s">
        <v>121</v>
      </c>
      <c r="E102" s="278" t="s">
        <v>122</v>
      </c>
      <c r="F102" s="275" t="s">
        <v>88</v>
      </c>
      <c r="G102" s="353"/>
      <c r="H102" s="594"/>
      <c r="I102" s="589" t="s">
        <v>930</v>
      </c>
      <c r="J102" s="587" t="s">
        <v>335</v>
      </c>
      <c r="K102" s="587" t="s">
        <v>932</v>
      </c>
      <c r="L102" s="587" t="s">
        <v>882</v>
      </c>
      <c r="M102" s="587" t="s">
        <v>883</v>
      </c>
      <c r="N102" s="587" t="s">
        <v>884</v>
      </c>
      <c r="O102" s="587" t="s">
        <v>883</v>
      </c>
      <c r="P102" s="576">
        <v>45566</v>
      </c>
      <c r="Q102" s="576">
        <v>45626</v>
      </c>
      <c r="R102" s="62" t="s">
        <v>94</v>
      </c>
      <c r="S102" s="53">
        <f>+(S103*T102)</f>
        <v>2.0408163265306121E-2</v>
      </c>
      <c r="T102" s="68">
        <f t="shared" si="2"/>
        <v>1</v>
      </c>
      <c r="U102" s="45"/>
      <c r="V102" s="45"/>
      <c r="W102" s="45"/>
      <c r="X102" s="45"/>
      <c r="Y102" s="45"/>
      <c r="Z102" s="45"/>
      <c r="AA102" s="45"/>
      <c r="AB102" s="45"/>
      <c r="AC102" s="45"/>
      <c r="AD102" s="45"/>
      <c r="AE102" s="45"/>
      <c r="AF102" s="45"/>
      <c r="AG102" s="45">
        <v>1</v>
      </c>
      <c r="AH102" s="581"/>
      <c r="AI102" s="583"/>
      <c r="AJ102" s="578"/>
      <c r="AK102" s="578" t="s">
        <v>422</v>
      </c>
    </row>
    <row r="103" spans="1:37" ht="37.4" customHeight="1" thickBot="1" x14ac:dyDescent="0.4">
      <c r="A103" s="279"/>
      <c r="B103" s="353"/>
      <c r="C103" s="353"/>
      <c r="D103" s="353"/>
      <c r="E103" s="353"/>
      <c r="F103" s="275"/>
      <c r="G103" s="279"/>
      <c r="H103" s="595"/>
      <c r="I103" s="590"/>
      <c r="J103" s="588"/>
      <c r="K103" s="588"/>
      <c r="L103" s="588"/>
      <c r="M103" s="588"/>
      <c r="N103" s="588"/>
      <c r="O103" s="588"/>
      <c r="P103" s="577"/>
      <c r="Q103" s="577"/>
      <c r="R103" s="62" t="s">
        <v>99</v>
      </c>
      <c r="S103" s="52">
        <f>100%/49</f>
        <v>2.0408163265306121E-2</v>
      </c>
      <c r="T103" s="68">
        <f t="shared" si="2"/>
        <v>1</v>
      </c>
      <c r="U103" s="42"/>
      <c r="V103" s="42"/>
      <c r="W103" s="42"/>
      <c r="X103" s="42"/>
      <c r="Y103" s="42"/>
      <c r="Z103" s="42"/>
      <c r="AA103" s="42"/>
      <c r="AB103" s="42"/>
      <c r="AC103" s="42"/>
      <c r="AD103" s="42"/>
      <c r="AE103" s="42"/>
      <c r="AF103" s="42"/>
      <c r="AG103" s="42">
        <v>1</v>
      </c>
      <c r="AH103" s="582"/>
      <c r="AI103" s="584"/>
      <c r="AJ103" s="579"/>
      <c r="AK103" s="579"/>
    </row>
    <row r="104" spans="1:37" ht="37.4" customHeight="1" thickBot="1" x14ac:dyDescent="0.4">
      <c r="A104" s="278">
        <v>46</v>
      </c>
      <c r="B104" s="274" t="s">
        <v>688</v>
      </c>
      <c r="C104" s="274" t="s">
        <v>694</v>
      </c>
      <c r="D104" s="274" t="s">
        <v>121</v>
      </c>
      <c r="E104" s="274" t="s">
        <v>122</v>
      </c>
      <c r="F104" s="275" t="s">
        <v>88</v>
      </c>
      <c r="G104" s="274" t="s">
        <v>873</v>
      </c>
      <c r="H104" s="596" t="s">
        <v>879</v>
      </c>
      <c r="I104" s="585" t="s">
        <v>933</v>
      </c>
      <c r="J104" s="580" t="s">
        <v>331</v>
      </c>
      <c r="K104" s="580" t="s">
        <v>392</v>
      </c>
      <c r="L104" s="580" t="s">
        <v>882</v>
      </c>
      <c r="M104" s="580" t="s">
        <v>692</v>
      </c>
      <c r="N104" s="580" t="s">
        <v>884</v>
      </c>
      <c r="O104" s="580" t="s">
        <v>692</v>
      </c>
      <c r="P104" s="586">
        <v>45292</v>
      </c>
      <c r="Q104" s="586">
        <v>45656</v>
      </c>
      <c r="R104" s="225" t="s">
        <v>94</v>
      </c>
      <c r="S104" s="53">
        <f>+(S105*T104)</f>
        <v>2.0408163265306121E-2</v>
      </c>
      <c r="T104" s="68">
        <f t="shared" si="2"/>
        <v>1</v>
      </c>
      <c r="U104" s="45"/>
      <c r="V104" s="45"/>
      <c r="W104" s="45"/>
      <c r="X104" s="45">
        <v>0.25</v>
      </c>
      <c r="Y104" s="45"/>
      <c r="Z104" s="45"/>
      <c r="AA104" s="45">
        <v>0.25</v>
      </c>
      <c r="AB104" s="45"/>
      <c r="AC104" s="45"/>
      <c r="AD104" s="45">
        <v>0.25</v>
      </c>
      <c r="AE104" s="45"/>
      <c r="AF104" s="45"/>
      <c r="AG104" s="45">
        <v>0.25</v>
      </c>
      <c r="AH104" s="581" t="s">
        <v>425</v>
      </c>
      <c r="AI104" s="583" t="s">
        <v>426</v>
      </c>
      <c r="AJ104" s="578" t="s">
        <v>427</v>
      </c>
      <c r="AK104" s="578" t="s">
        <v>427</v>
      </c>
    </row>
    <row r="105" spans="1:37" ht="37.4" customHeight="1" thickBot="1" x14ac:dyDescent="0.4">
      <c r="A105" s="279"/>
      <c r="B105" s="274"/>
      <c r="C105" s="274"/>
      <c r="D105" s="274"/>
      <c r="E105" s="274"/>
      <c r="F105" s="275"/>
      <c r="G105" s="274"/>
      <c r="H105" s="596"/>
      <c r="I105" s="585"/>
      <c r="J105" s="580"/>
      <c r="K105" s="580"/>
      <c r="L105" s="580"/>
      <c r="M105" s="580"/>
      <c r="N105" s="580"/>
      <c r="O105" s="580"/>
      <c r="P105" s="586"/>
      <c r="Q105" s="586"/>
      <c r="R105" s="225" t="s">
        <v>99</v>
      </c>
      <c r="S105" s="52">
        <f>100%/49</f>
        <v>2.0408163265306121E-2</v>
      </c>
      <c r="T105" s="68">
        <f t="shared" si="2"/>
        <v>1</v>
      </c>
      <c r="U105" s="42"/>
      <c r="V105" s="42"/>
      <c r="W105" s="42"/>
      <c r="X105" s="42">
        <v>0.25</v>
      </c>
      <c r="Y105" s="42"/>
      <c r="Z105" s="42"/>
      <c r="AA105" s="42">
        <v>0.25</v>
      </c>
      <c r="AB105" s="42"/>
      <c r="AC105" s="42"/>
      <c r="AD105" s="42">
        <v>0.25</v>
      </c>
      <c r="AE105" s="42"/>
      <c r="AF105" s="42"/>
      <c r="AG105" s="42">
        <v>0.25</v>
      </c>
      <c r="AH105" s="582"/>
      <c r="AI105" s="584"/>
      <c r="AJ105" s="579"/>
      <c r="AK105" s="579"/>
    </row>
    <row r="106" spans="1:37" ht="37.4" customHeight="1" thickBot="1" x14ac:dyDescent="0.4">
      <c r="A106" s="278">
        <v>47</v>
      </c>
      <c r="B106" s="274" t="s">
        <v>688</v>
      </c>
      <c r="C106" s="274" t="s">
        <v>694</v>
      </c>
      <c r="D106" s="274" t="s">
        <v>121</v>
      </c>
      <c r="E106" s="274" t="s">
        <v>122</v>
      </c>
      <c r="F106" s="275" t="s">
        <v>88</v>
      </c>
      <c r="G106" s="274"/>
      <c r="H106" s="596"/>
      <c r="I106" s="585" t="s">
        <v>933</v>
      </c>
      <c r="J106" s="580" t="s">
        <v>331</v>
      </c>
      <c r="K106" s="580" t="s">
        <v>428</v>
      </c>
      <c r="L106" s="580" t="s">
        <v>882</v>
      </c>
      <c r="M106" s="580" t="s">
        <v>698</v>
      </c>
      <c r="N106" s="580" t="s">
        <v>884</v>
      </c>
      <c r="O106" s="580" t="s">
        <v>698</v>
      </c>
      <c r="P106" s="586">
        <v>45383</v>
      </c>
      <c r="Q106" s="586">
        <v>45656</v>
      </c>
      <c r="R106" s="225" t="s">
        <v>94</v>
      </c>
      <c r="S106" s="53">
        <f>+(S107*T106)</f>
        <v>2.0408163265306121E-2</v>
      </c>
      <c r="T106" s="68">
        <f t="shared" si="2"/>
        <v>1</v>
      </c>
      <c r="U106" s="45"/>
      <c r="V106" s="45"/>
      <c r="W106" s="45"/>
      <c r="X106" s="45">
        <v>0.25</v>
      </c>
      <c r="Y106" s="45"/>
      <c r="Z106" s="45"/>
      <c r="AA106" s="45">
        <v>0.25</v>
      </c>
      <c r="AB106" s="45"/>
      <c r="AC106" s="45"/>
      <c r="AD106" s="45">
        <v>0.25</v>
      </c>
      <c r="AE106" s="45"/>
      <c r="AF106" s="45"/>
      <c r="AG106" s="45">
        <v>0.25</v>
      </c>
      <c r="AH106" s="581" t="s">
        <v>429</v>
      </c>
      <c r="AI106" s="581" t="s">
        <v>430</v>
      </c>
      <c r="AJ106" s="581" t="s">
        <v>431</v>
      </c>
      <c r="AK106" s="581" t="s">
        <v>431</v>
      </c>
    </row>
    <row r="107" spans="1:37" ht="37.4" customHeight="1" thickBot="1" x14ac:dyDescent="0.4">
      <c r="A107" s="279"/>
      <c r="B107" s="274"/>
      <c r="C107" s="274"/>
      <c r="D107" s="274"/>
      <c r="E107" s="274"/>
      <c r="F107" s="275"/>
      <c r="G107" s="274"/>
      <c r="H107" s="596"/>
      <c r="I107" s="585"/>
      <c r="J107" s="580"/>
      <c r="K107" s="580"/>
      <c r="L107" s="580"/>
      <c r="M107" s="580"/>
      <c r="N107" s="580"/>
      <c r="O107" s="580"/>
      <c r="P107" s="586"/>
      <c r="Q107" s="586"/>
      <c r="R107" s="225" t="s">
        <v>99</v>
      </c>
      <c r="S107" s="52">
        <f>100%/49</f>
        <v>2.0408163265306121E-2</v>
      </c>
      <c r="T107" s="68">
        <f t="shared" si="2"/>
        <v>1</v>
      </c>
      <c r="U107" s="42"/>
      <c r="V107" s="42"/>
      <c r="W107" s="42"/>
      <c r="X107" s="42">
        <v>0.25</v>
      </c>
      <c r="Y107" s="42"/>
      <c r="Z107" s="42"/>
      <c r="AA107" s="42">
        <v>0.25</v>
      </c>
      <c r="AB107" s="42"/>
      <c r="AC107" s="42"/>
      <c r="AD107" s="42">
        <v>0.25</v>
      </c>
      <c r="AE107" s="42"/>
      <c r="AF107" s="42"/>
      <c r="AG107" s="42">
        <v>0.25</v>
      </c>
      <c r="AH107" s="582"/>
      <c r="AI107" s="582"/>
      <c r="AJ107" s="582"/>
      <c r="AK107" s="582"/>
    </row>
    <row r="108" spans="1:37" ht="37.4" customHeight="1" thickBot="1" x14ac:dyDescent="0.4">
      <c r="A108" s="278">
        <v>48</v>
      </c>
      <c r="B108" s="274" t="s">
        <v>688</v>
      </c>
      <c r="C108" s="274" t="s">
        <v>694</v>
      </c>
      <c r="D108" s="274" t="s">
        <v>121</v>
      </c>
      <c r="E108" s="274" t="s">
        <v>122</v>
      </c>
      <c r="F108" s="275" t="s">
        <v>88</v>
      </c>
      <c r="G108" s="274"/>
      <c r="H108" s="596"/>
      <c r="I108" s="585" t="s">
        <v>933</v>
      </c>
      <c r="J108" s="580" t="s">
        <v>432</v>
      </c>
      <c r="K108" s="580" t="s">
        <v>433</v>
      </c>
      <c r="L108" s="580" t="s">
        <v>882</v>
      </c>
      <c r="M108" s="580" t="s">
        <v>883</v>
      </c>
      <c r="N108" s="580" t="s">
        <v>884</v>
      </c>
      <c r="O108" s="580" t="s">
        <v>883</v>
      </c>
      <c r="P108" s="586">
        <v>45536</v>
      </c>
      <c r="Q108" s="586">
        <v>45595</v>
      </c>
      <c r="R108" s="225" t="s">
        <v>94</v>
      </c>
      <c r="S108" s="53">
        <f>+(S109*T108)</f>
        <v>2.0408163265306121E-2</v>
      </c>
      <c r="T108" s="68">
        <f t="shared" ref="T108:T111" si="3">SUM(U108:AG108)</f>
        <v>1</v>
      </c>
      <c r="U108" s="45"/>
      <c r="V108" s="45"/>
      <c r="W108" s="45"/>
      <c r="X108" s="45"/>
      <c r="Y108" s="45"/>
      <c r="Z108" s="45"/>
      <c r="AA108" s="45"/>
      <c r="AB108" s="45"/>
      <c r="AC108" s="45"/>
      <c r="AD108" s="45"/>
      <c r="AE108" s="45"/>
      <c r="AF108" s="45"/>
      <c r="AG108" s="45">
        <v>1</v>
      </c>
      <c r="AH108" s="581"/>
      <c r="AI108" s="583"/>
      <c r="AJ108" s="578"/>
      <c r="AK108" s="578" t="s">
        <v>434</v>
      </c>
    </row>
    <row r="109" spans="1:37" ht="37.4" customHeight="1" thickBot="1" x14ac:dyDescent="0.4">
      <c r="A109" s="279"/>
      <c r="B109" s="274"/>
      <c r="C109" s="274"/>
      <c r="D109" s="274"/>
      <c r="E109" s="274"/>
      <c r="F109" s="275"/>
      <c r="G109" s="274"/>
      <c r="H109" s="596"/>
      <c r="I109" s="585"/>
      <c r="J109" s="580"/>
      <c r="K109" s="580"/>
      <c r="L109" s="580"/>
      <c r="M109" s="580"/>
      <c r="N109" s="580"/>
      <c r="O109" s="580"/>
      <c r="P109" s="586"/>
      <c r="Q109" s="586"/>
      <c r="R109" s="225" t="s">
        <v>99</v>
      </c>
      <c r="S109" s="52">
        <f>100%/49</f>
        <v>2.0408163265306121E-2</v>
      </c>
      <c r="T109" s="68">
        <f t="shared" si="3"/>
        <v>1</v>
      </c>
      <c r="U109" s="42"/>
      <c r="V109" s="42"/>
      <c r="W109" s="42"/>
      <c r="X109" s="42"/>
      <c r="Y109" s="42"/>
      <c r="Z109" s="42"/>
      <c r="AA109" s="42"/>
      <c r="AB109" s="42"/>
      <c r="AC109" s="42"/>
      <c r="AD109" s="42"/>
      <c r="AE109" s="42"/>
      <c r="AF109" s="42"/>
      <c r="AG109" s="42">
        <v>1</v>
      </c>
      <c r="AH109" s="582"/>
      <c r="AI109" s="584"/>
      <c r="AJ109" s="579"/>
      <c r="AK109" s="579"/>
    </row>
    <row r="110" spans="1:37" ht="40" customHeight="1" thickBot="1" x14ac:dyDescent="0.4">
      <c r="A110" s="278">
        <v>49</v>
      </c>
      <c r="B110" s="274" t="s">
        <v>688</v>
      </c>
      <c r="C110" s="274" t="s">
        <v>694</v>
      </c>
      <c r="D110" s="274" t="s">
        <v>121</v>
      </c>
      <c r="E110" s="274" t="s">
        <v>122</v>
      </c>
      <c r="F110" s="275" t="s">
        <v>88</v>
      </c>
      <c r="G110" s="274"/>
      <c r="H110" s="596"/>
      <c r="I110" s="585" t="s">
        <v>933</v>
      </c>
      <c r="J110" s="580" t="s">
        <v>394</v>
      </c>
      <c r="K110" s="580" t="s">
        <v>934</v>
      </c>
      <c r="L110" s="580" t="s">
        <v>882</v>
      </c>
      <c r="M110" s="580" t="s">
        <v>883</v>
      </c>
      <c r="N110" s="580" t="s">
        <v>884</v>
      </c>
      <c r="O110" s="580" t="s">
        <v>883</v>
      </c>
      <c r="P110" s="586">
        <v>45566</v>
      </c>
      <c r="Q110" s="586">
        <v>45626</v>
      </c>
      <c r="R110" s="225" t="s">
        <v>94</v>
      </c>
      <c r="S110" s="53">
        <f>+(S111*T110)</f>
        <v>2.0408163265306121E-2</v>
      </c>
      <c r="T110" s="68">
        <f t="shared" si="3"/>
        <v>1</v>
      </c>
      <c r="U110" s="45"/>
      <c r="V110" s="45"/>
      <c r="W110" s="45"/>
      <c r="X110" s="45">
        <v>0.25</v>
      </c>
      <c r="Y110" s="45"/>
      <c r="Z110" s="45"/>
      <c r="AA110" s="45">
        <v>0.25</v>
      </c>
      <c r="AB110" s="45"/>
      <c r="AC110" s="45"/>
      <c r="AD110" s="45">
        <v>0.25</v>
      </c>
      <c r="AE110" s="45"/>
      <c r="AF110" s="45"/>
      <c r="AG110" s="45">
        <v>0.25</v>
      </c>
      <c r="AH110" s="581" t="s">
        <v>435</v>
      </c>
      <c r="AI110" s="583" t="s">
        <v>436</v>
      </c>
      <c r="AJ110" s="578" t="s">
        <v>437</v>
      </c>
      <c r="AK110" s="578" t="s">
        <v>438</v>
      </c>
    </row>
    <row r="111" spans="1:37" ht="40" customHeight="1" x14ac:dyDescent="0.35">
      <c r="A111" s="279"/>
      <c r="B111" s="274"/>
      <c r="C111" s="274"/>
      <c r="D111" s="274"/>
      <c r="E111" s="274"/>
      <c r="F111" s="275"/>
      <c r="G111" s="274"/>
      <c r="H111" s="596"/>
      <c r="I111" s="585"/>
      <c r="J111" s="580"/>
      <c r="K111" s="580"/>
      <c r="L111" s="580"/>
      <c r="M111" s="580"/>
      <c r="N111" s="580"/>
      <c r="O111" s="580"/>
      <c r="P111" s="586"/>
      <c r="Q111" s="586"/>
      <c r="R111" s="225" t="s">
        <v>99</v>
      </c>
      <c r="S111" s="52">
        <f>100%/49</f>
        <v>2.0408163265306121E-2</v>
      </c>
      <c r="T111" s="68">
        <f t="shared" si="3"/>
        <v>1</v>
      </c>
      <c r="U111" s="42"/>
      <c r="V111" s="42"/>
      <c r="W111" s="42"/>
      <c r="X111" s="42">
        <v>0.25</v>
      </c>
      <c r="Y111" s="42"/>
      <c r="Z111" s="42"/>
      <c r="AA111" s="42">
        <v>0.25</v>
      </c>
      <c r="AB111" s="42"/>
      <c r="AC111" s="42"/>
      <c r="AD111" s="42">
        <v>0.25</v>
      </c>
      <c r="AE111" s="42"/>
      <c r="AF111" s="42"/>
      <c r="AG111" s="42">
        <v>0.25</v>
      </c>
      <c r="AH111" s="582"/>
      <c r="AI111" s="584"/>
      <c r="AJ111" s="579"/>
      <c r="AK111" s="579"/>
    </row>
    <row r="112" spans="1:37" ht="40" customHeight="1" x14ac:dyDescent="0.35">
      <c r="A112" s="278">
        <v>50</v>
      </c>
      <c r="B112" s="274" t="s">
        <v>688</v>
      </c>
      <c r="C112" s="274" t="s">
        <v>694</v>
      </c>
      <c r="D112" s="274" t="s">
        <v>121</v>
      </c>
      <c r="E112" s="274" t="s">
        <v>122</v>
      </c>
      <c r="F112" s="275" t="s">
        <v>88</v>
      </c>
      <c r="G112" s="274"/>
      <c r="H112" s="596"/>
      <c r="I112" s="585" t="s">
        <v>933</v>
      </c>
      <c r="J112" s="580" t="s">
        <v>394</v>
      </c>
      <c r="K112" s="580" t="s">
        <v>935</v>
      </c>
      <c r="L112" s="580" t="s">
        <v>882</v>
      </c>
      <c r="M112" s="580" t="s">
        <v>883</v>
      </c>
      <c r="N112" s="580" t="s">
        <v>884</v>
      </c>
      <c r="O112" s="580" t="s">
        <v>883</v>
      </c>
      <c r="P112" s="586">
        <v>45566</v>
      </c>
      <c r="Q112" s="586">
        <v>45626</v>
      </c>
    </row>
    <row r="113" spans="1:17" ht="40" customHeight="1" x14ac:dyDescent="0.35">
      <c r="A113" s="279"/>
      <c r="B113" s="274"/>
      <c r="C113" s="274"/>
      <c r="D113" s="274"/>
      <c r="E113" s="274"/>
      <c r="F113" s="275"/>
      <c r="G113" s="274"/>
      <c r="H113" s="596"/>
      <c r="I113" s="585"/>
      <c r="J113" s="580"/>
      <c r="K113" s="580"/>
      <c r="L113" s="580"/>
      <c r="M113" s="580"/>
      <c r="N113" s="580"/>
      <c r="O113" s="580"/>
      <c r="P113" s="586"/>
      <c r="Q113" s="586"/>
    </row>
    <row r="114" spans="1:17" ht="40" customHeight="1" x14ac:dyDescent="0.35">
      <c r="A114" s="278">
        <v>51</v>
      </c>
      <c r="B114" s="274" t="s">
        <v>688</v>
      </c>
      <c r="C114" s="274" t="s">
        <v>694</v>
      </c>
      <c r="D114" s="274" t="s">
        <v>121</v>
      </c>
      <c r="E114" s="274" t="s">
        <v>122</v>
      </c>
      <c r="F114" s="275" t="s">
        <v>88</v>
      </c>
      <c r="G114" s="274"/>
      <c r="H114" s="596"/>
      <c r="I114" s="585" t="s">
        <v>933</v>
      </c>
      <c r="J114" s="580" t="s">
        <v>394</v>
      </c>
      <c r="K114" s="580" t="s">
        <v>936</v>
      </c>
      <c r="L114" s="580" t="s">
        <v>882</v>
      </c>
      <c r="M114" s="580" t="s">
        <v>883</v>
      </c>
      <c r="N114" s="580" t="s">
        <v>884</v>
      </c>
      <c r="O114" s="580" t="s">
        <v>883</v>
      </c>
      <c r="P114" s="586">
        <v>45597</v>
      </c>
      <c r="Q114" s="586">
        <v>45626</v>
      </c>
    </row>
    <row r="115" spans="1:17" ht="40" customHeight="1" x14ac:dyDescent="0.35">
      <c r="A115" s="279"/>
      <c r="B115" s="274"/>
      <c r="C115" s="274"/>
      <c r="D115" s="274"/>
      <c r="E115" s="274"/>
      <c r="F115" s="275"/>
      <c r="G115" s="274"/>
      <c r="H115" s="596"/>
      <c r="I115" s="585"/>
      <c r="J115" s="580"/>
      <c r="K115" s="580"/>
      <c r="L115" s="580"/>
      <c r="M115" s="580"/>
      <c r="N115" s="580"/>
      <c r="O115" s="580"/>
      <c r="P115" s="586"/>
      <c r="Q115" s="586"/>
    </row>
    <row r="117" spans="1:17" ht="15" hidden="1" customHeight="1" x14ac:dyDescent="0.35">
      <c r="B117" s="368" t="s">
        <v>53</v>
      </c>
      <c r="C117" s="368" t="s">
        <v>54</v>
      </c>
      <c r="D117" s="368" t="s">
        <v>55</v>
      </c>
      <c r="E117" s="368" t="s">
        <v>56</v>
      </c>
      <c r="F117" s="368" t="s">
        <v>31</v>
      </c>
      <c r="G117" s="370" t="s">
        <v>57</v>
      </c>
      <c r="M117" s="370" t="s">
        <v>687</v>
      </c>
    </row>
    <row r="118" spans="1:17" ht="15" hidden="1" customHeight="1" x14ac:dyDescent="0.35">
      <c r="B118" s="369"/>
      <c r="C118" s="369"/>
      <c r="D118" s="369"/>
      <c r="E118" s="369"/>
      <c r="F118" s="369"/>
      <c r="G118" s="369"/>
      <c r="M118" s="369"/>
    </row>
    <row r="119" spans="1:17" ht="15" hidden="1" customHeight="1" x14ac:dyDescent="0.35">
      <c r="B119" s="1" t="s">
        <v>688</v>
      </c>
      <c r="C119" s="1" t="s">
        <v>689</v>
      </c>
      <c r="D119" s="1" t="s">
        <v>121</v>
      </c>
      <c r="E119" s="1" t="s">
        <v>122</v>
      </c>
      <c r="F119" s="1" t="s">
        <v>690</v>
      </c>
      <c r="G119" s="1" t="s">
        <v>691</v>
      </c>
      <c r="M119" s="13" t="s">
        <v>692</v>
      </c>
    </row>
    <row r="120" spans="1:17" ht="15" hidden="1" customHeight="1" x14ac:dyDescent="0.35">
      <c r="B120" s="1" t="s">
        <v>693</v>
      </c>
      <c r="C120" s="1" t="s">
        <v>694</v>
      </c>
      <c r="D120" s="1" t="s">
        <v>300</v>
      </c>
      <c r="E120" s="1" t="s">
        <v>695</v>
      </c>
      <c r="F120" s="1" t="s">
        <v>696</v>
      </c>
      <c r="G120" s="1" t="s">
        <v>697</v>
      </c>
      <c r="M120" s="13" t="s">
        <v>698</v>
      </c>
    </row>
    <row r="121" spans="1:17" ht="15" hidden="1" customHeight="1" x14ac:dyDescent="0.35">
      <c r="B121" s="1" t="s">
        <v>699</v>
      </c>
      <c r="C121" s="1" t="s">
        <v>700</v>
      </c>
      <c r="D121" s="1" t="s">
        <v>86</v>
      </c>
      <c r="E121" s="1" t="s">
        <v>301</v>
      </c>
      <c r="F121" s="1" t="s">
        <v>701</v>
      </c>
      <c r="G121" s="1" t="s">
        <v>702</v>
      </c>
      <c r="M121" s="13" t="s">
        <v>703</v>
      </c>
    </row>
    <row r="122" spans="1:17" ht="15" hidden="1" customHeight="1" x14ac:dyDescent="0.35">
      <c r="B122" s="1" t="s">
        <v>704</v>
      </c>
      <c r="C122" s="1" t="s">
        <v>705</v>
      </c>
      <c r="D122" s="1" t="s">
        <v>168</v>
      </c>
      <c r="E122" s="1" t="s">
        <v>706</v>
      </c>
      <c r="F122" s="1" t="s">
        <v>707</v>
      </c>
      <c r="G122" s="1" t="s">
        <v>708</v>
      </c>
    </row>
    <row r="123" spans="1:17" ht="15" hidden="1" customHeight="1" x14ac:dyDescent="0.35">
      <c r="B123" s="1" t="s">
        <v>709</v>
      </c>
      <c r="C123" s="1" t="s">
        <v>710</v>
      </c>
      <c r="D123" s="1" t="s">
        <v>711</v>
      </c>
      <c r="E123" s="1" t="s">
        <v>712</v>
      </c>
      <c r="F123" s="1" t="s">
        <v>713</v>
      </c>
      <c r="G123" s="1" t="s">
        <v>714</v>
      </c>
    </row>
    <row r="124" spans="1:17" ht="15" hidden="1" customHeight="1" x14ac:dyDescent="0.35">
      <c r="B124" s="1" t="s">
        <v>715</v>
      </c>
      <c r="C124" s="1" t="s">
        <v>716</v>
      </c>
      <c r="D124" s="1" t="s">
        <v>717</v>
      </c>
      <c r="E124" s="1" t="s">
        <v>154</v>
      </c>
      <c r="F124" s="1" t="s">
        <v>290</v>
      </c>
      <c r="G124" s="1" t="s">
        <v>463</v>
      </c>
    </row>
    <row r="125" spans="1:17" ht="15" hidden="1" customHeight="1" x14ac:dyDescent="0.35">
      <c r="B125" s="1" t="s">
        <v>718</v>
      </c>
      <c r="C125" s="1" t="s">
        <v>719</v>
      </c>
      <c r="D125" s="1" t="s">
        <v>720</v>
      </c>
      <c r="E125" s="1" t="s">
        <v>115</v>
      </c>
      <c r="F125" s="1" t="s">
        <v>721</v>
      </c>
      <c r="G125" s="1" t="s">
        <v>722</v>
      </c>
    </row>
    <row r="126" spans="1:17" ht="15" hidden="1" customHeight="1" x14ac:dyDescent="0.35">
      <c r="B126" s="1" t="s">
        <v>723</v>
      </c>
      <c r="C126" s="1" t="s">
        <v>724</v>
      </c>
      <c r="E126" s="1" t="s">
        <v>627</v>
      </c>
      <c r="F126" s="1" t="s">
        <v>725</v>
      </c>
      <c r="G126" s="1" t="s">
        <v>571</v>
      </c>
    </row>
    <row r="127" spans="1:17" ht="15" hidden="1" customHeight="1" x14ac:dyDescent="0.35">
      <c r="C127" s="1" t="s">
        <v>726</v>
      </c>
      <c r="E127" s="1" t="s">
        <v>126</v>
      </c>
      <c r="F127" s="1" t="s">
        <v>727</v>
      </c>
      <c r="G127" s="1" t="s">
        <v>100</v>
      </c>
    </row>
    <row r="128" spans="1:17" ht="15" hidden="1" customHeight="1" x14ac:dyDescent="0.35">
      <c r="C128" s="1" t="s">
        <v>728</v>
      </c>
      <c r="E128" s="1" t="s">
        <v>729</v>
      </c>
      <c r="F128" s="1" t="s">
        <v>730</v>
      </c>
      <c r="G128" s="1" t="s">
        <v>123</v>
      </c>
    </row>
    <row r="129" spans="5:7" ht="15" hidden="1" customHeight="1" x14ac:dyDescent="0.35">
      <c r="E129" s="1" t="s">
        <v>87</v>
      </c>
      <c r="F129" s="1" t="s">
        <v>731</v>
      </c>
      <c r="G129" s="1" t="s">
        <v>111</v>
      </c>
    </row>
    <row r="130" spans="5:7" ht="15" hidden="1" customHeight="1" x14ac:dyDescent="0.35">
      <c r="E130" s="1" t="s">
        <v>732</v>
      </c>
      <c r="F130" s="1" t="s">
        <v>733</v>
      </c>
      <c r="G130" s="1" t="s">
        <v>734</v>
      </c>
    </row>
    <row r="131" spans="5:7" ht="15" hidden="1" customHeight="1" x14ac:dyDescent="0.35">
      <c r="E131" s="1" t="s">
        <v>163</v>
      </c>
      <c r="G131" s="1" t="s">
        <v>735</v>
      </c>
    </row>
    <row r="132" spans="5:7" ht="15" hidden="1" customHeight="1" x14ac:dyDescent="0.35">
      <c r="E132" s="1" t="s">
        <v>736</v>
      </c>
      <c r="G132" s="1" t="s">
        <v>737</v>
      </c>
    </row>
    <row r="133" spans="5:7" ht="15" hidden="1" customHeight="1" x14ac:dyDescent="0.35">
      <c r="E133" s="1" t="s">
        <v>738</v>
      </c>
      <c r="G133" s="1" t="s">
        <v>739</v>
      </c>
    </row>
    <row r="134" spans="5:7" ht="15" hidden="1" customHeight="1" x14ac:dyDescent="0.35">
      <c r="E134" s="1" t="s">
        <v>110</v>
      </c>
      <c r="G134" s="1" t="s">
        <v>740</v>
      </c>
    </row>
    <row r="135" spans="5:7" ht="15" hidden="1" customHeight="1" x14ac:dyDescent="0.35">
      <c r="E135" s="1" t="s">
        <v>741</v>
      </c>
      <c r="G135" s="1" t="s">
        <v>742</v>
      </c>
    </row>
    <row r="136" spans="5:7" ht="15" hidden="1" customHeight="1" x14ac:dyDescent="0.35">
      <c r="E136" s="1" t="s">
        <v>743</v>
      </c>
      <c r="G136" s="1" t="s">
        <v>744</v>
      </c>
    </row>
    <row r="137" spans="5:7" ht="15" hidden="1" customHeight="1" x14ac:dyDescent="0.35">
      <c r="E137" s="1" t="s">
        <v>745</v>
      </c>
      <c r="G137" s="1" t="s">
        <v>746</v>
      </c>
    </row>
    <row r="138" spans="5:7" ht="15" hidden="1" customHeight="1" x14ac:dyDescent="0.35">
      <c r="G138" s="1" t="s">
        <v>747</v>
      </c>
    </row>
    <row r="139" spans="5:7" ht="15" hidden="1" customHeight="1" x14ac:dyDescent="0.35">
      <c r="G139" s="1" t="s">
        <v>748</v>
      </c>
    </row>
    <row r="140" spans="5:7" ht="15" hidden="1" customHeight="1" x14ac:dyDescent="0.35">
      <c r="G140" s="1" t="s">
        <v>749</v>
      </c>
    </row>
    <row r="141" spans="5:7" ht="15" hidden="1" customHeight="1" x14ac:dyDescent="0.35">
      <c r="G141" s="1" t="s">
        <v>750</v>
      </c>
    </row>
    <row r="142" spans="5:7" ht="15" hidden="1" customHeight="1" x14ac:dyDescent="0.35">
      <c r="G142" s="1" t="s">
        <v>751</v>
      </c>
    </row>
    <row r="143" spans="5:7" ht="15" hidden="1" customHeight="1" x14ac:dyDescent="0.35">
      <c r="G143" s="1" t="s">
        <v>752</v>
      </c>
    </row>
    <row r="144" spans="5:7" ht="15" hidden="1" customHeight="1" x14ac:dyDescent="0.35">
      <c r="G144" s="1" t="s">
        <v>753</v>
      </c>
    </row>
    <row r="145" spans="7:7" ht="15" hidden="1" customHeight="1" x14ac:dyDescent="0.35">
      <c r="G145" s="1" t="s">
        <v>754</v>
      </c>
    </row>
    <row r="146" spans="7:7" ht="15" hidden="1" customHeight="1" x14ac:dyDescent="0.35">
      <c r="G146" s="1" t="s">
        <v>755</v>
      </c>
    </row>
    <row r="147" spans="7:7" ht="15" hidden="1" customHeight="1" x14ac:dyDescent="0.35">
      <c r="G147" s="1" t="s">
        <v>756</v>
      </c>
    </row>
    <row r="148" spans="7:7" ht="15" hidden="1" customHeight="1" x14ac:dyDescent="0.35">
      <c r="G148" s="1" t="s">
        <v>757</v>
      </c>
    </row>
    <row r="149" spans="7:7" ht="15" hidden="1" customHeight="1" x14ac:dyDescent="0.35">
      <c r="G149" s="1" t="s">
        <v>758</v>
      </c>
    </row>
    <row r="150" spans="7:7" ht="15" hidden="1" customHeight="1" x14ac:dyDescent="0.35">
      <c r="G150" s="1" t="s">
        <v>759</v>
      </c>
    </row>
    <row r="151" spans="7:7" ht="15" hidden="1" customHeight="1" x14ac:dyDescent="0.35">
      <c r="G151" s="1" t="s">
        <v>760</v>
      </c>
    </row>
    <row r="152" spans="7:7" ht="15" hidden="1" customHeight="1" x14ac:dyDescent="0.35">
      <c r="G152" s="1" t="s">
        <v>127</v>
      </c>
    </row>
    <row r="153" spans="7:7" ht="15" hidden="1" customHeight="1" x14ac:dyDescent="0.35">
      <c r="G153" s="1" t="s">
        <v>761</v>
      </c>
    </row>
    <row r="154" spans="7:7" ht="15" hidden="1" customHeight="1" x14ac:dyDescent="0.35">
      <c r="G154" s="1" t="s">
        <v>762</v>
      </c>
    </row>
    <row r="155" spans="7:7" ht="15" hidden="1" customHeight="1" x14ac:dyDescent="0.35">
      <c r="G155" s="1" t="s">
        <v>763</v>
      </c>
    </row>
    <row r="156" spans="7:7" ht="15" hidden="1" customHeight="1" x14ac:dyDescent="0.35">
      <c r="G156" s="1" t="s">
        <v>764</v>
      </c>
    </row>
    <row r="157" spans="7:7" ht="15" hidden="1" customHeight="1" x14ac:dyDescent="0.35">
      <c r="G157" s="1" t="s">
        <v>89</v>
      </c>
    </row>
    <row r="158" spans="7:7" ht="15" hidden="1" customHeight="1" x14ac:dyDescent="0.35">
      <c r="G158" s="1" t="s">
        <v>765</v>
      </c>
    </row>
    <row r="159" spans="7:7" ht="15" hidden="1" customHeight="1" x14ac:dyDescent="0.35">
      <c r="G159" s="1" t="s">
        <v>766</v>
      </c>
    </row>
    <row r="160" spans="7:7" ht="15" hidden="1" customHeight="1" x14ac:dyDescent="0.35">
      <c r="G160" s="1" t="s">
        <v>307</v>
      </c>
    </row>
    <row r="161" spans="7:7" ht="15" hidden="1" customHeight="1" x14ac:dyDescent="0.35">
      <c r="G161" s="1" t="s">
        <v>767</v>
      </c>
    </row>
    <row r="162" spans="7:7" ht="15" hidden="1" customHeight="1" x14ac:dyDescent="0.35">
      <c r="G162" s="1" t="s">
        <v>768</v>
      </c>
    </row>
    <row r="163" spans="7:7" ht="15" hidden="1" customHeight="1" x14ac:dyDescent="0.35">
      <c r="G163" s="1" t="s">
        <v>769</v>
      </c>
    </row>
    <row r="164" spans="7:7" ht="15" hidden="1" customHeight="1" x14ac:dyDescent="0.35">
      <c r="G164" s="1" t="s">
        <v>770</v>
      </c>
    </row>
    <row r="165" spans="7:7" ht="15" hidden="1" customHeight="1" x14ac:dyDescent="0.35">
      <c r="G165" s="1" t="s">
        <v>771</v>
      </c>
    </row>
    <row r="166" spans="7:7" ht="15" hidden="1" customHeight="1" x14ac:dyDescent="0.35">
      <c r="G166" s="1" t="s">
        <v>772</v>
      </c>
    </row>
    <row r="167" spans="7:7" ht="15" hidden="1" customHeight="1" x14ac:dyDescent="0.35">
      <c r="G167" s="1" t="s">
        <v>773</v>
      </c>
    </row>
    <row r="168" spans="7:7" ht="15" hidden="1" customHeight="1" x14ac:dyDescent="0.35">
      <c r="G168" s="1" t="s">
        <v>774</v>
      </c>
    </row>
    <row r="169" spans="7:7" ht="15" hidden="1" customHeight="1" x14ac:dyDescent="0.35">
      <c r="G169" s="1" t="s">
        <v>775</v>
      </c>
    </row>
    <row r="170" spans="7:7" ht="15" hidden="1" customHeight="1" x14ac:dyDescent="0.35">
      <c r="G170" s="1" t="s">
        <v>305</v>
      </c>
    </row>
    <row r="171" spans="7:7" ht="15" hidden="1" customHeight="1" x14ac:dyDescent="0.35">
      <c r="G171" s="1" t="s">
        <v>40</v>
      </c>
    </row>
    <row r="172" spans="7:7" ht="15" hidden="1" customHeight="1" x14ac:dyDescent="0.35">
      <c r="G172" s="1" t="s">
        <v>157</v>
      </c>
    </row>
    <row r="173" spans="7:7" ht="15" hidden="1" customHeight="1" x14ac:dyDescent="0.35">
      <c r="G173" s="1" t="s">
        <v>776</v>
      </c>
    </row>
    <row r="174" spans="7:7" ht="15" hidden="1" customHeight="1" x14ac:dyDescent="0.35">
      <c r="G174" s="1" t="s">
        <v>777</v>
      </c>
    </row>
    <row r="175" spans="7:7" ht="15" hidden="1" customHeight="1" x14ac:dyDescent="0.35">
      <c r="G175" s="1" t="s">
        <v>778</v>
      </c>
    </row>
    <row r="176" spans="7:7" ht="15" hidden="1" customHeight="1" x14ac:dyDescent="0.35">
      <c r="G176" s="1" t="s">
        <v>779</v>
      </c>
    </row>
    <row r="177" spans="7:7" ht="15" hidden="1" customHeight="1" x14ac:dyDescent="0.35">
      <c r="G177" s="1" t="s">
        <v>780</v>
      </c>
    </row>
    <row r="178" spans="7:7" ht="15" hidden="1" customHeight="1" x14ac:dyDescent="0.35">
      <c r="G178" s="1" t="s">
        <v>781</v>
      </c>
    </row>
  </sheetData>
  <sheetProtection algorithmName="SHA-512" hashValue="+mBV9eKckmxbxFb9MWuxqbDN5lclryGYe4/q8dW87EzSIi//mQDRUnOdz+TXGJdDOFqLUJUdYI7gzkghzLgH7g==" saltValue="tfoGtMoCr9MLUBpg61vI6Q==" spinCount="100000" sheet="1" formatCells="0" formatColumns="0" formatRows="0" insertColumns="0" insertRows="0" insertHyperlinks="0" deleteColumns="0" deleteRows="0" sort="0" autoFilter="0" pivotTables="0"/>
  <autoFilter ref="A1:AK111"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1041">
    <mergeCell ref="H100:H103"/>
    <mergeCell ref="H104:H115"/>
    <mergeCell ref="N112:N113"/>
    <mergeCell ref="O112:O113"/>
    <mergeCell ref="P112:P113"/>
    <mergeCell ref="Q112:Q113"/>
    <mergeCell ref="A114:A115"/>
    <mergeCell ref="B114:B115"/>
    <mergeCell ref="C114:C115"/>
    <mergeCell ref="D114:D115"/>
    <mergeCell ref="E114:E115"/>
    <mergeCell ref="F114:F115"/>
    <mergeCell ref="I114:I115"/>
    <mergeCell ref="J114:J115"/>
    <mergeCell ref="K114:K115"/>
    <mergeCell ref="L114:L115"/>
    <mergeCell ref="M114:M115"/>
    <mergeCell ref="N114:N115"/>
    <mergeCell ref="O114:O115"/>
    <mergeCell ref="P114:P115"/>
    <mergeCell ref="Q114:Q115"/>
    <mergeCell ref="B117:B118"/>
    <mergeCell ref="C117:C118"/>
    <mergeCell ref="D117:D118"/>
    <mergeCell ref="E117:E118"/>
    <mergeCell ref="F117:F118"/>
    <mergeCell ref="G117:G118"/>
    <mergeCell ref="M117:M118"/>
    <mergeCell ref="A112:A113"/>
    <mergeCell ref="B112:B113"/>
    <mergeCell ref="C112:C113"/>
    <mergeCell ref="D112:D113"/>
    <mergeCell ref="E112:E113"/>
    <mergeCell ref="F112:F113"/>
    <mergeCell ref="I112:I113"/>
    <mergeCell ref="J112:J113"/>
    <mergeCell ref="K112:K113"/>
    <mergeCell ref="L112:L113"/>
    <mergeCell ref="M112:M113"/>
    <mergeCell ref="G104:G115"/>
    <mergeCell ref="U6:X10"/>
    <mergeCell ref="Y6:AB10"/>
    <mergeCell ref="AG12:AG13"/>
    <mergeCell ref="AH12:AH13"/>
    <mergeCell ref="M12:M13"/>
    <mergeCell ref="N12:N13"/>
    <mergeCell ref="O12:O13"/>
    <mergeCell ref="R12:R13"/>
    <mergeCell ref="S12:S13"/>
    <mergeCell ref="T12:T13"/>
    <mergeCell ref="G12:G13"/>
    <mergeCell ref="H12:H13"/>
    <mergeCell ref="I12:I13"/>
    <mergeCell ref="J12:J13"/>
    <mergeCell ref="G11:Q11"/>
    <mergeCell ref="N6:Q10"/>
    <mergeCell ref="J14:J15"/>
    <mergeCell ref="K14:K15"/>
    <mergeCell ref="AA12:AA13"/>
    <mergeCell ref="AB12:AB13"/>
    <mergeCell ref="AC12:AC13"/>
    <mergeCell ref="AD12:AD13"/>
    <mergeCell ref="AE12:AE13"/>
    <mergeCell ref="AF12:AF13"/>
    <mergeCell ref="U12:U13"/>
    <mergeCell ref="V12:V13"/>
    <mergeCell ref="W12:W13"/>
    <mergeCell ref="X12:X13"/>
    <mergeCell ref="Y12:Y13"/>
    <mergeCell ref="Z12:Z13"/>
    <mergeCell ref="G14:G29"/>
    <mergeCell ref="H14:H29"/>
    <mergeCell ref="AK18:AK19"/>
    <mergeCell ref="A1:C3"/>
    <mergeCell ref="D1:AK3"/>
    <mergeCell ref="A4:A5"/>
    <mergeCell ref="G4:G5"/>
    <mergeCell ref="A6:B10"/>
    <mergeCell ref="C6:D10"/>
    <mergeCell ref="E6:F10"/>
    <mergeCell ref="G6:G10"/>
    <mergeCell ref="H6:I10"/>
    <mergeCell ref="J6:J10"/>
    <mergeCell ref="K12:K13"/>
    <mergeCell ref="L12:L13"/>
    <mergeCell ref="A12:A13"/>
    <mergeCell ref="B12:B13"/>
    <mergeCell ref="C12:C13"/>
    <mergeCell ref="D12:D13"/>
    <mergeCell ref="E12:E13"/>
    <mergeCell ref="F12:F13"/>
    <mergeCell ref="AC6:AF10"/>
    <mergeCell ref="AG6:AH10"/>
    <mergeCell ref="AI12:AI13"/>
    <mergeCell ref="AJ12:AJ13"/>
    <mergeCell ref="AK12:AK13"/>
    <mergeCell ref="AI6:AI10"/>
    <mergeCell ref="AJ6:AJ10"/>
    <mergeCell ref="A11:F11"/>
    <mergeCell ref="R11:AG11"/>
    <mergeCell ref="AH11:AK11"/>
    <mergeCell ref="K6:L10"/>
    <mergeCell ref="M6:M10"/>
    <mergeCell ref="R6:T10"/>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AJ16:AJ17"/>
    <mergeCell ref="AK16:AK17"/>
    <mergeCell ref="I16:I17"/>
    <mergeCell ref="L18:L19"/>
    <mergeCell ref="M18:M19"/>
    <mergeCell ref="N18:N19"/>
    <mergeCell ref="O18:O19"/>
    <mergeCell ref="AH18:AH19"/>
    <mergeCell ref="AI18:AI19"/>
    <mergeCell ref="B18:B19"/>
    <mergeCell ref="C18:C19"/>
    <mergeCell ref="D18:D19"/>
    <mergeCell ref="E18:E19"/>
    <mergeCell ref="A16:A17"/>
    <mergeCell ref="B16:B17"/>
    <mergeCell ref="C16:C17"/>
    <mergeCell ref="D16:D17"/>
    <mergeCell ref="E16:E17"/>
    <mergeCell ref="F16:F17"/>
    <mergeCell ref="J16:J17"/>
    <mergeCell ref="K16:K17"/>
    <mergeCell ref="L16:L17"/>
    <mergeCell ref="M16:M17"/>
    <mergeCell ref="N16:N17"/>
    <mergeCell ref="F22:F23"/>
    <mergeCell ref="I22:I23"/>
    <mergeCell ref="J22:J23"/>
    <mergeCell ref="K22:K23"/>
    <mergeCell ref="A18:A19"/>
    <mergeCell ref="O20:O21"/>
    <mergeCell ref="AH20:AH21"/>
    <mergeCell ref="AI20:AI21"/>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O24:O25"/>
    <mergeCell ref="AH24:AH25"/>
    <mergeCell ref="AI24:AI25"/>
    <mergeCell ref="AJ24:AJ25"/>
    <mergeCell ref="AK24:AK25"/>
    <mergeCell ref="A26:A27"/>
    <mergeCell ref="B26:B27"/>
    <mergeCell ref="C26:C27"/>
    <mergeCell ref="D26:D27"/>
    <mergeCell ref="E26:E27"/>
    <mergeCell ref="I24:I25"/>
    <mergeCell ref="J24:J25"/>
    <mergeCell ref="K24:K25"/>
    <mergeCell ref="L24:L25"/>
    <mergeCell ref="M24:M25"/>
    <mergeCell ref="N24:N25"/>
    <mergeCell ref="AJ22:AJ23"/>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A28:A29"/>
    <mergeCell ref="B28:B29"/>
    <mergeCell ref="C28:C29"/>
    <mergeCell ref="D28:D29"/>
    <mergeCell ref="E28:E29"/>
    <mergeCell ref="A30:A31"/>
    <mergeCell ref="B30:B31"/>
    <mergeCell ref="AJ26:AJ27"/>
    <mergeCell ref="AK26:AK27"/>
    <mergeCell ref="M28:M29"/>
    <mergeCell ref="N28:N29"/>
    <mergeCell ref="O28:O29"/>
    <mergeCell ref="AH28:AH29"/>
    <mergeCell ref="L26:L27"/>
    <mergeCell ref="M26:M27"/>
    <mergeCell ref="N26:N27"/>
    <mergeCell ref="O26:O27"/>
    <mergeCell ref="AH26:AH27"/>
    <mergeCell ref="AI26:AI27"/>
    <mergeCell ref="F26:F27"/>
    <mergeCell ref="I26:I27"/>
    <mergeCell ref="J26:J27"/>
    <mergeCell ref="K26:K27"/>
    <mergeCell ref="G30:G49"/>
    <mergeCell ref="H30:H49"/>
    <mergeCell ref="A34:A35"/>
    <mergeCell ref="B34:B35"/>
    <mergeCell ref="C34:C35"/>
    <mergeCell ref="D34:D35"/>
    <mergeCell ref="E34:E35"/>
    <mergeCell ref="A36:A37"/>
    <mergeCell ref="B36:B37"/>
    <mergeCell ref="C36:C37"/>
    <mergeCell ref="D36:D37"/>
    <mergeCell ref="E36:E37"/>
    <mergeCell ref="C30:C31"/>
    <mergeCell ref="D30:D31"/>
    <mergeCell ref="E30:E31"/>
    <mergeCell ref="A32:A33"/>
    <mergeCell ref="B32:B33"/>
    <mergeCell ref="C32:C33"/>
    <mergeCell ref="D32:D33"/>
    <mergeCell ref="E32:E33"/>
    <mergeCell ref="A42:A43"/>
    <mergeCell ref="B42:B43"/>
    <mergeCell ref="C42:C43"/>
    <mergeCell ref="D42:D43"/>
    <mergeCell ref="E42:E43"/>
    <mergeCell ref="A44:A45"/>
    <mergeCell ref="B44:B45"/>
    <mergeCell ref="C44:C45"/>
    <mergeCell ref="D44:D45"/>
    <mergeCell ref="E44:E45"/>
    <mergeCell ref="A38:A39"/>
    <mergeCell ref="B38:B39"/>
    <mergeCell ref="C38:C39"/>
    <mergeCell ref="D38:D39"/>
    <mergeCell ref="E38:E39"/>
    <mergeCell ref="A40:A41"/>
    <mergeCell ref="B40:B41"/>
    <mergeCell ref="C40:C41"/>
    <mergeCell ref="D40:D41"/>
    <mergeCell ref="E40:E41"/>
    <mergeCell ref="A50:A51"/>
    <mergeCell ref="B50:B51"/>
    <mergeCell ref="C50:C51"/>
    <mergeCell ref="D50:D51"/>
    <mergeCell ref="E50:E51"/>
    <mergeCell ref="A52:A53"/>
    <mergeCell ref="B52:B53"/>
    <mergeCell ref="C52:C53"/>
    <mergeCell ref="D52:D53"/>
    <mergeCell ref="E52:E53"/>
    <mergeCell ref="A46:A47"/>
    <mergeCell ref="B46:B47"/>
    <mergeCell ref="C46:C47"/>
    <mergeCell ref="D46:D47"/>
    <mergeCell ref="E46:E47"/>
    <mergeCell ref="A48:A49"/>
    <mergeCell ref="B48:B49"/>
    <mergeCell ref="C48:C49"/>
    <mergeCell ref="D48:D49"/>
    <mergeCell ref="E48:E49"/>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84:A85"/>
    <mergeCell ref="B84:B85"/>
    <mergeCell ref="C84:C85"/>
    <mergeCell ref="D84:D85"/>
    <mergeCell ref="E84:E85"/>
    <mergeCell ref="A86:A87"/>
    <mergeCell ref="B86:B87"/>
    <mergeCell ref="C86:C87"/>
    <mergeCell ref="D86:D87"/>
    <mergeCell ref="E86:E87"/>
    <mergeCell ref="A80:A81"/>
    <mergeCell ref="B80:B81"/>
    <mergeCell ref="C80:C81"/>
    <mergeCell ref="D80:D81"/>
    <mergeCell ref="E80:E81"/>
    <mergeCell ref="A82:A83"/>
    <mergeCell ref="B82:B83"/>
    <mergeCell ref="C82:C83"/>
    <mergeCell ref="D82:D83"/>
    <mergeCell ref="E82:E83"/>
    <mergeCell ref="A92:A93"/>
    <mergeCell ref="B92:B93"/>
    <mergeCell ref="C92:C93"/>
    <mergeCell ref="D92:D93"/>
    <mergeCell ref="E92:E93"/>
    <mergeCell ref="A94:A95"/>
    <mergeCell ref="B94:B95"/>
    <mergeCell ref="C94:C95"/>
    <mergeCell ref="D94:D95"/>
    <mergeCell ref="E94:E95"/>
    <mergeCell ref="A88:A89"/>
    <mergeCell ref="B88:B89"/>
    <mergeCell ref="C88:C89"/>
    <mergeCell ref="D88:D89"/>
    <mergeCell ref="E88:E89"/>
    <mergeCell ref="A90:A91"/>
    <mergeCell ref="B90:B91"/>
    <mergeCell ref="C90:C91"/>
    <mergeCell ref="D90:D91"/>
    <mergeCell ref="E90:E91"/>
    <mergeCell ref="A100:A101"/>
    <mergeCell ref="B100:B101"/>
    <mergeCell ref="C100:C101"/>
    <mergeCell ref="D100:D101"/>
    <mergeCell ref="E100:E101"/>
    <mergeCell ref="A102:A103"/>
    <mergeCell ref="B102:B103"/>
    <mergeCell ref="C102:C103"/>
    <mergeCell ref="D102:D103"/>
    <mergeCell ref="E102:E103"/>
    <mergeCell ref="A96:A97"/>
    <mergeCell ref="B96:B97"/>
    <mergeCell ref="C96:C97"/>
    <mergeCell ref="D96:D97"/>
    <mergeCell ref="E96:E97"/>
    <mergeCell ref="A98:A99"/>
    <mergeCell ref="B98:B99"/>
    <mergeCell ref="C98:C99"/>
    <mergeCell ref="D98:D99"/>
    <mergeCell ref="E98:E99"/>
    <mergeCell ref="A108:A109"/>
    <mergeCell ref="B108:B109"/>
    <mergeCell ref="C108:C109"/>
    <mergeCell ref="D108:D109"/>
    <mergeCell ref="E108:E109"/>
    <mergeCell ref="A110:A111"/>
    <mergeCell ref="B110:B111"/>
    <mergeCell ref="C110:C111"/>
    <mergeCell ref="D110:D111"/>
    <mergeCell ref="E110:E111"/>
    <mergeCell ref="A104:A105"/>
    <mergeCell ref="B104:B105"/>
    <mergeCell ref="C104:C105"/>
    <mergeCell ref="D104:D105"/>
    <mergeCell ref="E104:E105"/>
    <mergeCell ref="A106:A107"/>
    <mergeCell ref="B106:B107"/>
    <mergeCell ref="C106:C107"/>
    <mergeCell ref="D106:D107"/>
    <mergeCell ref="E106:E107"/>
    <mergeCell ref="N30:N31"/>
    <mergeCell ref="O30:O31"/>
    <mergeCell ref="AH30:AH31"/>
    <mergeCell ref="AI30:AI31"/>
    <mergeCell ref="AJ30:AJ31"/>
    <mergeCell ref="AK30:AK31"/>
    <mergeCell ref="AI28:AI29"/>
    <mergeCell ref="AJ28:AJ29"/>
    <mergeCell ref="AK28:AK29"/>
    <mergeCell ref="F30:F31"/>
    <mergeCell ref="I30:I31"/>
    <mergeCell ref="J30:J31"/>
    <mergeCell ref="K30:K31"/>
    <mergeCell ref="L30:L31"/>
    <mergeCell ref="M30:M31"/>
    <mergeCell ref="F28:F29"/>
    <mergeCell ref="I28:I29"/>
    <mergeCell ref="J28:J29"/>
    <mergeCell ref="K28:K29"/>
    <mergeCell ref="L28:L29"/>
    <mergeCell ref="AH34:AH35"/>
    <mergeCell ref="AI34:AI35"/>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I32:AI33"/>
    <mergeCell ref="AJ32:AJ33"/>
    <mergeCell ref="P32:P33"/>
    <mergeCell ref="Q32:Q33"/>
    <mergeCell ref="F32:F33"/>
    <mergeCell ref="I32:I33"/>
    <mergeCell ref="J32:J33"/>
    <mergeCell ref="K32:K33"/>
    <mergeCell ref="L32:L33"/>
    <mergeCell ref="F40:F41"/>
    <mergeCell ref="I40:I41"/>
    <mergeCell ref="J40:J41"/>
    <mergeCell ref="AK36:AK37"/>
    <mergeCell ref="F38:F39"/>
    <mergeCell ref="I38:I39"/>
    <mergeCell ref="J38:J39"/>
    <mergeCell ref="K38:K39"/>
    <mergeCell ref="L38:L39"/>
    <mergeCell ref="M38:M39"/>
    <mergeCell ref="N38:N39"/>
    <mergeCell ref="M36:M37"/>
    <mergeCell ref="N36:N37"/>
    <mergeCell ref="O36:O37"/>
    <mergeCell ref="AH36:AH37"/>
    <mergeCell ref="AI36:AI37"/>
    <mergeCell ref="AJ36:AJ37"/>
    <mergeCell ref="AI40:AI41"/>
    <mergeCell ref="AJ40:AJ41"/>
    <mergeCell ref="AK40:AK41"/>
    <mergeCell ref="K40:K41"/>
    <mergeCell ref="L40:L41"/>
    <mergeCell ref="M40:M41"/>
    <mergeCell ref="N40:N41"/>
    <mergeCell ref="O40:O41"/>
    <mergeCell ref="AH40:AH41"/>
    <mergeCell ref="P40:P41"/>
    <mergeCell ref="Q40:Q41"/>
    <mergeCell ref="O44:O45"/>
    <mergeCell ref="AH44:AH45"/>
    <mergeCell ref="O38:O39"/>
    <mergeCell ref="AH38:AH39"/>
    <mergeCell ref="AI44:AI45"/>
    <mergeCell ref="Q38:Q39"/>
    <mergeCell ref="AI38:AI39"/>
    <mergeCell ref="AJ38:AJ39"/>
    <mergeCell ref="AK38:AK39"/>
    <mergeCell ref="AJ44:AJ45"/>
    <mergeCell ref="AK44:AK45"/>
    <mergeCell ref="F46:F47"/>
    <mergeCell ref="I46:I47"/>
    <mergeCell ref="J46:J47"/>
    <mergeCell ref="AK42:AK43"/>
    <mergeCell ref="F44:F45"/>
    <mergeCell ref="I44:I45"/>
    <mergeCell ref="J44:J45"/>
    <mergeCell ref="K44:K45"/>
    <mergeCell ref="L44:L45"/>
    <mergeCell ref="M44:M45"/>
    <mergeCell ref="N44:N45"/>
    <mergeCell ref="M42:M43"/>
    <mergeCell ref="N42:N43"/>
    <mergeCell ref="O42:O43"/>
    <mergeCell ref="AH42:AH43"/>
    <mergeCell ref="AI42:AI43"/>
    <mergeCell ref="AJ42:AJ43"/>
    <mergeCell ref="P42:P43"/>
    <mergeCell ref="Q42:Q43"/>
    <mergeCell ref="P44:P45"/>
    <mergeCell ref="Q44:Q45"/>
    <mergeCell ref="P46:P47"/>
    <mergeCell ref="Q46:Q47"/>
    <mergeCell ref="F42:F43"/>
    <mergeCell ref="I42:I43"/>
    <mergeCell ref="J42:J43"/>
    <mergeCell ref="K42:K43"/>
    <mergeCell ref="L42:L43"/>
    <mergeCell ref="AK48:AK49"/>
    <mergeCell ref="F50:F51"/>
    <mergeCell ref="I50:I51"/>
    <mergeCell ref="J50:J51"/>
    <mergeCell ref="K50:K51"/>
    <mergeCell ref="L50:L51"/>
    <mergeCell ref="M50:M51"/>
    <mergeCell ref="N50:N51"/>
    <mergeCell ref="M48:M49"/>
    <mergeCell ref="N48:N49"/>
    <mergeCell ref="O48:O49"/>
    <mergeCell ref="AH48:AH49"/>
    <mergeCell ref="AI48:AI49"/>
    <mergeCell ref="AJ48:AJ49"/>
    <mergeCell ref="AI46:AI47"/>
    <mergeCell ref="AJ46:AJ47"/>
    <mergeCell ref="AK46:AK47"/>
    <mergeCell ref="F48:F49"/>
    <mergeCell ref="I48:I49"/>
    <mergeCell ref="J48:J49"/>
    <mergeCell ref="K48:K49"/>
    <mergeCell ref="L48:L49"/>
    <mergeCell ref="K46:K47"/>
    <mergeCell ref="L46:L47"/>
    <mergeCell ref="M46:M47"/>
    <mergeCell ref="N46:N47"/>
    <mergeCell ref="O46:O47"/>
    <mergeCell ref="AH46:AH47"/>
    <mergeCell ref="G50:G89"/>
    <mergeCell ref="H50:H89"/>
    <mergeCell ref="AI52:AI53"/>
    <mergeCell ref="AJ52:AJ53"/>
    <mergeCell ref="AK52:AK53"/>
    <mergeCell ref="F54:F55"/>
    <mergeCell ref="I54:I55"/>
    <mergeCell ref="J54:J55"/>
    <mergeCell ref="K54:K55"/>
    <mergeCell ref="L54:L55"/>
    <mergeCell ref="K52:K53"/>
    <mergeCell ref="L52:L53"/>
    <mergeCell ref="M52:M53"/>
    <mergeCell ref="N52:N53"/>
    <mergeCell ref="O52:O53"/>
    <mergeCell ref="AH52:AH53"/>
    <mergeCell ref="O50:O51"/>
    <mergeCell ref="AH50:AH51"/>
    <mergeCell ref="AI50:AI51"/>
    <mergeCell ref="AJ50:AJ51"/>
    <mergeCell ref="AK50:AK51"/>
    <mergeCell ref="F52:F53"/>
    <mergeCell ref="I52:I53"/>
    <mergeCell ref="J52:J53"/>
    <mergeCell ref="P50:P51"/>
    <mergeCell ref="Q50:Q51"/>
    <mergeCell ref="P52:P53"/>
    <mergeCell ref="Q52:Q53"/>
    <mergeCell ref="O56:O57"/>
    <mergeCell ref="AH56:AH57"/>
    <mergeCell ref="AI56:AI57"/>
    <mergeCell ref="AJ56:AJ57"/>
    <mergeCell ref="AK56:AK57"/>
    <mergeCell ref="F58:F59"/>
    <mergeCell ref="I58:I59"/>
    <mergeCell ref="J58:J59"/>
    <mergeCell ref="AK54:AK55"/>
    <mergeCell ref="F56:F57"/>
    <mergeCell ref="I56:I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Q54:Q55"/>
    <mergeCell ref="AI58:AI59"/>
    <mergeCell ref="AJ58:AJ59"/>
    <mergeCell ref="AK58:AK59"/>
    <mergeCell ref="F60:F61"/>
    <mergeCell ref="I60:I61"/>
    <mergeCell ref="J60:J61"/>
    <mergeCell ref="K60:K61"/>
    <mergeCell ref="L60:L61"/>
    <mergeCell ref="K58:K59"/>
    <mergeCell ref="L58:L59"/>
    <mergeCell ref="M58:M59"/>
    <mergeCell ref="N58:N59"/>
    <mergeCell ref="O58:O59"/>
    <mergeCell ref="AH58:AH59"/>
    <mergeCell ref="P58:P59"/>
    <mergeCell ref="Q58:Q59"/>
    <mergeCell ref="P60:P61"/>
    <mergeCell ref="Q60:Q61"/>
    <mergeCell ref="M62:M63"/>
    <mergeCell ref="N62:N63"/>
    <mergeCell ref="O62:O63"/>
    <mergeCell ref="AH62:AH63"/>
    <mergeCell ref="AI62:AI63"/>
    <mergeCell ref="AJ62:AJ63"/>
    <mergeCell ref="P62:P63"/>
    <mergeCell ref="Q62:Q63"/>
    <mergeCell ref="F62:F63"/>
    <mergeCell ref="I62:I63"/>
    <mergeCell ref="J62:J63"/>
    <mergeCell ref="K62:K63"/>
    <mergeCell ref="L62:L63"/>
    <mergeCell ref="AI66:AI67"/>
    <mergeCell ref="AJ66:AJ67"/>
    <mergeCell ref="AK62:AK63"/>
    <mergeCell ref="AK60:AK61"/>
    <mergeCell ref="M60:M61"/>
    <mergeCell ref="N60:N61"/>
    <mergeCell ref="O60:O61"/>
    <mergeCell ref="AH60:AH61"/>
    <mergeCell ref="AI60:AI61"/>
    <mergeCell ref="AJ60:AJ61"/>
    <mergeCell ref="AK66:AK67"/>
    <mergeCell ref="F68:F69"/>
    <mergeCell ref="I68:I69"/>
    <mergeCell ref="J68:J69"/>
    <mergeCell ref="K68:K69"/>
    <mergeCell ref="L68:L69"/>
    <mergeCell ref="K66:K67"/>
    <mergeCell ref="L66:L67"/>
    <mergeCell ref="M66:M67"/>
    <mergeCell ref="N66:N67"/>
    <mergeCell ref="O66:O67"/>
    <mergeCell ref="AH66:AH67"/>
    <mergeCell ref="O64:O65"/>
    <mergeCell ref="AH64:AH65"/>
    <mergeCell ref="AI64:AI65"/>
    <mergeCell ref="AJ64:AJ65"/>
    <mergeCell ref="AK64:AK65"/>
    <mergeCell ref="F66:F67"/>
    <mergeCell ref="I66:I67"/>
    <mergeCell ref="J66:J67"/>
    <mergeCell ref="F64:F65"/>
    <mergeCell ref="I64:I65"/>
    <mergeCell ref="J64:J65"/>
    <mergeCell ref="K64:K65"/>
    <mergeCell ref="L64:L65"/>
    <mergeCell ref="M64:M65"/>
    <mergeCell ref="N64:N65"/>
    <mergeCell ref="O70:O71"/>
    <mergeCell ref="AH70:AH71"/>
    <mergeCell ref="AI70:AI71"/>
    <mergeCell ref="AJ70:AJ71"/>
    <mergeCell ref="AK70:AK71"/>
    <mergeCell ref="F72:F73"/>
    <mergeCell ref="I72:I73"/>
    <mergeCell ref="J72:J73"/>
    <mergeCell ref="AK68:AK69"/>
    <mergeCell ref="F70:F71"/>
    <mergeCell ref="I70:I71"/>
    <mergeCell ref="J70:J71"/>
    <mergeCell ref="K70:K71"/>
    <mergeCell ref="L70:L71"/>
    <mergeCell ref="M70:M71"/>
    <mergeCell ref="N70:N71"/>
    <mergeCell ref="M68:M69"/>
    <mergeCell ref="N68:N69"/>
    <mergeCell ref="O68:O69"/>
    <mergeCell ref="AH68:AH69"/>
    <mergeCell ref="AI68:AI69"/>
    <mergeCell ref="AJ68:AJ69"/>
    <mergeCell ref="AK74:AK75"/>
    <mergeCell ref="F76:F77"/>
    <mergeCell ref="I76:I77"/>
    <mergeCell ref="J76:J77"/>
    <mergeCell ref="K76:K77"/>
    <mergeCell ref="L76:L77"/>
    <mergeCell ref="M76:M77"/>
    <mergeCell ref="N76:N77"/>
    <mergeCell ref="M74:M75"/>
    <mergeCell ref="N74:N75"/>
    <mergeCell ref="O74:O75"/>
    <mergeCell ref="AH74:AH75"/>
    <mergeCell ref="AI74:AI75"/>
    <mergeCell ref="AJ74:AJ75"/>
    <mergeCell ref="AI72:AI73"/>
    <mergeCell ref="AJ72:AJ73"/>
    <mergeCell ref="AK72:AK73"/>
    <mergeCell ref="F74:F75"/>
    <mergeCell ref="I74:I75"/>
    <mergeCell ref="J74:J75"/>
    <mergeCell ref="K74:K75"/>
    <mergeCell ref="L74:L75"/>
    <mergeCell ref="K72:K73"/>
    <mergeCell ref="L72:L73"/>
    <mergeCell ref="M72:M73"/>
    <mergeCell ref="N72:N73"/>
    <mergeCell ref="O72:O73"/>
    <mergeCell ref="AH72:AH73"/>
    <mergeCell ref="AI78:AI79"/>
    <mergeCell ref="AJ78:AJ79"/>
    <mergeCell ref="AK78:AK79"/>
    <mergeCell ref="F80:F81"/>
    <mergeCell ref="I80:I81"/>
    <mergeCell ref="J80:J81"/>
    <mergeCell ref="K80:K81"/>
    <mergeCell ref="L80:L81"/>
    <mergeCell ref="K78:K79"/>
    <mergeCell ref="L78:L79"/>
    <mergeCell ref="M78:M79"/>
    <mergeCell ref="N78:N79"/>
    <mergeCell ref="O78:O79"/>
    <mergeCell ref="AH78:AH79"/>
    <mergeCell ref="O76:O77"/>
    <mergeCell ref="AH76:AH77"/>
    <mergeCell ref="AI76:AI77"/>
    <mergeCell ref="AJ76:AJ77"/>
    <mergeCell ref="AK76:AK77"/>
    <mergeCell ref="F78:F79"/>
    <mergeCell ref="I78:I79"/>
    <mergeCell ref="J78:J79"/>
    <mergeCell ref="P78:P79"/>
    <mergeCell ref="Q78:Q79"/>
    <mergeCell ref="O82:O83"/>
    <mergeCell ref="AH82:AH83"/>
    <mergeCell ref="AI82:AI83"/>
    <mergeCell ref="AJ82:AJ83"/>
    <mergeCell ref="AK82:AK83"/>
    <mergeCell ref="F84:F85"/>
    <mergeCell ref="I84:I85"/>
    <mergeCell ref="J84:J85"/>
    <mergeCell ref="AK80:AK81"/>
    <mergeCell ref="F82:F83"/>
    <mergeCell ref="I82:I83"/>
    <mergeCell ref="J82:J83"/>
    <mergeCell ref="K82:K83"/>
    <mergeCell ref="L82:L83"/>
    <mergeCell ref="M82:M83"/>
    <mergeCell ref="N82:N83"/>
    <mergeCell ref="M80:M81"/>
    <mergeCell ref="N80:N81"/>
    <mergeCell ref="O80:O81"/>
    <mergeCell ref="AH80:AH81"/>
    <mergeCell ref="AI80:AI81"/>
    <mergeCell ref="AJ80:AJ81"/>
    <mergeCell ref="P82:P83"/>
    <mergeCell ref="Q82:Q83"/>
    <mergeCell ref="P84:P85"/>
    <mergeCell ref="Q84:Q85"/>
    <mergeCell ref="P80:P81"/>
    <mergeCell ref="Q80:Q81"/>
    <mergeCell ref="AK86:AK87"/>
    <mergeCell ref="F88:F89"/>
    <mergeCell ref="I88:I89"/>
    <mergeCell ref="J88:J89"/>
    <mergeCell ref="K88:K89"/>
    <mergeCell ref="L88:L89"/>
    <mergeCell ref="M88:M89"/>
    <mergeCell ref="N88:N89"/>
    <mergeCell ref="M86:M87"/>
    <mergeCell ref="N86:N87"/>
    <mergeCell ref="O86:O87"/>
    <mergeCell ref="AH86:AH87"/>
    <mergeCell ref="AI86:AI87"/>
    <mergeCell ref="AJ86:AJ87"/>
    <mergeCell ref="AI84:AI85"/>
    <mergeCell ref="AJ84:AJ85"/>
    <mergeCell ref="AK84:AK85"/>
    <mergeCell ref="F86:F87"/>
    <mergeCell ref="I86:I87"/>
    <mergeCell ref="J86:J87"/>
    <mergeCell ref="K86:K87"/>
    <mergeCell ref="L86:L87"/>
    <mergeCell ref="K84:K85"/>
    <mergeCell ref="L84:L85"/>
    <mergeCell ref="M84:M85"/>
    <mergeCell ref="N84:N85"/>
    <mergeCell ref="O84:O85"/>
    <mergeCell ref="AH84:AH85"/>
    <mergeCell ref="P86:P87"/>
    <mergeCell ref="Q86:Q87"/>
    <mergeCell ref="AI90:AI91"/>
    <mergeCell ref="AJ90:AJ91"/>
    <mergeCell ref="AK90:AK91"/>
    <mergeCell ref="F92:F93"/>
    <mergeCell ref="I92:I93"/>
    <mergeCell ref="J92:J93"/>
    <mergeCell ref="K92:K93"/>
    <mergeCell ref="L92:L93"/>
    <mergeCell ref="K90:K91"/>
    <mergeCell ref="L90:L91"/>
    <mergeCell ref="M90:M91"/>
    <mergeCell ref="N90:N91"/>
    <mergeCell ref="O90:O91"/>
    <mergeCell ref="AH90:AH91"/>
    <mergeCell ref="O88:O89"/>
    <mergeCell ref="AH88:AH89"/>
    <mergeCell ref="AI88:AI89"/>
    <mergeCell ref="AJ88:AJ89"/>
    <mergeCell ref="AK88:AK89"/>
    <mergeCell ref="F90:F91"/>
    <mergeCell ref="I90:I91"/>
    <mergeCell ref="J90:J91"/>
    <mergeCell ref="P88:P89"/>
    <mergeCell ref="Q88:Q89"/>
    <mergeCell ref="P90:P91"/>
    <mergeCell ref="Q90:Q91"/>
    <mergeCell ref="G90:G99"/>
    <mergeCell ref="H90:H99"/>
    <mergeCell ref="O94:O95"/>
    <mergeCell ref="AH94:AH95"/>
    <mergeCell ref="AI94:AI95"/>
    <mergeCell ref="AJ94:AJ95"/>
    <mergeCell ref="AK94:AK95"/>
    <mergeCell ref="F96:F97"/>
    <mergeCell ref="I96:I97"/>
    <mergeCell ref="J96:J97"/>
    <mergeCell ref="AK92:AK93"/>
    <mergeCell ref="F94:F95"/>
    <mergeCell ref="I94:I95"/>
    <mergeCell ref="J94:J95"/>
    <mergeCell ref="K94:K95"/>
    <mergeCell ref="L94:L95"/>
    <mergeCell ref="M94:M95"/>
    <mergeCell ref="N94:N95"/>
    <mergeCell ref="M92:M93"/>
    <mergeCell ref="N92:N93"/>
    <mergeCell ref="O92:O93"/>
    <mergeCell ref="AH92:AH93"/>
    <mergeCell ref="AI92:AI93"/>
    <mergeCell ref="AJ92:AJ93"/>
    <mergeCell ref="P92:P93"/>
    <mergeCell ref="Q92:Q93"/>
    <mergeCell ref="P94:P95"/>
    <mergeCell ref="Q94:Q95"/>
    <mergeCell ref="M98:M99"/>
    <mergeCell ref="N98:N99"/>
    <mergeCell ref="O98:O99"/>
    <mergeCell ref="AH98:AH99"/>
    <mergeCell ref="AI98:AI99"/>
    <mergeCell ref="AJ98:AJ99"/>
    <mergeCell ref="AI96:AI97"/>
    <mergeCell ref="AJ96:AJ97"/>
    <mergeCell ref="AK96:AK97"/>
    <mergeCell ref="F98:F99"/>
    <mergeCell ref="I98:I99"/>
    <mergeCell ref="J98:J99"/>
    <mergeCell ref="K98:K99"/>
    <mergeCell ref="L98:L99"/>
    <mergeCell ref="K96:K97"/>
    <mergeCell ref="L96:L97"/>
    <mergeCell ref="M96:M97"/>
    <mergeCell ref="N96:N97"/>
    <mergeCell ref="O96:O97"/>
    <mergeCell ref="AH96:AH97"/>
    <mergeCell ref="P96:P97"/>
    <mergeCell ref="Q96:Q97"/>
    <mergeCell ref="P98:P99"/>
    <mergeCell ref="Q98:Q99"/>
    <mergeCell ref="F104:F105"/>
    <mergeCell ref="I104:I105"/>
    <mergeCell ref="J104:J105"/>
    <mergeCell ref="K104:K105"/>
    <mergeCell ref="L104:L105"/>
    <mergeCell ref="K102:K103"/>
    <mergeCell ref="L102:L103"/>
    <mergeCell ref="M102:M103"/>
    <mergeCell ref="N102:N103"/>
    <mergeCell ref="O102:O103"/>
    <mergeCell ref="AH102:AH103"/>
    <mergeCell ref="O100:O101"/>
    <mergeCell ref="AH100:AH101"/>
    <mergeCell ref="AI100:AI101"/>
    <mergeCell ref="AJ100:AJ101"/>
    <mergeCell ref="F102:F103"/>
    <mergeCell ref="I102:I103"/>
    <mergeCell ref="J102:J103"/>
    <mergeCell ref="F100:F101"/>
    <mergeCell ref="I100:I101"/>
    <mergeCell ref="J100:J101"/>
    <mergeCell ref="K100:K101"/>
    <mergeCell ref="L100:L101"/>
    <mergeCell ref="M100:M101"/>
    <mergeCell ref="N100:N101"/>
    <mergeCell ref="P100:P101"/>
    <mergeCell ref="Q100:Q101"/>
    <mergeCell ref="P102:P103"/>
    <mergeCell ref="Q102:Q103"/>
    <mergeCell ref="P104:P105"/>
    <mergeCell ref="Q104:Q105"/>
    <mergeCell ref="G100:G103"/>
    <mergeCell ref="F110:F111"/>
    <mergeCell ref="I110:I111"/>
    <mergeCell ref="J110:J111"/>
    <mergeCell ref="K110:K111"/>
    <mergeCell ref="L110:L111"/>
    <mergeCell ref="K108:K109"/>
    <mergeCell ref="L108:L109"/>
    <mergeCell ref="M108:M109"/>
    <mergeCell ref="N108:N109"/>
    <mergeCell ref="O108:O109"/>
    <mergeCell ref="AH108:AH109"/>
    <mergeCell ref="O106:O107"/>
    <mergeCell ref="AH106:AH107"/>
    <mergeCell ref="AI106:AI107"/>
    <mergeCell ref="AJ106:AJ107"/>
    <mergeCell ref="F108:F109"/>
    <mergeCell ref="I108:I109"/>
    <mergeCell ref="J108:J109"/>
    <mergeCell ref="F106:F107"/>
    <mergeCell ref="I106:I107"/>
    <mergeCell ref="J106:J107"/>
    <mergeCell ref="K106:K107"/>
    <mergeCell ref="L106:L107"/>
    <mergeCell ref="M106:M107"/>
    <mergeCell ref="N106:N107"/>
    <mergeCell ref="P106:P107"/>
    <mergeCell ref="Q106:Q107"/>
    <mergeCell ref="P108:P109"/>
    <mergeCell ref="Q108:Q109"/>
    <mergeCell ref="P110:P111"/>
    <mergeCell ref="Q110:Q111"/>
    <mergeCell ref="AK110:AK111"/>
    <mergeCell ref="P28:P29"/>
    <mergeCell ref="Q28:Q29"/>
    <mergeCell ref="P30:P31"/>
    <mergeCell ref="Q30:Q31"/>
    <mergeCell ref="M110:M111"/>
    <mergeCell ref="N110:N111"/>
    <mergeCell ref="O110:O111"/>
    <mergeCell ref="AH110:AH111"/>
    <mergeCell ref="AI110:AI111"/>
    <mergeCell ref="AJ110:AJ111"/>
    <mergeCell ref="AI108:AI109"/>
    <mergeCell ref="AJ108:AJ109"/>
    <mergeCell ref="AK108:AK109"/>
    <mergeCell ref="AK106:AK107"/>
    <mergeCell ref="AK104:AK105"/>
    <mergeCell ref="M104:M105"/>
    <mergeCell ref="N104:N105"/>
    <mergeCell ref="O104:O105"/>
    <mergeCell ref="AH104:AH105"/>
    <mergeCell ref="AI104:AI105"/>
    <mergeCell ref="AJ104:AJ105"/>
    <mergeCell ref="AI102:AI103"/>
    <mergeCell ref="AJ102:AJ103"/>
    <mergeCell ref="AK102:AK103"/>
    <mergeCell ref="AK100:AK101"/>
    <mergeCell ref="AK98:AK99"/>
    <mergeCell ref="P34:P35"/>
    <mergeCell ref="Q34:Q35"/>
    <mergeCell ref="P36:P37"/>
    <mergeCell ref="Q36:Q37"/>
    <mergeCell ref="P38:P39"/>
    <mergeCell ref="P24:P25"/>
    <mergeCell ref="Q24:Q25"/>
    <mergeCell ref="P26:P27"/>
    <mergeCell ref="Q26:Q27"/>
    <mergeCell ref="P12:P13"/>
    <mergeCell ref="Q12:Q13"/>
    <mergeCell ref="P14:P15"/>
    <mergeCell ref="Q14:Q15"/>
    <mergeCell ref="P16:P17"/>
    <mergeCell ref="Q16:Q17"/>
    <mergeCell ref="P18:P19"/>
    <mergeCell ref="Q18:Q19"/>
    <mergeCell ref="P20:P21"/>
    <mergeCell ref="P48:P49"/>
    <mergeCell ref="Q48:Q49"/>
    <mergeCell ref="P76:P77"/>
    <mergeCell ref="Q76:Q77"/>
    <mergeCell ref="P70:P71"/>
    <mergeCell ref="Q70:Q71"/>
    <mergeCell ref="P72:P73"/>
    <mergeCell ref="Q72:Q73"/>
    <mergeCell ref="P74:P75"/>
    <mergeCell ref="Q74:Q75"/>
    <mergeCell ref="P64:P65"/>
    <mergeCell ref="Q64:Q65"/>
    <mergeCell ref="P66:P67"/>
    <mergeCell ref="Q66:Q67"/>
    <mergeCell ref="P68:P69"/>
    <mergeCell ref="Q68:Q69"/>
  </mergeCells>
  <conditionalFormatting sqref="I4">
    <cfRule type="cellIs" dxfId="66" priority="16" operator="lessThanOrEqual">
      <formula>$C$4</formula>
    </cfRule>
  </conditionalFormatting>
  <conditionalFormatting sqref="J6 T14:T111">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8">
    <dataValidation type="decimal" allowBlank="1" showInputMessage="1" showErrorMessage="1" prompt="% de avance en la actividad - indique el % programado de avance durante esta semana_x000a_" sqref="U14:W23 X62:AG62 X14:AA35 V37:AG37 V39 W38:AG39 V60 V40:AG59 X60:AG60 V61:AG61 V62 U25:U111 V25:W35 V36:AA36 V63:AG111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109 S25 S23 S107 S27 S29 S31 S33 S35 S37 S39 S41 S43 S45 S47 S49 S51 S53 S55 S57 S59 S61 S63 S65 S67 S69 S71 S73 S75 S77 S79 S81 S83 S85 S87 S89 S91 S93 S95 S97 S99 S101 S103 S105 S111"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108 S28 S30 S32 S34 S36 S38 S40 S42 S44 S46 S48 S50 S52 S54 S56 S58 S60 S62 S64 S66 S68 S70 S72 S74 S76 S78 S80 S82 S84 S86 S88 S90 S92 S94 S96 S98 S100 S102 S104 S106 S110" xr:uid="{1FCCBE25-3ED1-412D-99D4-C303D09A2096}">
      <formula1>0</formula1>
      <formula2>1</formula2>
    </dataValidation>
    <dataValidation allowBlank="1" showErrorMessage="1" sqref="T14:T111" xr:uid="{4A1F63CC-23A9-4C82-AB9F-59CC5AC82840}"/>
    <dataValidation type="list" allowBlank="1" showInputMessage="1" showErrorMessage="1" sqref="E14:E115" xr:uid="{1E79DAE7-6DA1-45D9-8621-62B8BC5433E3}">
      <formula1>$E$117:$E$135</formula1>
    </dataValidation>
    <dataValidation type="list" allowBlank="1" showInputMessage="1" showErrorMessage="1" sqref="D14:D115" xr:uid="{4FA17605-8518-4574-A1BC-32A372559630}">
      <formula1>$D$117:$D$123</formula1>
    </dataValidation>
    <dataValidation type="list" allowBlank="1" showInputMessage="1" showErrorMessage="1" sqref="C14:C115" xr:uid="{A63D2CAE-328F-47C1-B8D2-27E8CA3350FB}">
      <formula1>$C$117:$C$126</formula1>
    </dataValidation>
    <dataValidation type="list" allowBlank="1" showInputMessage="1" showErrorMessage="1" sqref="B14:B115" xr:uid="{DBE825F7-60D3-4959-86F7-466681C4491C}">
      <formula1>$B$117:$B$124</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P152"/>
  <sheetViews>
    <sheetView topLeftCell="D2" zoomScale="45" zoomScaleNormal="45" workbookViewId="0">
      <selection activeCell="F48" sqref="F48:F49"/>
    </sheetView>
  </sheetViews>
  <sheetFormatPr baseColWidth="10" defaultColWidth="11.453125" defaultRowHeight="14.5" x14ac:dyDescent="0.35"/>
  <cols>
    <col min="1" max="1" width="14.7265625" style="70" hidden="1" customWidth="1"/>
    <col min="2" max="3" width="30.453125" style="70" hidden="1" customWidth="1"/>
    <col min="4" max="4" width="11.54296875" style="70" customWidth="1"/>
    <col min="5" max="5" width="65.26953125" style="70" customWidth="1"/>
    <col min="6" max="7" width="59.54296875" style="70" customWidth="1"/>
    <col min="8" max="8" width="37.54296875" style="70" customWidth="1"/>
    <col min="9" max="9" width="33.81640625" style="70" customWidth="1"/>
    <col min="10" max="10" width="41.26953125" style="70" customWidth="1"/>
    <col min="11" max="12" width="38.7265625" style="70" customWidth="1"/>
    <col min="13" max="13" width="52.7265625" style="70" customWidth="1"/>
    <col min="14" max="15" width="30.453125" style="70" customWidth="1"/>
    <col min="16" max="17" width="25.7265625" style="70" customWidth="1"/>
    <col min="18" max="18" width="26.7265625" style="70" hidden="1" customWidth="1"/>
    <col min="19" max="19" width="20.26953125" style="70" hidden="1" customWidth="1"/>
    <col min="20" max="22" width="30.453125" style="70" hidden="1" customWidth="1"/>
    <col min="23" max="24" width="25.54296875" style="70" hidden="1" customWidth="1"/>
    <col min="25" max="25" width="70.54296875" style="70" hidden="1" customWidth="1"/>
    <col min="26" max="27" width="25.54296875" style="70" hidden="1" customWidth="1"/>
    <col min="28" max="28" width="70.54296875" style="70" hidden="1" customWidth="1"/>
    <col min="29" max="30" width="25.54296875" style="70" hidden="1" customWidth="1"/>
    <col min="31" max="31" width="70.54296875" style="70" hidden="1" customWidth="1"/>
    <col min="32" max="32" width="20.54296875" style="70" customWidth="1"/>
    <col min="33" max="34" width="0" style="70" hidden="1" customWidth="1"/>
    <col min="35" max="40" width="23.54296875" style="70" hidden="1" customWidth="1"/>
    <col min="41" max="16384" width="11.453125" style="70"/>
  </cols>
  <sheetData>
    <row r="1" spans="1:42" ht="14.9" hidden="1" customHeight="1" x14ac:dyDescent="0.35">
      <c r="A1" s="72"/>
      <c r="B1" s="73"/>
      <c r="C1" s="73"/>
      <c r="D1" s="73"/>
      <c r="E1" s="73"/>
      <c r="F1" s="785" t="s">
        <v>937</v>
      </c>
      <c r="G1" s="785"/>
      <c r="H1" s="785"/>
      <c r="I1" s="785"/>
      <c r="J1" s="785"/>
      <c r="K1" s="785"/>
      <c r="L1" s="785"/>
      <c r="M1" s="785"/>
      <c r="N1" s="785"/>
      <c r="O1" s="785"/>
      <c r="P1" s="785"/>
      <c r="Q1" s="785"/>
      <c r="R1" s="785"/>
      <c r="S1" s="785"/>
      <c r="T1" s="785"/>
      <c r="U1" s="785"/>
      <c r="V1" s="785"/>
      <c r="W1" s="785"/>
      <c r="X1" s="785"/>
      <c r="Y1" s="785"/>
      <c r="Z1" s="785"/>
      <c r="AA1" s="785"/>
      <c r="AB1" s="785"/>
      <c r="AC1" s="785"/>
      <c r="AD1" s="785"/>
      <c r="AE1" s="785"/>
      <c r="AF1" s="786"/>
      <c r="AG1" s="762"/>
      <c r="AH1" s="612"/>
      <c r="AI1" s="75"/>
      <c r="AJ1" s="75"/>
      <c r="AK1" s="75"/>
      <c r="AL1" s="75"/>
      <c r="AM1" s="75"/>
      <c r="AN1" s="75"/>
      <c r="AO1" s="75"/>
      <c r="AP1" s="75"/>
    </row>
    <row r="2" spans="1:42" ht="14.9" customHeight="1" x14ac:dyDescent="0.35">
      <c r="A2" s="783"/>
      <c r="B2" s="784"/>
      <c r="C2" s="784"/>
      <c r="D2" s="784"/>
      <c r="E2" s="784"/>
      <c r="F2" s="787"/>
      <c r="G2" s="787"/>
      <c r="H2" s="787"/>
      <c r="I2" s="787"/>
      <c r="J2" s="787"/>
      <c r="K2" s="787"/>
      <c r="L2" s="787"/>
      <c r="M2" s="787"/>
      <c r="N2" s="787"/>
      <c r="O2" s="787"/>
      <c r="P2" s="787"/>
      <c r="Q2" s="787"/>
      <c r="R2" s="787"/>
      <c r="S2" s="787"/>
      <c r="T2" s="787"/>
      <c r="U2" s="787"/>
      <c r="V2" s="787"/>
      <c r="W2" s="787"/>
      <c r="X2" s="787"/>
      <c r="Y2" s="787"/>
      <c r="Z2" s="787"/>
      <c r="AA2" s="787"/>
      <c r="AB2" s="787"/>
      <c r="AC2" s="787"/>
      <c r="AD2" s="787"/>
      <c r="AE2" s="787"/>
      <c r="AF2" s="788"/>
      <c r="AG2" s="76"/>
      <c r="AH2" s="76"/>
      <c r="AI2" s="76"/>
      <c r="AJ2" s="75"/>
      <c r="AK2" s="75"/>
      <c r="AL2" s="75"/>
      <c r="AM2" s="75"/>
      <c r="AN2" s="75"/>
      <c r="AO2" s="75"/>
      <c r="AP2" s="75"/>
    </row>
    <row r="3" spans="1:42" ht="14.9" customHeight="1" x14ac:dyDescent="0.35">
      <c r="A3" s="783"/>
      <c r="B3" s="784"/>
      <c r="C3" s="784"/>
      <c r="D3" s="784"/>
      <c r="E3" s="784"/>
      <c r="F3" s="787"/>
      <c r="G3" s="787"/>
      <c r="H3" s="787"/>
      <c r="I3" s="787"/>
      <c r="J3" s="787"/>
      <c r="K3" s="787"/>
      <c r="L3" s="787"/>
      <c r="M3" s="787"/>
      <c r="N3" s="787"/>
      <c r="O3" s="787"/>
      <c r="P3" s="787"/>
      <c r="Q3" s="787"/>
      <c r="R3" s="787"/>
      <c r="S3" s="787"/>
      <c r="T3" s="787"/>
      <c r="U3" s="787"/>
      <c r="V3" s="787"/>
      <c r="W3" s="787"/>
      <c r="X3" s="787"/>
      <c r="Y3" s="787"/>
      <c r="Z3" s="787"/>
      <c r="AA3" s="787"/>
      <c r="AB3" s="787"/>
      <c r="AC3" s="787"/>
      <c r="AD3" s="787"/>
      <c r="AE3" s="787"/>
      <c r="AF3" s="788"/>
      <c r="AG3" s="76"/>
      <c r="AH3" s="76"/>
      <c r="AI3" s="76"/>
      <c r="AJ3" s="75"/>
      <c r="AK3" s="75"/>
      <c r="AL3" s="75"/>
      <c r="AM3" s="75"/>
      <c r="AN3" s="75"/>
      <c r="AO3" s="75"/>
      <c r="AP3" s="75"/>
    </row>
    <row r="4" spans="1:42" ht="14.9" customHeight="1" x14ac:dyDescent="0.35">
      <c r="A4" s="783"/>
      <c r="B4" s="784"/>
      <c r="C4" s="784"/>
      <c r="D4" s="784"/>
      <c r="E4" s="784"/>
      <c r="F4" s="787"/>
      <c r="G4" s="787"/>
      <c r="H4" s="787"/>
      <c r="I4" s="787"/>
      <c r="J4" s="787"/>
      <c r="K4" s="787"/>
      <c r="L4" s="787"/>
      <c r="M4" s="787"/>
      <c r="N4" s="787"/>
      <c r="O4" s="787"/>
      <c r="P4" s="787"/>
      <c r="Q4" s="787"/>
      <c r="R4" s="787"/>
      <c r="S4" s="787"/>
      <c r="T4" s="787"/>
      <c r="U4" s="787"/>
      <c r="V4" s="787"/>
      <c r="W4" s="787"/>
      <c r="X4" s="787"/>
      <c r="Y4" s="787"/>
      <c r="Z4" s="787"/>
      <c r="AA4" s="787"/>
      <c r="AB4" s="787"/>
      <c r="AC4" s="787"/>
      <c r="AD4" s="787"/>
      <c r="AE4" s="787"/>
      <c r="AF4" s="788"/>
      <c r="AG4" s="76"/>
      <c r="AH4" s="76"/>
      <c r="AI4" s="76"/>
      <c r="AJ4" s="75"/>
      <c r="AK4" s="75"/>
      <c r="AL4" s="75"/>
      <c r="AM4" s="75"/>
      <c r="AN4" s="75"/>
      <c r="AO4" s="75"/>
      <c r="AP4" s="75"/>
    </row>
    <row r="5" spans="1:42" ht="14.9" customHeight="1" x14ac:dyDescent="0.35">
      <c r="A5" s="783"/>
      <c r="B5" s="784"/>
      <c r="C5" s="784"/>
      <c r="D5" s="784"/>
      <c r="E5" s="784"/>
      <c r="F5" s="787"/>
      <c r="G5" s="787"/>
      <c r="H5" s="787"/>
      <c r="I5" s="787"/>
      <c r="J5" s="787"/>
      <c r="K5" s="787"/>
      <c r="L5" s="787"/>
      <c r="M5" s="787"/>
      <c r="N5" s="787"/>
      <c r="O5" s="787"/>
      <c r="P5" s="787"/>
      <c r="Q5" s="787"/>
      <c r="R5" s="787"/>
      <c r="S5" s="787"/>
      <c r="T5" s="787"/>
      <c r="U5" s="787"/>
      <c r="V5" s="787"/>
      <c r="W5" s="787"/>
      <c r="X5" s="787"/>
      <c r="Y5" s="787"/>
      <c r="Z5" s="787"/>
      <c r="AA5" s="787"/>
      <c r="AB5" s="787"/>
      <c r="AC5" s="787"/>
      <c r="AD5" s="787"/>
      <c r="AE5" s="787"/>
      <c r="AF5" s="788"/>
      <c r="AG5" s="76"/>
      <c r="AH5" s="76"/>
      <c r="AI5" s="76"/>
      <c r="AJ5" s="75"/>
      <c r="AK5" s="75"/>
      <c r="AL5" s="75"/>
      <c r="AM5" s="75"/>
      <c r="AN5" s="75"/>
      <c r="AO5" s="75"/>
      <c r="AP5" s="75"/>
    </row>
    <row r="6" spans="1:42" ht="14.9" customHeight="1" x14ac:dyDescent="0.35">
      <c r="A6" s="783"/>
      <c r="B6" s="784"/>
      <c r="C6" s="784"/>
      <c r="D6" s="784"/>
      <c r="E6" s="784"/>
      <c r="F6" s="787"/>
      <c r="G6" s="787"/>
      <c r="H6" s="787"/>
      <c r="I6" s="787"/>
      <c r="J6" s="787"/>
      <c r="K6" s="787"/>
      <c r="L6" s="787"/>
      <c r="M6" s="787"/>
      <c r="N6" s="787"/>
      <c r="O6" s="787"/>
      <c r="P6" s="787"/>
      <c r="Q6" s="787"/>
      <c r="R6" s="787"/>
      <c r="S6" s="787"/>
      <c r="T6" s="787"/>
      <c r="U6" s="787"/>
      <c r="V6" s="787"/>
      <c r="W6" s="787"/>
      <c r="X6" s="787"/>
      <c r="Y6" s="787"/>
      <c r="Z6" s="787"/>
      <c r="AA6" s="787"/>
      <c r="AB6" s="787"/>
      <c r="AC6" s="787"/>
      <c r="AD6" s="787"/>
      <c r="AE6" s="787"/>
      <c r="AF6" s="788"/>
      <c r="AG6" s="76"/>
      <c r="AH6" s="76"/>
      <c r="AI6" s="76"/>
      <c r="AJ6" s="75"/>
      <c r="AK6" s="75"/>
      <c r="AL6" s="75"/>
      <c r="AM6" s="75"/>
      <c r="AN6" s="75"/>
      <c r="AO6" s="75"/>
      <c r="AP6" s="75"/>
    </row>
    <row r="7" spans="1:42" ht="14.9" customHeight="1" x14ac:dyDescent="0.35">
      <c r="A7" s="783"/>
      <c r="B7" s="784"/>
      <c r="C7" s="784"/>
      <c r="D7" s="784"/>
      <c r="E7" s="784"/>
      <c r="F7" s="787"/>
      <c r="G7" s="787"/>
      <c r="H7" s="787"/>
      <c r="I7" s="787"/>
      <c r="J7" s="787"/>
      <c r="K7" s="787"/>
      <c r="L7" s="787"/>
      <c r="M7" s="787"/>
      <c r="N7" s="787"/>
      <c r="O7" s="787"/>
      <c r="P7" s="787"/>
      <c r="Q7" s="787"/>
      <c r="R7" s="787"/>
      <c r="S7" s="787"/>
      <c r="T7" s="787"/>
      <c r="U7" s="787"/>
      <c r="V7" s="787"/>
      <c r="W7" s="787"/>
      <c r="X7" s="787"/>
      <c r="Y7" s="787"/>
      <c r="Z7" s="787"/>
      <c r="AA7" s="787"/>
      <c r="AB7" s="787"/>
      <c r="AC7" s="787"/>
      <c r="AD7" s="787"/>
      <c r="AE7" s="787"/>
      <c r="AF7" s="788"/>
      <c r="AG7" s="76"/>
      <c r="AH7" s="76"/>
      <c r="AI7" s="76"/>
      <c r="AJ7" s="75"/>
      <c r="AK7" s="75"/>
      <c r="AL7" s="75"/>
      <c r="AM7" s="75"/>
      <c r="AN7" s="75"/>
      <c r="AO7" s="75"/>
      <c r="AP7" s="75"/>
    </row>
    <row r="8" spans="1:42" ht="14.9" customHeight="1" x14ac:dyDescent="0.35">
      <c r="A8" s="783"/>
      <c r="B8" s="784"/>
      <c r="C8" s="784"/>
      <c r="D8" s="784"/>
      <c r="E8" s="784"/>
      <c r="F8" s="787"/>
      <c r="G8" s="787"/>
      <c r="H8" s="787"/>
      <c r="I8" s="787"/>
      <c r="J8" s="787"/>
      <c r="K8" s="787"/>
      <c r="L8" s="787"/>
      <c r="M8" s="787"/>
      <c r="N8" s="787"/>
      <c r="O8" s="787"/>
      <c r="P8" s="787"/>
      <c r="Q8" s="787"/>
      <c r="R8" s="787"/>
      <c r="S8" s="787"/>
      <c r="T8" s="787"/>
      <c r="U8" s="787"/>
      <c r="V8" s="787"/>
      <c r="W8" s="787"/>
      <c r="X8" s="787"/>
      <c r="Y8" s="787"/>
      <c r="Z8" s="787"/>
      <c r="AA8" s="787"/>
      <c r="AB8" s="787"/>
      <c r="AC8" s="787"/>
      <c r="AD8" s="787"/>
      <c r="AE8" s="787"/>
      <c r="AF8" s="788"/>
      <c r="AG8" s="76"/>
      <c r="AH8" s="76"/>
      <c r="AI8" s="76"/>
      <c r="AJ8" s="75"/>
      <c r="AK8" s="75"/>
      <c r="AL8" s="75"/>
      <c r="AM8" s="75"/>
      <c r="AN8" s="75"/>
      <c r="AO8" s="75"/>
      <c r="AP8" s="75"/>
    </row>
    <row r="9" spans="1:42" ht="14.9" customHeight="1" x14ac:dyDescent="0.35">
      <c r="A9" s="783"/>
      <c r="B9" s="784"/>
      <c r="C9" s="784"/>
      <c r="D9" s="784"/>
      <c r="E9" s="784"/>
      <c r="F9" s="787"/>
      <c r="G9" s="787"/>
      <c r="H9" s="787"/>
      <c r="I9" s="787"/>
      <c r="J9" s="787"/>
      <c r="K9" s="787"/>
      <c r="L9" s="787"/>
      <c r="M9" s="787"/>
      <c r="N9" s="787"/>
      <c r="O9" s="787"/>
      <c r="P9" s="787"/>
      <c r="Q9" s="787"/>
      <c r="R9" s="787"/>
      <c r="S9" s="787"/>
      <c r="T9" s="787"/>
      <c r="U9" s="787"/>
      <c r="V9" s="787"/>
      <c r="W9" s="787"/>
      <c r="X9" s="787"/>
      <c r="Y9" s="787"/>
      <c r="Z9" s="787"/>
      <c r="AA9" s="787"/>
      <c r="AB9" s="787"/>
      <c r="AC9" s="787"/>
      <c r="AD9" s="787"/>
      <c r="AE9" s="787"/>
      <c r="AF9" s="788"/>
      <c r="AG9" s="76"/>
      <c r="AH9" s="76"/>
      <c r="AI9" s="76"/>
      <c r="AJ9" s="75"/>
      <c r="AK9" s="75"/>
      <c r="AL9" s="75"/>
      <c r="AM9" s="75"/>
      <c r="AN9" s="75"/>
      <c r="AO9" s="75"/>
      <c r="AP9" s="75"/>
    </row>
    <row r="10" spans="1:42" ht="14.9" hidden="1" customHeight="1" x14ac:dyDescent="0.35">
      <c r="A10" s="74"/>
      <c r="B10" s="75"/>
      <c r="C10" s="75"/>
      <c r="D10" s="75"/>
      <c r="E10" s="75"/>
      <c r="F10" s="75"/>
      <c r="G10" s="75"/>
      <c r="H10" s="75"/>
      <c r="I10" s="75"/>
      <c r="J10" s="437" t="s">
        <v>39</v>
      </c>
      <c r="K10" s="455"/>
      <c r="L10" s="777" t="s">
        <v>40</v>
      </c>
      <c r="M10" s="778"/>
      <c r="N10" s="779"/>
      <c r="O10" s="771"/>
      <c r="P10" s="772"/>
      <c r="Q10" s="772"/>
      <c r="R10" s="772"/>
      <c r="S10" s="772"/>
      <c r="T10" s="772"/>
      <c r="U10" s="772"/>
      <c r="V10" s="772"/>
      <c r="W10" s="772"/>
      <c r="X10" s="772"/>
      <c r="Y10" s="772"/>
      <c r="Z10" s="772"/>
      <c r="AA10" s="772"/>
      <c r="AB10" s="772"/>
      <c r="AC10" s="772"/>
      <c r="AD10" s="772"/>
      <c r="AE10" s="772"/>
      <c r="AF10" s="773"/>
      <c r="AG10" s="76"/>
      <c r="AH10" s="76"/>
      <c r="AI10" s="76"/>
      <c r="AJ10" s="75"/>
      <c r="AK10" s="75"/>
      <c r="AL10" s="75"/>
      <c r="AM10" s="75"/>
      <c r="AN10" s="75"/>
      <c r="AO10" s="75"/>
      <c r="AP10" s="75"/>
    </row>
    <row r="11" spans="1:42" ht="14.9" hidden="1" customHeight="1" x14ac:dyDescent="0.35">
      <c r="A11" s="77"/>
      <c r="B11" s="78"/>
      <c r="C11" s="78"/>
      <c r="D11" s="78"/>
      <c r="E11" s="78"/>
      <c r="F11" s="78"/>
      <c r="G11" s="78"/>
      <c r="H11" s="78"/>
      <c r="I11" s="78"/>
      <c r="J11" s="439"/>
      <c r="K11" s="459"/>
      <c r="L11" s="780"/>
      <c r="M11" s="781"/>
      <c r="N11" s="782"/>
      <c r="O11" s="774"/>
      <c r="P11" s="775"/>
      <c r="Q11" s="775"/>
      <c r="R11" s="775"/>
      <c r="S11" s="775"/>
      <c r="T11" s="775"/>
      <c r="U11" s="775"/>
      <c r="V11" s="775"/>
      <c r="W11" s="775"/>
      <c r="X11" s="775"/>
      <c r="Y11" s="775"/>
      <c r="Z11" s="775"/>
      <c r="AA11" s="775"/>
      <c r="AB11" s="775"/>
      <c r="AC11" s="775"/>
      <c r="AD11" s="775"/>
      <c r="AE11" s="775"/>
      <c r="AF11" s="776"/>
      <c r="AG11" s="79"/>
      <c r="AH11" s="75"/>
      <c r="AI11" s="75"/>
      <c r="AJ11" s="75"/>
      <c r="AK11" s="75"/>
      <c r="AL11" s="75"/>
      <c r="AM11" s="75"/>
      <c r="AN11" s="75"/>
      <c r="AO11" s="75"/>
      <c r="AP11" s="75"/>
    </row>
    <row r="12" spans="1:42" ht="23.9" hidden="1" customHeight="1" x14ac:dyDescent="0.35">
      <c r="A12" s="80"/>
      <c r="B12" s="80"/>
      <c r="C12" s="765"/>
      <c r="D12" s="766"/>
      <c r="E12" s="766"/>
      <c r="F12" s="766"/>
      <c r="G12" s="766"/>
      <c r="H12" s="766"/>
      <c r="I12" s="767"/>
      <c r="J12" s="765"/>
      <c r="K12" s="766"/>
      <c r="L12" s="766"/>
      <c r="M12" s="766"/>
      <c r="N12" s="766"/>
      <c r="O12" s="766"/>
      <c r="P12" s="766"/>
      <c r="Q12" s="766"/>
      <c r="R12" s="766"/>
      <c r="S12" s="766"/>
      <c r="T12" s="766"/>
      <c r="U12" s="766"/>
      <c r="V12" s="766"/>
      <c r="W12" s="766"/>
      <c r="X12" s="766"/>
      <c r="Y12" s="766"/>
      <c r="Z12" s="766"/>
      <c r="AA12" s="766"/>
      <c r="AB12" s="766"/>
      <c r="AC12" s="766"/>
      <c r="AD12" s="766"/>
      <c r="AE12" s="766"/>
      <c r="AF12" s="766"/>
      <c r="AG12" s="612"/>
      <c r="AH12" s="612"/>
      <c r="AI12" s="75"/>
      <c r="AJ12" s="75"/>
      <c r="AK12" s="75"/>
      <c r="AL12" s="75"/>
      <c r="AM12" s="75"/>
      <c r="AN12" s="75"/>
      <c r="AO12" s="75"/>
      <c r="AP12" s="75"/>
    </row>
    <row r="13" spans="1:42" ht="18.649999999999999" hidden="1" customHeight="1" x14ac:dyDescent="0.35">
      <c r="A13" s="81"/>
      <c r="B13" s="81"/>
      <c r="C13" s="768"/>
      <c r="D13" s="769"/>
      <c r="E13" s="769"/>
      <c r="F13" s="769"/>
      <c r="G13" s="769"/>
      <c r="H13" s="769"/>
      <c r="I13" s="770"/>
      <c r="J13" s="768"/>
      <c r="K13" s="769"/>
      <c r="L13" s="769"/>
      <c r="M13" s="769"/>
      <c r="N13" s="769"/>
      <c r="O13" s="769"/>
      <c r="P13" s="769"/>
      <c r="Q13" s="769"/>
      <c r="R13" s="769"/>
      <c r="S13" s="769"/>
      <c r="T13" s="769"/>
      <c r="U13" s="769"/>
      <c r="V13" s="769"/>
      <c r="W13" s="769"/>
      <c r="X13" s="769"/>
      <c r="Y13" s="769"/>
      <c r="Z13" s="769"/>
      <c r="AA13" s="769"/>
      <c r="AB13" s="769"/>
      <c r="AC13" s="769"/>
      <c r="AD13" s="769"/>
      <c r="AE13" s="769"/>
      <c r="AF13" s="769"/>
      <c r="AG13" s="612"/>
      <c r="AH13" s="612"/>
      <c r="AI13" s="75"/>
      <c r="AJ13" s="75"/>
      <c r="AK13" s="75"/>
      <c r="AL13" s="75"/>
      <c r="AM13" s="75"/>
      <c r="AN13" s="75"/>
      <c r="AO13" s="75"/>
      <c r="AP13" s="75"/>
    </row>
    <row r="14" spans="1:42" ht="18.649999999999999" hidden="1" customHeight="1" x14ac:dyDescent="0.35">
      <c r="A14" s="81"/>
      <c r="B14" s="81"/>
      <c r="C14" s="768"/>
      <c r="D14" s="769"/>
      <c r="E14" s="769"/>
      <c r="F14" s="769"/>
      <c r="G14" s="769"/>
      <c r="H14" s="769"/>
      <c r="I14" s="770"/>
      <c r="J14" s="768"/>
      <c r="K14" s="769"/>
      <c r="L14" s="769"/>
      <c r="M14" s="769"/>
      <c r="N14" s="769"/>
      <c r="O14" s="769"/>
      <c r="P14" s="769"/>
      <c r="Q14" s="769"/>
      <c r="R14" s="769"/>
      <c r="S14" s="769"/>
      <c r="T14" s="769"/>
      <c r="U14" s="769"/>
      <c r="V14" s="769"/>
      <c r="W14" s="769"/>
      <c r="X14" s="769"/>
      <c r="Y14" s="769"/>
      <c r="Z14" s="769"/>
      <c r="AA14" s="769"/>
      <c r="AB14" s="769"/>
      <c r="AC14" s="769"/>
      <c r="AD14" s="769"/>
      <c r="AE14" s="769"/>
      <c r="AF14" s="769"/>
      <c r="AG14" s="612"/>
      <c r="AH14" s="612"/>
      <c r="AI14" s="75"/>
      <c r="AJ14" s="75"/>
      <c r="AK14" s="75"/>
      <c r="AL14" s="75"/>
      <c r="AM14" s="75"/>
      <c r="AN14" s="75"/>
      <c r="AO14" s="75"/>
      <c r="AP14" s="75"/>
    </row>
    <row r="15" spans="1:42" ht="18.649999999999999" hidden="1" customHeight="1" x14ac:dyDescent="0.35">
      <c r="A15" s="81"/>
      <c r="B15" s="81"/>
      <c r="C15" s="768"/>
      <c r="D15" s="769"/>
      <c r="E15" s="769"/>
      <c r="F15" s="769"/>
      <c r="G15" s="769"/>
      <c r="H15" s="769"/>
      <c r="I15" s="770"/>
      <c r="J15" s="768"/>
      <c r="K15" s="769"/>
      <c r="L15" s="769"/>
      <c r="M15" s="769"/>
      <c r="N15" s="769"/>
      <c r="O15" s="769"/>
      <c r="P15" s="769"/>
      <c r="Q15" s="769"/>
      <c r="R15" s="769"/>
      <c r="S15" s="769"/>
      <c r="T15" s="769"/>
      <c r="U15" s="769"/>
      <c r="V15" s="769"/>
      <c r="W15" s="769"/>
      <c r="X15" s="769"/>
      <c r="Y15" s="769"/>
      <c r="Z15" s="769"/>
      <c r="AA15" s="769"/>
      <c r="AB15" s="769"/>
      <c r="AC15" s="769"/>
      <c r="AD15" s="769"/>
      <c r="AE15" s="769"/>
      <c r="AF15" s="769"/>
      <c r="AG15" s="612"/>
      <c r="AH15" s="612"/>
      <c r="AI15" s="75"/>
      <c r="AJ15" s="75"/>
      <c r="AK15" s="75"/>
      <c r="AL15" s="75"/>
      <c r="AM15" s="75"/>
      <c r="AN15" s="75"/>
      <c r="AO15" s="75"/>
      <c r="AP15" s="75"/>
    </row>
    <row r="16" spans="1:42" ht="18.649999999999999" hidden="1" customHeight="1" x14ac:dyDescent="0.35">
      <c r="A16" s="81"/>
      <c r="B16" s="81"/>
      <c r="C16" s="768"/>
      <c r="D16" s="769"/>
      <c r="E16" s="769"/>
      <c r="F16" s="769"/>
      <c r="G16" s="769"/>
      <c r="H16" s="769"/>
      <c r="I16" s="770"/>
      <c r="J16" s="768"/>
      <c r="K16" s="769"/>
      <c r="L16" s="769"/>
      <c r="M16" s="769"/>
      <c r="N16" s="769"/>
      <c r="O16" s="769"/>
      <c r="P16" s="769"/>
      <c r="Q16" s="769"/>
      <c r="R16" s="769"/>
      <c r="S16" s="769"/>
      <c r="T16" s="769"/>
      <c r="U16" s="769"/>
      <c r="V16" s="769"/>
      <c r="W16" s="769"/>
      <c r="X16" s="769"/>
      <c r="Y16" s="769"/>
      <c r="Z16" s="769"/>
      <c r="AA16" s="769"/>
      <c r="AB16" s="769"/>
      <c r="AC16" s="769"/>
      <c r="AD16" s="769"/>
      <c r="AE16" s="769"/>
      <c r="AF16" s="769"/>
      <c r="AG16" s="612"/>
      <c r="AH16" s="612"/>
      <c r="AI16" s="75"/>
      <c r="AJ16" s="75"/>
      <c r="AK16" s="75"/>
      <c r="AL16" s="75"/>
      <c r="AM16" s="75"/>
      <c r="AN16" s="75"/>
      <c r="AO16" s="75"/>
      <c r="AP16" s="75"/>
    </row>
    <row r="17" spans="1:42" ht="18.649999999999999" hidden="1" customHeight="1" x14ac:dyDescent="0.35">
      <c r="A17" s="81"/>
      <c r="B17" s="81"/>
      <c r="C17" s="768"/>
      <c r="D17" s="769"/>
      <c r="E17" s="769"/>
      <c r="F17" s="769"/>
      <c r="G17" s="769"/>
      <c r="H17" s="769"/>
      <c r="I17" s="770"/>
      <c r="J17" s="768"/>
      <c r="K17" s="769"/>
      <c r="L17" s="769"/>
      <c r="M17" s="769"/>
      <c r="N17" s="769"/>
      <c r="O17" s="769"/>
      <c r="P17" s="769"/>
      <c r="Q17" s="769"/>
      <c r="R17" s="769"/>
      <c r="S17" s="769"/>
      <c r="T17" s="769"/>
      <c r="U17" s="769"/>
      <c r="V17" s="769"/>
      <c r="W17" s="769"/>
      <c r="X17" s="769"/>
      <c r="Y17" s="769"/>
      <c r="Z17" s="769"/>
      <c r="AA17" s="769"/>
      <c r="AB17" s="769"/>
      <c r="AC17" s="769"/>
      <c r="AD17" s="769"/>
      <c r="AE17" s="769"/>
      <c r="AF17" s="769"/>
      <c r="AG17" s="612"/>
      <c r="AH17" s="612"/>
      <c r="AI17" s="75"/>
      <c r="AJ17" s="75"/>
      <c r="AK17" s="75"/>
      <c r="AL17" s="75"/>
      <c r="AM17" s="75"/>
      <c r="AN17" s="75"/>
      <c r="AO17" s="75"/>
      <c r="AP17" s="75"/>
    </row>
    <row r="18" spans="1:42" ht="18.649999999999999" hidden="1" customHeight="1" x14ac:dyDescent="0.35">
      <c r="A18" s="81"/>
      <c r="B18" s="81"/>
      <c r="C18" s="768"/>
      <c r="D18" s="769"/>
      <c r="E18" s="769"/>
      <c r="F18" s="769"/>
      <c r="G18" s="769"/>
      <c r="H18" s="769"/>
      <c r="I18" s="770"/>
      <c r="J18" s="768"/>
      <c r="K18" s="769"/>
      <c r="L18" s="769"/>
      <c r="M18" s="769"/>
      <c r="N18" s="769"/>
      <c r="O18" s="769"/>
      <c r="P18" s="769"/>
      <c r="Q18" s="769"/>
      <c r="R18" s="769"/>
      <c r="S18" s="769"/>
      <c r="T18" s="769"/>
      <c r="U18" s="769"/>
      <c r="V18" s="769"/>
      <c r="W18" s="769"/>
      <c r="X18" s="769"/>
      <c r="Y18" s="769"/>
      <c r="Z18" s="769"/>
      <c r="AA18" s="769"/>
      <c r="AB18" s="769"/>
      <c r="AC18" s="769"/>
      <c r="AD18" s="769"/>
      <c r="AE18" s="769"/>
      <c r="AF18" s="769"/>
      <c r="AG18" s="612"/>
      <c r="AH18" s="612"/>
      <c r="AI18" s="75"/>
      <c r="AJ18" s="75"/>
      <c r="AK18" s="75"/>
      <c r="AL18" s="75"/>
      <c r="AM18" s="75"/>
      <c r="AN18" s="75"/>
      <c r="AO18" s="75"/>
      <c r="AP18" s="75"/>
    </row>
    <row r="19" spans="1:42" ht="18.649999999999999" hidden="1" customHeight="1" x14ac:dyDescent="0.35">
      <c r="A19" s="81"/>
      <c r="B19" s="81"/>
      <c r="C19" s="768"/>
      <c r="D19" s="769"/>
      <c r="E19" s="769"/>
      <c r="F19" s="769"/>
      <c r="G19" s="769"/>
      <c r="H19" s="769"/>
      <c r="I19" s="770"/>
      <c r="J19" s="768"/>
      <c r="K19" s="769"/>
      <c r="L19" s="769"/>
      <c r="M19" s="769"/>
      <c r="N19" s="769"/>
      <c r="O19" s="769"/>
      <c r="P19" s="769"/>
      <c r="Q19" s="769"/>
      <c r="R19" s="769"/>
      <c r="S19" s="769"/>
      <c r="T19" s="769"/>
      <c r="U19" s="769"/>
      <c r="V19" s="769"/>
      <c r="W19" s="769"/>
      <c r="X19" s="769"/>
      <c r="Y19" s="769"/>
      <c r="Z19" s="769"/>
      <c r="AA19" s="769"/>
      <c r="AB19" s="769"/>
      <c r="AC19" s="769"/>
      <c r="AD19" s="769"/>
      <c r="AE19" s="769"/>
      <c r="AF19" s="769"/>
      <c r="AG19" s="612"/>
      <c r="AH19" s="612"/>
      <c r="AI19" s="75"/>
      <c r="AJ19" s="75"/>
      <c r="AK19" s="75"/>
      <c r="AL19" s="75"/>
      <c r="AM19" s="75"/>
      <c r="AN19" s="75"/>
      <c r="AO19" s="75"/>
      <c r="AP19" s="75"/>
    </row>
    <row r="20" spans="1:42" ht="18.649999999999999" hidden="1" customHeight="1" x14ac:dyDescent="0.35">
      <c r="A20" s="81"/>
      <c r="B20" s="81"/>
      <c r="C20" s="768"/>
      <c r="D20" s="769"/>
      <c r="E20" s="769"/>
      <c r="F20" s="769"/>
      <c r="G20" s="769"/>
      <c r="H20" s="769"/>
      <c r="I20" s="770"/>
      <c r="J20" s="768"/>
      <c r="K20" s="769"/>
      <c r="L20" s="769"/>
      <c r="M20" s="769"/>
      <c r="N20" s="769"/>
      <c r="O20" s="769"/>
      <c r="P20" s="769"/>
      <c r="Q20" s="769"/>
      <c r="R20" s="769"/>
      <c r="S20" s="769"/>
      <c r="T20" s="769"/>
      <c r="U20" s="769"/>
      <c r="V20" s="769"/>
      <c r="W20" s="769"/>
      <c r="X20" s="769"/>
      <c r="Y20" s="769"/>
      <c r="Z20" s="769"/>
      <c r="AA20" s="769"/>
      <c r="AB20" s="769"/>
      <c r="AC20" s="769"/>
      <c r="AD20" s="769"/>
      <c r="AE20" s="769"/>
      <c r="AF20" s="769"/>
      <c r="AG20" s="612"/>
      <c r="AH20" s="612"/>
      <c r="AI20" s="75"/>
      <c r="AJ20" s="75"/>
      <c r="AK20" s="75"/>
      <c r="AL20" s="75"/>
      <c r="AM20" s="75"/>
      <c r="AN20" s="75"/>
      <c r="AO20" s="75"/>
      <c r="AP20" s="75"/>
    </row>
    <row r="21" spans="1:42" ht="18.649999999999999" hidden="1" customHeight="1" x14ac:dyDescent="0.35">
      <c r="A21" s="81"/>
      <c r="B21" s="81"/>
      <c r="C21" s="768"/>
      <c r="D21" s="769"/>
      <c r="E21" s="769"/>
      <c r="F21" s="769"/>
      <c r="G21" s="769"/>
      <c r="H21" s="769"/>
      <c r="I21" s="770"/>
      <c r="J21" s="768"/>
      <c r="K21" s="769"/>
      <c r="L21" s="769"/>
      <c r="M21" s="769"/>
      <c r="N21" s="769"/>
      <c r="O21" s="769"/>
      <c r="P21" s="769"/>
      <c r="Q21" s="769"/>
      <c r="R21" s="769"/>
      <c r="S21" s="769"/>
      <c r="T21" s="769"/>
      <c r="U21" s="769"/>
      <c r="V21" s="769"/>
      <c r="W21" s="769"/>
      <c r="X21" s="769"/>
      <c r="Y21" s="769"/>
      <c r="Z21" s="769"/>
      <c r="AA21" s="769"/>
      <c r="AB21" s="769"/>
      <c r="AC21" s="769"/>
      <c r="AD21" s="769"/>
      <c r="AE21" s="769"/>
      <c r="AF21" s="769"/>
      <c r="AG21" s="612"/>
      <c r="AH21" s="612"/>
      <c r="AI21" s="75"/>
      <c r="AJ21" s="75"/>
      <c r="AK21" s="75"/>
      <c r="AL21" s="75"/>
      <c r="AM21" s="75"/>
      <c r="AN21" s="75"/>
      <c r="AO21" s="75"/>
      <c r="AP21" s="75"/>
    </row>
    <row r="22" spans="1:42" ht="18.649999999999999" hidden="1" customHeight="1" x14ac:dyDescent="0.35">
      <c r="A22" s="81"/>
      <c r="B22" s="81"/>
      <c r="C22" s="768"/>
      <c r="D22" s="769"/>
      <c r="E22" s="769"/>
      <c r="F22" s="769"/>
      <c r="G22" s="769"/>
      <c r="H22" s="769"/>
      <c r="I22" s="770"/>
      <c r="J22" s="768"/>
      <c r="K22" s="769"/>
      <c r="L22" s="769"/>
      <c r="M22" s="769"/>
      <c r="N22" s="769"/>
      <c r="O22" s="769"/>
      <c r="P22" s="769"/>
      <c r="Q22" s="769"/>
      <c r="R22" s="769"/>
      <c r="S22" s="769"/>
      <c r="T22" s="769"/>
      <c r="U22" s="769"/>
      <c r="V22" s="769"/>
      <c r="W22" s="769"/>
      <c r="X22" s="769"/>
      <c r="Y22" s="769"/>
      <c r="Z22" s="769"/>
      <c r="AA22" s="769"/>
      <c r="AB22" s="769"/>
      <c r="AC22" s="769"/>
      <c r="AD22" s="769"/>
      <c r="AE22" s="769"/>
      <c r="AF22" s="769"/>
      <c r="AG22" s="612"/>
      <c r="AH22" s="612"/>
      <c r="AI22" s="75"/>
      <c r="AJ22" s="75"/>
      <c r="AK22" s="75"/>
      <c r="AL22" s="75"/>
      <c r="AM22" s="75"/>
      <c r="AN22" s="75"/>
      <c r="AO22" s="75"/>
      <c r="AP22" s="75"/>
    </row>
    <row r="23" spans="1:42" ht="18.649999999999999" hidden="1" customHeight="1" x14ac:dyDescent="0.35">
      <c r="A23" s="81"/>
      <c r="B23" s="81"/>
      <c r="C23" s="768"/>
      <c r="D23" s="769"/>
      <c r="E23" s="769"/>
      <c r="F23" s="769"/>
      <c r="G23" s="769"/>
      <c r="H23" s="769"/>
      <c r="I23" s="770"/>
      <c r="J23" s="768"/>
      <c r="K23" s="769"/>
      <c r="L23" s="769"/>
      <c r="M23" s="769"/>
      <c r="N23" s="769"/>
      <c r="O23" s="769"/>
      <c r="P23" s="769"/>
      <c r="Q23" s="769"/>
      <c r="R23" s="769"/>
      <c r="S23" s="769"/>
      <c r="T23" s="769"/>
      <c r="U23" s="769"/>
      <c r="V23" s="769"/>
      <c r="W23" s="769"/>
      <c r="X23" s="769"/>
      <c r="Y23" s="769"/>
      <c r="Z23" s="769"/>
      <c r="AA23" s="769"/>
      <c r="AB23" s="769"/>
      <c r="AC23" s="769"/>
      <c r="AD23" s="769"/>
      <c r="AE23" s="769"/>
      <c r="AF23" s="769"/>
      <c r="AG23" s="612"/>
      <c r="AH23" s="612"/>
      <c r="AI23" s="75"/>
      <c r="AJ23" s="75"/>
      <c r="AK23" s="75"/>
      <c r="AL23" s="75"/>
      <c r="AM23" s="75"/>
      <c r="AN23" s="75"/>
      <c r="AO23" s="75"/>
      <c r="AP23" s="75"/>
    </row>
    <row r="24" spans="1:42" ht="18.649999999999999" hidden="1" customHeight="1" x14ac:dyDescent="0.35">
      <c r="A24" s="81"/>
      <c r="B24" s="81"/>
      <c r="C24" s="768"/>
      <c r="D24" s="769"/>
      <c r="E24" s="769"/>
      <c r="F24" s="769"/>
      <c r="G24" s="769"/>
      <c r="H24" s="769"/>
      <c r="I24" s="770"/>
      <c r="J24" s="768"/>
      <c r="K24" s="769"/>
      <c r="L24" s="769"/>
      <c r="M24" s="769"/>
      <c r="N24" s="769"/>
      <c r="O24" s="769"/>
      <c r="P24" s="769"/>
      <c r="Q24" s="769"/>
      <c r="R24" s="769"/>
      <c r="S24" s="769"/>
      <c r="T24" s="769"/>
      <c r="U24" s="769"/>
      <c r="V24" s="769"/>
      <c r="W24" s="769"/>
      <c r="X24" s="769"/>
      <c r="Y24" s="769"/>
      <c r="Z24" s="769"/>
      <c r="AA24" s="769"/>
      <c r="AB24" s="769"/>
      <c r="AC24" s="769"/>
      <c r="AD24" s="769"/>
      <c r="AE24" s="769"/>
      <c r="AF24" s="769"/>
      <c r="AG24" s="612"/>
      <c r="AH24" s="612"/>
      <c r="AI24" s="75"/>
      <c r="AJ24" s="75"/>
      <c r="AK24" s="75"/>
      <c r="AL24" s="75"/>
      <c r="AM24" s="75"/>
      <c r="AN24" s="75"/>
      <c r="AO24" s="75"/>
      <c r="AP24" s="75"/>
    </row>
    <row r="25" spans="1:42" ht="18.649999999999999" hidden="1" customHeight="1" x14ac:dyDescent="0.35">
      <c r="A25" s="81"/>
      <c r="B25" s="81"/>
      <c r="C25" s="768"/>
      <c r="D25" s="769"/>
      <c r="E25" s="769"/>
      <c r="F25" s="769"/>
      <c r="G25" s="769"/>
      <c r="H25" s="769"/>
      <c r="I25" s="770"/>
      <c r="J25" s="768"/>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612"/>
      <c r="AH25" s="612"/>
      <c r="AI25" s="75"/>
      <c r="AJ25" s="75"/>
      <c r="AK25" s="75"/>
      <c r="AL25" s="75"/>
      <c r="AM25" s="75"/>
      <c r="AN25" s="75"/>
      <c r="AO25" s="75"/>
      <c r="AP25" s="75"/>
    </row>
    <row r="26" spans="1:42" ht="18.649999999999999" hidden="1" customHeight="1" x14ac:dyDescent="0.35">
      <c r="A26" s="81"/>
      <c r="B26" s="81"/>
      <c r="C26" s="768"/>
      <c r="D26" s="769"/>
      <c r="E26" s="769"/>
      <c r="F26" s="769"/>
      <c r="G26" s="769"/>
      <c r="H26" s="769"/>
      <c r="I26" s="770"/>
      <c r="J26" s="768"/>
      <c r="K26" s="769"/>
      <c r="L26" s="769"/>
      <c r="M26" s="769"/>
      <c r="N26" s="769"/>
      <c r="O26" s="769"/>
      <c r="P26" s="769"/>
      <c r="Q26" s="769"/>
      <c r="R26" s="769"/>
      <c r="S26" s="769"/>
      <c r="T26" s="769"/>
      <c r="U26" s="769"/>
      <c r="V26" s="769"/>
      <c r="W26" s="769"/>
      <c r="X26" s="769"/>
      <c r="Y26" s="769"/>
      <c r="Z26" s="769"/>
      <c r="AA26" s="769"/>
      <c r="AB26" s="769"/>
      <c r="AC26" s="769"/>
      <c r="AD26" s="769"/>
      <c r="AE26" s="769"/>
      <c r="AF26" s="769"/>
      <c r="AG26" s="612"/>
      <c r="AH26" s="612"/>
      <c r="AI26" s="75"/>
      <c r="AJ26" s="75"/>
      <c r="AK26" s="75"/>
      <c r="AL26" s="75"/>
      <c r="AM26" s="75"/>
      <c r="AN26" s="75"/>
      <c r="AO26" s="75"/>
      <c r="AP26" s="75"/>
    </row>
    <row r="27" spans="1:42" ht="18.649999999999999" hidden="1" customHeight="1" x14ac:dyDescent="0.35">
      <c r="A27" s="762"/>
      <c r="B27" s="760"/>
      <c r="C27" s="768"/>
      <c r="D27" s="769"/>
      <c r="E27" s="769"/>
      <c r="F27" s="769"/>
      <c r="G27" s="769"/>
      <c r="H27" s="769"/>
      <c r="I27" s="770"/>
      <c r="J27" s="768"/>
      <c r="K27" s="769"/>
      <c r="L27" s="769"/>
      <c r="M27" s="769"/>
      <c r="N27" s="769"/>
      <c r="O27" s="769"/>
      <c r="P27" s="769"/>
      <c r="Q27" s="769"/>
      <c r="R27" s="769"/>
      <c r="S27" s="769"/>
      <c r="T27" s="769"/>
      <c r="U27" s="769"/>
      <c r="V27" s="769"/>
      <c r="W27" s="769"/>
      <c r="X27" s="769"/>
      <c r="Y27" s="769"/>
      <c r="Z27" s="769"/>
      <c r="AA27" s="769"/>
      <c r="AB27" s="769"/>
      <c r="AC27" s="769"/>
      <c r="AD27" s="769"/>
      <c r="AE27" s="769"/>
      <c r="AF27" s="769"/>
      <c r="AG27" s="612"/>
      <c r="AH27" s="612"/>
      <c r="AI27" s="75"/>
      <c r="AJ27" s="75"/>
      <c r="AK27" s="75"/>
      <c r="AL27" s="75"/>
      <c r="AM27" s="75"/>
      <c r="AN27" s="75"/>
      <c r="AO27" s="75"/>
      <c r="AP27" s="75"/>
    </row>
    <row r="28" spans="1:42" ht="18.649999999999999" hidden="1" customHeight="1" x14ac:dyDescent="0.35">
      <c r="A28" s="762"/>
      <c r="B28" s="760"/>
      <c r="C28" s="768"/>
      <c r="D28" s="769"/>
      <c r="E28" s="769"/>
      <c r="F28" s="769"/>
      <c r="G28" s="769"/>
      <c r="H28" s="769"/>
      <c r="I28" s="770"/>
      <c r="J28" s="768"/>
      <c r="K28" s="769"/>
      <c r="L28" s="769"/>
      <c r="M28" s="769"/>
      <c r="N28" s="769"/>
      <c r="O28" s="769"/>
      <c r="P28" s="769"/>
      <c r="Q28" s="769"/>
      <c r="R28" s="769"/>
      <c r="S28" s="769"/>
      <c r="T28" s="769"/>
      <c r="U28" s="769"/>
      <c r="V28" s="769"/>
      <c r="W28" s="769"/>
      <c r="X28" s="769"/>
      <c r="Y28" s="769"/>
      <c r="Z28" s="769"/>
      <c r="AA28" s="769"/>
      <c r="AB28" s="769"/>
      <c r="AC28" s="769"/>
      <c r="AD28" s="769"/>
      <c r="AE28" s="769"/>
      <c r="AF28" s="769"/>
      <c r="AG28" s="612"/>
      <c r="AH28" s="612"/>
      <c r="AI28" s="75"/>
      <c r="AJ28" s="75"/>
      <c r="AK28" s="75"/>
      <c r="AL28" s="75"/>
      <c r="AM28" s="75"/>
      <c r="AN28" s="75"/>
      <c r="AO28" s="75"/>
      <c r="AP28" s="75"/>
    </row>
    <row r="29" spans="1:42" ht="18.649999999999999" hidden="1" customHeight="1" x14ac:dyDescent="0.35">
      <c r="A29" s="762"/>
      <c r="B29" s="760"/>
      <c r="C29" s="768"/>
      <c r="D29" s="769"/>
      <c r="E29" s="769"/>
      <c r="F29" s="769"/>
      <c r="G29" s="769"/>
      <c r="H29" s="769"/>
      <c r="I29" s="770"/>
      <c r="J29" s="768"/>
      <c r="K29" s="769"/>
      <c r="L29" s="769"/>
      <c r="M29" s="769"/>
      <c r="N29" s="769"/>
      <c r="O29" s="769"/>
      <c r="P29" s="769"/>
      <c r="Q29" s="769"/>
      <c r="R29" s="769"/>
      <c r="S29" s="769"/>
      <c r="T29" s="769"/>
      <c r="U29" s="769"/>
      <c r="V29" s="769"/>
      <c r="W29" s="769"/>
      <c r="X29" s="769"/>
      <c r="Y29" s="769"/>
      <c r="Z29" s="769"/>
      <c r="AA29" s="769"/>
      <c r="AB29" s="769"/>
      <c r="AC29" s="769"/>
      <c r="AD29" s="769"/>
      <c r="AE29" s="769"/>
      <c r="AF29" s="769"/>
      <c r="AG29" s="612"/>
      <c r="AH29" s="612"/>
      <c r="AI29" s="75"/>
      <c r="AJ29" s="75"/>
      <c r="AK29" s="75"/>
      <c r="AL29" s="75"/>
      <c r="AM29" s="75"/>
      <c r="AN29" s="75"/>
      <c r="AO29" s="75"/>
      <c r="AP29" s="75"/>
    </row>
    <row r="30" spans="1:42" ht="18.649999999999999" hidden="1" customHeight="1" x14ac:dyDescent="0.35">
      <c r="A30" s="762"/>
      <c r="B30" s="760"/>
      <c r="C30" s="768"/>
      <c r="D30" s="769"/>
      <c r="E30" s="769"/>
      <c r="F30" s="769"/>
      <c r="G30" s="769"/>
      <c r="H30" s="769"/>
      <c r="I30" s="770"/>
      <c r="J30" s="768"/>
      <c r="K30" s="769"/>
      <c r="L30" s="769"/>
      <c r="M30" s="769"/>
      <c r="N30" s="769"/>
      <c r="O30" s="769"/>
      <c r="P30" s="769"/>
      <c r="Q30" s="769"/>
      <c r="R30" s="769"/>
      <c r="S30" s="769"/>
      <c r="T30" s="769"/>
      <c r="U30" s="769"/>
      <c r="V30" s="769"/>
      <c r="W30" s="769"/>
      <c r="X30" s="769"/>
      <c r="Y30" s="769"/>
      <c r="Z30" s="769"/>
      <c r="AA30" s="769"/>
      <c r="AB30" s="769"/>
      <c r="AC30" s="769"/>
      <c r="AD30" s="769"/>
      <c r="AE30" s="769"/>
      <c r="AF30" s="769"/>
      <c r="AG30" s="612"/>
      <c r="AH30" s="612"/>
      <c r="AI30" s="75"/>
      <c r="AJ30" s="75"/>
      <c r="AK30" s="75"/>
      <c r="AL30" s="75"/>
      <c r="AM30" s="75"/>
      <c r="AN30" s="75"/>
      <c r="AO30" s="75"/>
      <c r="AP30" s="75"/>
    </row>
    <row r="31" spans="1:42" ht="18.649999999999999" hidden="1" customHeight="1" x14ac:dyDescent="0.35">
      <c r="A31" s="762"/>
      <c r="B31" s="760"/>
      <c r="C31" s="768"/>
      <c r="D31" s="769"/>
      <c r="E31" s="769"/>
      <c r="F31" s="769"/>
      <c r="G31" s="769"/>
      <c r="H31" s="769"/>
      <c r="I31" s="770"/>
      <c r="J31" s="768"/>
      <c r="K31" s="769"/>
      <c r="L31" s="769"/>
      <c r="M31" s="769"/>
      <c r="N31" s="769"/>
      <c r="O31" s="769"/>
      <c r="P31" s="769"/>
      <c r="Q31" s="769"/>
      <c r="R31" s="769"/>
      <c r="S31" s="769"/>
      <c r="T31" s="769"/>
      <c r="U31" s="769"/>
      <c r="V31" s="769"/>
      <c r="W31" s="769"/>
      <c r="X31" s="769"/>
      <c r="Y31" s="769"/>
      <c r="Z31" s="769"/>
      <c r="AA31" s="769"/>
      <c r="AB31" s="769"/>
      <c r="AC31" s="769"/>
      <c r="AD31" s="769"/>
      <c r="AE31" s="769"/>
      <c r="AF31" s="769"/>
      <c r="AG31" s="612"/>
      <c r="AH31" s="612"/>
      <c r="AI31" s="75"/>
      <c r="AJ31" s="75"/>
      <c r="AK31" s="75"/>
      <c r="AL31" s="75"/>
      <c r="AM31" s="75"/>
      <c r="AN31" s="75"/>
      <c r="AO31" s="75"/>
      <c r="AP31" s="75"/>
    </row>
    <row r="32" spans="1:42" ht="18.649999999999999" hidden="1" customHeight="1" x14ac:dyDescent="0.35">
      <c r="A32" s="762"/>
      <c r="B32" s="760"/>
      <c r="C32" s="768"/>
      <c r="D32" s="769"/>
      <c r="E32" s="769"/>
      <c r="F32" s="769"/>
      <c r="G32" s="769"/>
      <c r="H32" s="769"/>
      <c r="I32" s="770"/>
      <c r="J32" s="768"/>
      <c r="K32" s="769"/>
      <c r="L32" s="769"/>
      <c r="M32" s="769"/>
      <c r="N32" s="769"/>
      <c r="O32" s="769"/>
      <c r="P32" s="769"/>
      <c r="Q32" s="769"/>
      <c r="R32" s="769"/>
      <c r="S32" s="769"/>
      <c r="T32" s="769"/>
      <c r="U32" s="769"/>
      <c r="V32" s="769"/>
      <c r="W32" s="769"/>
      <c r="X32" s="769"/>
      <c r="Y32" s="769"/>
      <c r="Z32" s="769"/>
      <c r="AA32" s="769"/>
      <c r="AB32" s="769"/>
      <c r="AC32" s="769"/>
      <c r="AD32" s="769"/>
      <c r="AE32" s="769"/>
      <c r="AF32" s="769"/>
      <c r="AG32" s="612"/>
      <c r="AH32" s="612"/>
      <c r="AI32" s="75"/>
      <c r="AJ32" s="75"/>
      <c r="AK32" s="75"/>
      <c r="AL32" s="75"/>
      <c r="AM32" s="75"/>
      <c r="AN32" s="75"/>
      <c r="AO32" s="75"/>
      <c r="AP32" s="75"/>
    </row>
    <row r="33" spans="1:42" ht="18.649999999999999" hidden="1" customHeight="1" x14ac:dyDescent="0.35">
      <c r="A33" s="762"/>
      <c r="B33" s="760"/>
      <c r="C33" s="768"/>
      <c r="D33" s="769"/>
      <c r="E33" s="769"/>
      <c r="F33" s="769"/>
      <c r="G33" s="769"/>
      <c r="H33" s="769"/>
      <c r="I33" s="770"/>
      <c r="J33" s="768"/>
      <c r="K33" s="769"/>
      <c r="L33" s="769"/>
      <c r="M33" s="769"/>
      <c r="N33" s="769"/>
      <c r="O33" s="769"/>
      <c r="P33" s="769"/>
      <c r="Q33" s="769"/>
      <c r="R33" s="769"/>
      <c r="S33" s="769"/>
      <c r="T33" s="769"/>
      <c r="U33" s="769"/>
      <c r="V33" s="769"/>
      <c r="W33" s="769"/>
      <c r="X33" s="769"/>
      <c r="Y33" s="769"/>
      <c r="Z33" s="769"/>
      <c r="AA33" s="769"/>
      <c r="AB33" s="769"/>
      <c r="AC33" s="769"/>
      <c r="AD33" s="769"/>
      <c r="AE33" s="769"/>
      <c r="AF33" s="769"/>
      <c r="AG33" s="612"/>
      <c r="AH33" s="612"/>
      <c r="AI33" s="75"/>
      <c r="AJ33" s="75"/>
      <c r="AK33" s="75"/>
      <c r="AL33" s="75"/>
      <c r="AM33" s="75"/>
      <c r="AN33" s="75"/>
      <c r="AO33" s="75"/>
      <c r="AP33" s="75"/>
    </row>
    <row r="34" spans="1:42" ht="18.649999999999999" hidden="1" customHeight="1" x14ac:dyDescent="0.35">
      <c r="A34" s="762"/>
      <c r="B34" s="760"/>
      <c r="C34" s="768"/>
      <c r="D34" s="769"/>
      <c r="E34" s="769"/>
      <c r="F34" s="769"/>
      <c r="G34" s="769"/>
      <c r="H34" s="769"/>
      <c r="I34" s="770"/>
      <c r="J34" s="768"/>
      <c r="K34" s="769"/>
      <c r="L34" s="769"/>
      <c r="M34" s="769"/>
      <c r="N34" s="769"/>
      <c r="O34" s="769"/>
      <c r="P34" s="769"/>
      <c r="Q34" s="769"/>
      <c r="R34" s="769"/>
      <c r="S34" s="769"/>
      <c r="T34" s="769"/>
      <c r="U34" s="769"/>
      <c r="V34" s="769"/>
      <c r="W34" s="769"/>
      <c r="X34" s="769"/>
      <c r="Y34" s="769"/>
      <c r="Z34" s="769"/>
      <c r="AA34" s="769"/>
      <c r="AB34" s="769"/>
      <c r="AC34" s="769"/>
      <c r="AD34" s="769"/>
      <c r="AE34" s="769"/>
      <c r="AF34" s="769"/>
      <c r="AG34" s="612"/>
      <c r="AH34" s="612"/>
      <c r="AI34" s="75"/>
      <c r="AJ34" s="75"/>
      <c r="AK34" s="75"/>
      <c r="AL34" s="75"/>
      <c r="AM34" s="75"/>
      <c r="AN34" s="75"/>
      <c r="AO34" s="75"/>
      <c r="AP34" s="75"/>
    </row>
    <row r="35" spans="1:42" ht="18.649999999999999" hidden="1" customHeight="1" x14ac:dyDescent="0.35">
      <c r="A35" s="762"/>
      <c r="B35" s="760"/>
      <c r="C35" s="768"/>
      <c r="D35" s="769"/>
      <c r="E35" s="769"/>
      <c r="F35" s="769"/>
      <c r="G35" s="769"/>
      <c r="H35" s="769"/>
      <c r="I35" s="770"/>
      <c r="J35" s="768"/>
      <c r="K35" s="769"/>
      <c r="L35" s="769"/>
      <c r="M35" s="769"/>
      <c r="N35" s="769"/>
      <c r="O35" s="769"/>
      <c r="P35" s="769"/>
      <c r="Q35" s="769"/>
      <c r="R35" s="769"/>
      <c r="S35" s="769"/>
      <c r="T35" s="769"/>
      <c r="U35" s="769"/>
      <c r="V35" s="769"/>
      <c r="W35" s="769"/>
      <c r="X35" s="769"/>
      <c r="Y35" s="769"/>
      <c r="Z35" s="769"/>
      <c r="AA35" s="769"/>
      <c r="AB35" s="769"/>
      <c r="AC35" s="769"/>
      <c r="AD35" s="769"/>
      <c r="AE35" s="769"/>
      <c r="AF35" s="769"/>
      <c r="AG35" s="612"/>
      <c r="AH35" s="612"/>
      <c r="AI35" s="75"/>
      <c r="AJ35" s="75"/>
      <c r="AK35" s="75"/>
      <c r="AL35" s="75"/>
      <c r="AM35" s="75"/>
      <c r="AN35" s="75"/>
      <c r="AO35" s="75"/>
      <c r="AP35" s="75"/>
    </row>
    <row r="36" spans="1:42" ht="18.649999999999999" hidden="1" customHeight="1" x14ac:dyDescent="0.35">
      <c r="A36" s="762"/>
      <c r="B36" s="760"/>
      <c r="C36" s="768"/>
      <c r="D36" s="769"/>
      <c r="E36" s="769"/>
      <c r="F36" s="769"/>
      <c r="G36" s="769"/>
      <c r="H36" s="769"/>
      <c r="I36" s="770"/>
      <c r="J36" s="768"/>
      <c r="K36" s="769"/>
      <c r="L36" s="769"/>
      <c r="M36" s="769"/>
      <c r="N36" s="769"/>
      <c r="O36" s="769"/>
      <c r="P36" s="769"/>
      <c r="Q36" s="769"/>
      <c r="R36" s="769"/>
      <c r="S36" s="769"/>
      <c r="T36" s="769"/>
      <c r="U36" s="769"/>
      <c r="V36" s="769"/>
      <c r="W36" s="769"/>
      <c r="X36" s="769"/>
      <c r="Y36" s="769"/>
      <c r="Z36" s="769"/>
      <c r="AA36" s="769"/>
      <c r="AB36" s="769"/>
      <c r="AC36" s="769"/>
      <c r="AD36" s="769"/>
      <c r="AE36" s="769"/>
      <c r="AF36" s="769"/>
      <c r="AG36" s="612"/>
      <c r="AH36" s="612"/>
      <c r="AI36" s="75"/>
      <c r="AJ36" s="75"/>
      <c r="AK36" s="75"/>
      <c r="AL36" s="75"/>
      <c r="AM36" s="75"/>
      <c r="AN36" s="75"/>
      <c r="AO36" s="75"/>
      <c r="AP36" s="75"/>
    </row>
    <row r="37" spans="1:42" ht="40.4" hidden="1" customHeight="1" thickBot="1" x14ac:dyDescent="0.4">
      <c r="A37" s="612"/>
      <c r="B37" s="760"/>
      <c r="C37" s="768"/>
      <c r="D37" s="769"/>
      <c r="E37" s="769"/>
      <c r="F37" s="769"/>
      <c r="G37" s="769"/>
      <c r="H37" s="769"/>
      <c r="I37" s="770"/>
      <c r="J37" s="768"/>
      <c r="K37" s="769"/>
      <c r="L37" s="769"/>
      <c r="M37" s="769"/>
      <c r="N37" s="769"/>
      <c r="O37" s="769"/>
      <c r="P37" s="769"/>
      <c r="Q37" s="769"/>
      <c r="R37" s="769"/>
      <c r="S37" s="769"/>
      <c r="T37" s="769"/>
      <c r="U37" s="769"/>
      <c r="V37" s="769"/>
      <c r="W37" s="769"/>
      <c r="X37" s="769"/>
      <c r="Y37" s="769"/>
      <c r="Z37" s="769"/>
      <c r="AA37" s="769"/>
      <c r="AB37" s="769"/>
      <c r="AC37" s="769"/>
      <c r="AD37" s="769"/>
      <c r="AE37" s="769"/>
      <c r="AF37" s="769"/>
      <c r="AG37" s="612"/>
      <c r="AH37" s="612"/>
      <c r="AI37" s="761" t="s">
        <v>439</v>
      </c>
      <c r="AJ37" s="761"/>
      <c r="AK37" s="761" t="s">
        <v>440</v>
      </c>
      <c r="AL37" s="761"/>
      <c r="AM37" s="761" t="s">
        <v>441</v>
      </c>
      <c r="AN37" s="761"/>
      <c r="AO37" s="75"/>
      <c r="AP37" s="75"/>
    </row>
    <row r="38" spans="1:42" ht="40.4" customHeight="1" thickBot="1" x14ac:dyDescent="0.4">
      <c r="A38" s="75"/>
      <c r="B38" s="75"/>
      <c r="C38" s="226"/>
      <c r="D38" s="789" t="s">
        <v>48</v>
      </c>
      <c r="E38" s="789"/>
      <c r="F38" s="789"/>
      <c r="G38" s="789"/>
      <c r="H38" s="789"/>
      <c r="I38" s="790"/>
      <c r="J38" s="791" t="s">
        <v>790</v>
      </c>
      <c r="K38" s="792"/>
      <c r="L38" s="792"/>
      <c r="M38" s="792"/>
      <c r="N38" s="792"/>
      <c r="O38" s="792"/>
      <c r="P38" s="792"/>
      <c r="Q38" s="792"/>
      <c r="R38" s="792"/>
      <c r="S38" s="792"/>
      <c r="T38" s="792"/>
      <c r="U38" s="792"/>
      <c r="V38" s="792"/>
      <c r="W38" s="792"/>
      <c r="X38" s="792"/>
      <c r="Y38" s="792"/>
      <c r="Z38" s="792"/>
      <c r="AA38" s="792"/>
      <c r="AB38" s="792"/>
      <c r="AC38" s="792"/>
      <c r="AD38" s="792"/>
      <c r="AE38" s="792"/>
      <c r="AF38" s="792"/>
      <c r="AG38" s="75"/>
      <c r="AH38" s="75"/>
      <c r="AI38" s="163"/>
      <c r="AJ38" s="163"/>
      <c r="AK38" s="221"/>
      <c r="AL38" s="221"/>
      <c r="AM38" s="221"/>
      <c r="AN38" s="221"/>
      <c r="AO38" s="75"/>
      <c r="AP38" s="75"/>
    </row>
    <row r="39" spans="1:42" ht="50.15" customHeight="1" thickBot="1" x14ac:dyDescent="0.4">
      <c r="A39" s="612"/>
      <c r="B39" s="612"/>
      <c r="C39" s="99" t="s">
        <v>442</v>
      </c>
      <c r="D39" s="100" t="s">
        <v>52</v>
      </c>
      <c r="E39" s="100" t="s">
        <v>53</v>
      </c>
      <c r="F39" s="100" t="s">
        <v>54</v>
      </c>
      <c r="G39" s="100" t="s">
        <v>55</v>
      </c>
      <c r="H39" s="100" t="s">
        <v>56</v>
      </c>
      <c r="I39" s="101" t="s">
        <v>443</v>
      </c>
      <c r="J39" s="102" t="s">
        <v>57</v>
      </c>
      <c r="K39" s="103" t="s">
        <v>444</v>
      </c>
      <c r="L39" s="103" t="s">
        <v>314</v>
      </c>
      <c r="M39" s="103" t="s">
        <v>445</v>
      </c>
      <c r="N39" s="103" t="s">
        <v>61</v>
      </c>
      <c r="O39" s="103" t="s">
        <v>62</v>
      </c>
      <c r="P39" s="103" t="s">
        <v>64</v>
      </c>
      <c r="Q39" s="103" t="s">
        <v>65</v>
      </c>
      <c r="R39" s="103" t="s">
        <v>446</v>
      </c>
      <c r="S39" s="84" t="s">
        <v>447</v>
      </c>
      <c r="T39" s="83" t="s">
        <v>448</v>
      </c>
      <c r="U39" s="103" t="s">
        <v>449</v>
      </c>
      <c r="V39" s="104" t="s">
        <v>450</v>
      </c>
      <c r="W39" s="158" t="s">
        <v>451</v>
      </c>
      <c r="X39" s="159" t="s">
        <v>452</v>
      </c>
      <c r="Y39" s="161" t="s">
        <v>453</v>
      </c>
      <c r="Z39" s="160" t="s">
        <v>454</v>
      </c>
      <c r="AA39" s="155" t="s">
        <v>455</v>
      </c>
      <c r="AB39" s="154" t="s">
        <v>456</v>
      </c>
      <c r="AC39" s="157" t="s">
        <v>457</v>
      </c>
      <c r="AD39" s="82" t="s">
        <v>458</v>
      </c>
      <c r="AE39" s="104" t="s">
        <v>459</v>
      </c>
      <c r="AF39" s="156" t="s">
        <v>460</v>
      </c>
      <c r="AG39" s="612"/>
      <c r="AH39" s="646"/>
      <c r="AI39" s="170" t="s">
        <v>461</v>
      </c>
      <c r="AJ39" s="171" t="s">
        <v>462</v>
      </c>
      <c r="AK39" s="172" t="s">
        <v>461</v>
      </c>
      <c r="AL39" s="173" t="s">
        <v>462</v>
      </c>
      <c r="AM39" s="172" t="s">
        <v>461</v>
      </c>
      <c r="AN39" s="173" t="s">
        <v>462</v>
      </c>
      <c r="AO39" s="75"/>
      <c r="AP39" s="75"/>
    </row>
    <row r="40" spans="1:42" ht="73.5" customHeight="1" x14ac:dyDescent="0.35">
      <c r="A40" s="612"/>
      <c r="B40" s="612"/>
      <c r="C40" s="756"/>
      <c r="D40" s="733">
        <v>1</v>
      </c>
      <c r="E40" s="681" t="s">
        <v>688</v>
      </c>
      <c r="F40" s="681" t="s">
        <v>728</v>
      </c>
      <c r="G40" s="681" t="s">
        <v>711</v>
      </c>
      <c r="H40" s="681" t="s">
        <v>738</v>
      </c>
      <c r="I40" s="759" t="s">
        <v>938</v>
      </c>
      <c r="J40" s="735" t="s">
        <v>463</v>
      </c>
      <c r="K40" s="611" t="s">
        <v>464</v>
      </c>
      <c r="L40" s="611" t="s">
        <v>465</v>
      </c>
      <c r="M40" s="736" t="s">
        <v>466</v>
      </c>
      <c r="N40" s="746" t="s">
        <v>467</v>
      </c>
      <c r="O40" s="754" t="s">
        <v>156</v>
      </c>
      <c r="P40" s="615">
        <v>45292</v>
      </c>
      <c r="Q40" s="613">
        <v>45641</v>
      </c>
      <c r="R40" s="105" t="s">
        <v>94</v>
      </c>
      <c r="S40" s="755">
        <v>0.25</v>
      </c>
      <c r="T40" s="149">
        <v>0.35</v>
      </c>
      <c r="U40" s="186">
        <v>0.35</v>
      </c>
      <c r="V40" s="201">
        <v>0.3</v>
      </c>
      <c r="W40" s="598">
        <f>($S$40*T41)+($S$42*T43)+($S$44*T45)+($S$46*T47)</f>
        <v>0.26</v>
      </c>
      <c r="X40" s="620">
        <f>($S$40*$T40)+($S$42*$T42)+($S$44*T44)+($S$46*T46)</f>
        <v>0.26</v>
      </c>
      <c r="Y40" s="626" t="s">
        <v>468</v>
      </c>
      <c r="Z40" s="599">
        <f>($S$40*U41)+($S$42*U43)+($S$44*U45)+($S$46*U47)</f>
        <v>0.38249999999999995</v>
      </c>
      <c r="AA40" s="621">
        <v>0.38300000000000001</v>
      </c>
      <c r="AB40" s="752" t="s">
        <v>469</v>
      </c>
      <c r="AC40" s="609">
        <f>($S$40*V41)+($S$42*V43)+($S$44*V45)+($S$46*V47)</f>
        <v>0.35749999999999998</v>
      </c>
      <c r="AD40" s="601">
        <v>0.35799999999999998</v>
      </c>
      <c r="AE40" s="753" t="s">
        <v>470</v>
      </c>
      <c r="AF40" s="743">
        <v>0.2</v>
      </c>
      <c r="AG40" s="612"/>
      <c r="AH40" s="646"/>
      <c r="AI40" s="666">
        <f>+($S$40*T41)+($S$42*T43)+($S$44*T45)+($S$46*T47)</f>
        <v>0.26</v>
      </c>
      <c r="AJ40" s="658">
        <f>+X40</f>
        <v>0.26</v>
      </c>
      <c r="AK40" s="666">
        <f>+Z40</f>
        <v>0.38249999999999995</v>
      </c>
      <c r="AL40" s="658">
        <f>+AA40</f>
        <v>0.38300000000000001</v>
      </c>
      <c r="AM40" s="666">
        <f>+AC40</f>
        <v>0.35749999999999998</v>
      </c>
      <c r="AN40" s="658">
        <f>+AD40</f>
        <v>0.35799999999999998</v>
      </c>
      <c r="AO40" s="75"/>
      <c r="AP40" s="75"/>
    </row>
    <row r="41" spans="1:42" ht="73.5" customHeight="1" x14ac:dyDescent="0.35">
      <c r="A41" s="612"/>
      <c r="B41" s="612"/>
      <c r="C41" s="757"/>
      <c r="D41" s="748"/>
      <c r="E41" s="682"/>
      <c r="F41" s="682"/>
      <c r="G41" s="682"/>
      <c r="H41" s="682"/>
      <c r="I41" s="759"/>
      <c r="J41" s="749"/>
      <c r="K41" s="558"/>
      <c r="L41" s="558"/>
      <c r="M41" s="740"/>
      <c r="N41" s="747"/>
      <c r="O41" s="740"/>
      <c r="P41" s="616"/>
      <c r="Q41" s="614"/>
      <c r="R41" s="106" t="s">
        <v>99</v>
      </c>
      <c r="S41" s="742"/>
      <c r="T41" s="150">
        <v>0.35</v>
      </c>
      <c r="U41" s="107">
        <v>0.35</v>
      </c>
      <c r="V41" s="108">
        <v>0.3</v>
      </c>
      <c r="W41" s="599"/>
      <c r="X41" s="621"/>
      <c r="Y41" s="626"/>
      <c r="Z41" s="599"/>
      <c r="AA41" s="621"/>
      <c r="AB41" s="610"/>
      <c r="AC41" s="599"/>
      <c r="AD41" s="621"/>
      <c r="AE41" s="617"/>
      <c r="AF41" s="671"/>
      <c r="AG41" s="612"/>
      <c r="AH41" s="646"/>
      <c r="AI41" s="667"/>
      <c r="AJ41" s="659"/>
      <c r="AK41" s="667"/>
      <c r="AL41" s="659"/>
      <c r="AM41" s="667"/>
      <c r="AN41" s="659"/>
      <c r="AO41" s="75"/>
      <c r="AP41" s="75"/>
    </row>
    <row r="42" spans="1:42" ht="73.5" customHeight="1" x14ac:dyDescent="0.35">
      <c r="A42" s="612"/>
      <c r="B42" s="612"/>
      <c r="C42" s="757"/>
      <c r="D42" s="732">
        <v>2</v>
      </c>
      <c r="E42" s="681" t="s">
        <v>688</v>
      </c>
      <c r="F42" s="681" t="s">
        <v>728</v>
      </c>
      <c r="G42" s="681" t="s">
        <v>711</v>
      </c>
      <c r="H42" s="681" t="s">
        <v>738</v>
      </c>
      <c r="I42" s="759"/>
      <c r="J42" s="734" t="s">
        <v>463</v>
      </c>
      <c r="K42" s="750" t="s">
        <v>464</v>
      </c>
      <c r="L42" s="557" t="s">
        <v>471</v>
      </c>
      <c r="M42" s="619" t="s">
        <v>472</v>
      </c>
      <c r="N42" s="619" t="s">
        <v>467</v>
      </c>
      <c r="O42" s="736" t="s">
        <v>156</v>
      </c>
      <c r="P42" s="615">
        <v>45292</v>
      </c>
      <c r="Q42" s="613">
        <v>45641</v>
      </c>
      <c r="R42" s="105" t="s">
        <v>94</v>
      </c>
      <c r="S42" s="741">
        <v>0.25</v>
      </c>
      <c r="T42" s="151">
        <v>0.34</v>
      </c>
      <c r="U42" s="188">
        <v>0.33</v>
      </c>
      <c r="V42" s="201">
        <v>0.33</v>
      </c>
      <c r="W42" s="599"/>
      <c r="X42" s="621"/>
      <c r="Y42" s="626" t="s">
        <v>473</v>
      </c>
      <c r="Z42" s="599"/>
      <c r="AA42" s="621"/>
      <c r="AB42" s="610" t="s">
        <v>474</v>
      </c>
      <c r="AC42" s="599"/>
      <c r="AD42" s="621"/>
      <c r="AE42" s="617" t="s">
        <v>474</v>
      </c>
      <c r="AF42" s="671"/>
      <c r="AG42" s="612"/>
      <c r="AH42" s="646"/>
      <c r="AI42" s="667"/>
      <c r="AJ42" s="659"/>
      <c r="AK42" s="667"/>
      <c r="AL42" s="659"/>
      <c r="AM42" s="667"/>
      <c r="AN42" s="659"/>
      <c r="AO42" s="75"/>
      <c r="AP42" s="75"/>
    </row>
    <row r="43" spans="1:42" ht="73.5" customHeight="1" x14ac:dyDescent="0.35">
      <c r="A43" s="612"/>
      <c r="B43" s="612"/>
      <c r="C43" s="757"/>
      <c r="D43" s="748"/>
      <c r="E43" s="682"/>
      <c r="F43" s="682"/>
      <c r="G43" s="682"/>
      <c r="H43" s="682"/>
      <c r="I43" s="759"/>
      <c r="J43" s="749"/>
      <c r="K43" s="751"/>
      <c r="L43" s="558"/>
      <c r="M43" s="740"/>
      <c r="N43" s="740"/>
      <c r="O43" s="740"/>
      <c r="P43" s="616"/>
      <c r="Q43" s="614"/>
      <c r="R43" s="106" t="s">
        <v>99</v>
      </c>
      <c r="S43" s="742"/>
      <c r="T43" s="150">
        <v>0.34</v>
      </c>
      <c r="U43" s="107">
        <v>0.33</v>
      </c>
      <c r="V43" s="108">
        <v>0.33</v>
      </c>
      <c r="W43" s="599"/>
      <c r="X43" s="621"/>
      <c r="Y43" s="626"/>
      <c r="Z43" s="599"/>
      <c r="AA43" s="621"/>
      <c r="AB43" s="610"/>
      <c r="AC43" s="599"/>
      <c r="AD43" s="621"/>
      <c r="AE43" s="617"/>
      <c r="AF43" s="671"/>
      <c r="AG43" s="612"/>
      <c r="AH43" s="646"/>
      <c r="AI43" s="667"/>
      <c r="AJ43" s="659"/>
      <c r="AK43" s="667"/>
      <c r="AL43" s="659"/>
      <c r="AM43" s="667"/>
      <c r="AN43" s="659"/>
      <c r="AO43" s="75"/>
      <c r="AP43" s="75"/>
    </row>
    <row r="44" spans="1:42" ht="73.5" customHeight="1" x14ac:dyDescent="0.35">
      <c r="A44" s="612"/>
      <c r="B44" s="612"/>
      <c r="C44" s="757"/>
      <c r="D44" s="732">
        <v>3</v>
      </c>
      <c r="E44" s="681" t="s">
        <v>688</v>
      </c>
      <c r="F44" s="681" t="s">
        <v>728</v>
      </c>
      <c r="G44" s="681" t="s">
        <v>711</v>
      </c>
      <c r="H44" s="681" t="s">
        <v>738</v>
      </c>
      <c r="I44" s="759"/>
      <c r="J44" s="734" t="s">
        <v>463</v>
      </c>
      <c r="K44" s="557" t="s">
        <v>464</v>
      </c>
      <c r="L44" s="557" t="s">
        <v>475</v>
      </c>
      <c r="M44" s="619" t="s">
        <v>476</v>
      </c>
      <c r="N44" s="619" t="s">
        <v>467</v>
      </c>
      <c r="O44" s="619" t="s">
        <v>156</v>
      </c>
      <c r="P44" s="615">
        <v>45292</v>
      </c>
      <c r="Q44" s="613">
        <v>45641</v>
      </c>
      <c r="R44" s="105" t="s">
        <v>94</v>
      </c>
      <c r="S44" s="741">
        <v>0.25</v>
      </c>
      <c r="T44" s="111">
        <v>0.35</v>
      </c>
      <c r="U44" s="130">
        <v>0.35</v>
      </c>
      <c r="V44" s="131">
        <v>0.35</v>
      </c>
      <c r="W44" s="599"/>
      <c r="X44" s="621"/>
      <c r="Y44" s="644" t="s">
        <v>477</v>
      </c>
      <c r="Z44" s="599"/>
      <c r="AA44" s="621"/>
      <c r="AB44" s="744" t="s">
        <v>478</v>
      </c>
      <c r="AC44" s="599"/>
      <c r="AD44" s="621"/>
      <c r="AE44" s="745" t="s">
        <v>479</v>
      </c>
      <c r="AF44" s="671"/>
      <c r="AG44" s="612"/>
      <c r="AH44" s="646"/>
      <c r="AI44" s="667"/>
      <c r="AJ44" s="659"/>
      <c r="AK44" s="667"/>
      <c r="AL44" s="659"/>
      <c r="AM44" s="667"/>
      <c r="AN44" s="659"/>
      <c r="AO44" s="75"/>
      <c r="AP44" s="75"/>
    </row>
    <row r="45" spans="1:42" ht="73.5" customHeight="1" x14ac:dyDescent="0.35">
      <c r="A45" s="612"/>
      <c r="B45" s="612"/>
      <c r="C45" s="757"/>
      <c r="D45" s="748"/>
      <c r="E45" s="682"/>
      <c r="F45" s="682"/>
      <c r="G45" s="682"/>
      <c r="H45" s="682"/>
      <c r="I45" s="759"/>
      <c r="J45" s="749"/>
      <c r="K45" s="558"/>
      <c r="L45" s="558"/>
      <c r="M45" s="740"/>
      <c r="N45" s="740"/>
      <c r="O45" s="740"/>
      <c r="P45" s="616"/>
      <c r="Q45" s="614"/>
      <c r="R45" s="106" t="s">
        <v>99</v>
      </c>
      <c r="S45" s="742"/>
      <c r="T45" s="152">
        <v>0.35</v>
      </c>
      <c r="U45" s="113">
        <v>0.35</v>
      </c>
      <c r="V45" s="114">
        <v>0.3</v>
      </c>
      <c r="W45" s="599"/>
      <c r="X45" s="621"/>
      <c r="Y45" s="644"/>
      <c r="Z45" s="599"/>
      <c r="AA45" s="621"/>
      <c r="AB45" s="744"/>
      <c r="AC45" s="599"/>
      <c r="AD45" s="621"/>
      <c r="AE45" s="745"/>
      <c r="AF45" s="671"/>
      <c r="AG45" s="612"/>
      <c r="AH45" s="646"/>
      <c r="AI45" s="667"/>
      <c r="AJ45" s="659"/>
      <c r="AK45" s="667"/>
      <c r="AL45" s="659"/>
      <c r="AM45" s="667"/>
      <c r="AN45" s="659"/>
      <c r="AO45" s="75"/>
      <c r="AP45" s="75"/>
    </row>
    <row r="46" spans="1:42" ht="73.5" customHeight="1" x14ac:dyDescent="0.35">
      <c r="A46" s="612"/>
      <c r="B46" s="612"/>
      <c r="C46" s="757"/>
      <c r="D46" s="732">
        <v>4</v>
      </c>
      <c r="E46" s="681" t="s">
        <v>688</v>
      </c>
      <c r="F46" s="681" t="s">
        <v>728</v>
      </c>
      <c r="G46" s="681" t="s">
        <v>711</v>
      </c>
      <c r="H46" s="681" t="s">
        <v>738</v>
      </c>
      <c r="I46" s="759"/>
      <c r="J46" s="734" t="s">
        <v>40</v>
      </c>
      <c r="K46" s="557" t="s">
        <v>464</v>
      </c>
      <c r="L46" s="557" t="s">
        <v>480</v>
      </c>
      <c r="M46" s="557" t="s">
        <v>481</v>
      </c>
      <c r="N46" s="619" t="s">
        <v>467</v>
      </c>
      <c r="O46" s="619" t="s">
        <v>156</v>
      </c>
      <c r="P46" s="615">
        <v>45292</v>
      </c>
      <c r="Q46" s="613">
        <v>45641</v>
      </c>
      <c r="R46" s="115" t="s">
        <v>94</v>
      </c>
      <c r="S46" s="738">
        <v>0.25</v>
      </c>
      <c r="T46" s="151">
        <v>0</v>
      </c>
      <c r="U46" s="187">
        <v>0.23</v>
      </c>
      <c r="V46" s="131">
        <v>0.5</v>
      </c>
      <c r="W46" s="599"/>
      <c r="X46" s="621"/>
      <c r="Y46" s="626" t="s">
        <v>482</v>
      </c>
      <c r="Z46" s="599"/>
      <c r="AA46" s="621"/>
      <c r="AB46" s="763" t="s">
        <v>483</v>
      </c>
      <c r="AC46" s="599"/>
      <c r="AD46" s="621"/>
      <c r="AE46" s="610" t="s">
        <v>484</v>
      </c>
      <c r="AF46" s="671"/>
      <c r="AG46" s="612"/>
      <c r="AH46" s="646"/>
      <c r="AI46" s="667"/>
      <c r="AJ46" s="659"/>
      <c r="AK46" s="667"/>
      <c r="AL46" s="659"/>
      <c r="AM46" s="667"/>
      <c r="AN46" s="659"/>
      <c r="AO46" s="75"/>
      <c r="AP46" s="75"/>
    </row>
    <row r="47" spans="1:42" ht="198.65" customHeight="1" thickBot="1" x14ac:dyDescent="0.4">
      <c r="A47" s="612"/>
      <c r="B47" s="612"/>
      <c r="C47" s="758"/>
      <c r="D47" s="733"/>
      <c r="E47" s="682"/>
      <c r="F47" s="682"/>
      <c r="G47" s="682"/>
      <c r="H47" s="682"/>
      <c r="I47" s="759"/>
      <c r="J47" s="735"/>
      <c r="K47" s="611"/>
      <c r="L47" s="611"/>
      <c r="M47" s="611"/>
      <c r="N47" s="736"/>
      <c r="O47" s="737"/>
      <c r="P47" s="616"/>
      <c r="Q47" s="614"/>
      <c r="R47" s="117" t="s">
        <v>99</v>
      </c>
      <c r="S47" s="739"/>
      <c r="T47" s="153">
        <v>0</v>
      </c>
      <c r="U47" s="118">
        <v>0.5</v>
      </c>
      <c r="V47" s="119">
        <v>0.5</v>
      </c>
      <c r="W47" s="600"/>
      <c r="X47" s="622"/>
      <c r="Y47" s="627"/>
      <c r="Z47" s="608"/>
      <c r="AA47" s="709"/>
      <c r="AB47" s="764"/>
      <c r="AC47" s="608"/>
      <c r="AD47" s="709"/>
      <c r="AE47" s="630"/>
      <c r="AF47" s="672"/>
      <c r="AG47" s="612"/>
      <c r="AH47" s="646"/>
      <c r="AI47" s="688"/>
      <c r="AJ47" s="689"/>
      <c r="AK47" s="688"/>
      <c r="AL47" s="689"/>
      <c r="AM47" s="688"/>
      <c r="AN47" s="689"/>
      <c r="AO47" s="75"/>
      <c r="AP47" s="75"/>
    </row>
    <row r="48" spans="1:42" ht="73.5" customHeight="1" x14ac:dyDescent="0.35">
      <c r="A48" s="719"/>
      <c r="B48" s="719"/>
      <c r="C48" s="724"/>
      <c r="D48" s="650">
        <v>5</v>
      </c>
      <c r="E48" s="681" t="s">
        <v>688</v>
      </c>
      <c r="F48" s="681" t="s">
        <v>728</v>
      </c>
      <c r="G48" s="681" t="s">
        <v>86</v>
      </c>
      <c r="H48" s="681" t="s">
        <v>163</v>
      </c>
      <c r="I48" s="727" t="s">
        <v>939</v>
      </c>
      <c r="J48" s="655" t="s">
        <v>307</v>
      </c>
      <c r="K48" s="236" t="s">
        <v>485</v>
      </c>
      <c r="L48" s="655" t="s">
        <v>486</v>
      </c>
      <c r="M48" s="655" t="s">
        <v>487</v>
      </c>
      <c r="N48" s="730" t="s">
        <v>467</v>
      </c>
      <c r="O48" s="636" t="s">
        <v>156</v>
      </c>
      <c r="P48" s="615">
        <v>45292</v>
      </c>
      <c r="Q48" s="613">
        <v>45641</v>
      </c>
      <c r="R48" s="120" t="s">
        <v>94</v>
      </c>
      <c r="S48" s="731">
        <v>0.125</v>
      </c>
      <c r="T48" s="121">
        <v>1</v>
      </c>
      <c r="U48" s="122">
        <v>0</v>
      </c>
      <c r="V48" s="123">
        <v>0</v>
      </c>
      <c r="W48" s="598">
        <f>($S$48*T49)+($S$50*T51)+($S$52*T53)+($S$54*T55)+($S$56*T57)+($S$58*T59)+($S$60*T61)+($S$62*T63)</f>
        <v>0.33250000000000002</v>
      </c>
      <c r="X48" s="620">
        <f>($S$48*$T48)+($S$50*$T50)+($S$52*$T52)+($S$54*$T54)+($S$56*$T56)+($S$58*$T58)+($S$60*$T60)+($S$62*$T62)</f>
        <v>0.33250000000000002</v>
      </c>
      <c r="Y48" s="722" t="s">
        <v>488</v>
      </c>
      <c r="Z48" s="609">
        <f>($S$48*U49)+($S$50*U51)+($S$52*U53)+($S$54*U55)+($S$56*U57)+($S$58*U59)+($S$60*U61)+($S$62*U63)</f>
        <v>0.39500000000000002</v>
      </c>
      <c r="AA48" s="601">
        <f>($S$48*U48)+($S$50*U50)+($S$52*U52)+($S$54*U54)+($S$56*U56)+($S$58*U58)+($S$60*U60)+($S$62*U62)</f>
        <v>0.39500000000000002</v>
      </c>
      <c r="AB48" s="718" t="s">
        <v>489</v>
      </c>
      <c r="AC48" s="609">
        <f>($S$48*V49)+($S$50*V51)+($S$52*V53)+($S$54*V55)+($S$56*V57)+($S$58*V59)+($S$60*V61)+($S$62*V63)</f>
        <v>0.27250000000000002</v>
      </c>
      <c r="AD48" s="601">
        <f>($S$48*V48)+($S$50*V50)+($S$52*V52)+($S$54*V54)+($S$56*V56)+($S$58*V58)+($S$60*V60)+($S$62*V62)</f>
        <v>0.27250000000000002</v>
      </c>
      <c r="AE48" s="718" t="s">
        <v>489</v>
      </c>
      <c r="AF48" s="701">
        <v>0.3</v>
      </c>
      <c r="AG48" s="719"/>
      <c r="AH48" s="720"/>
      <c r="AI48" s="666">
        <f>+W48</f>
        <v>0.33250000000000002</v>
      </c>
      <c r="AJ48" s="658">
        <f>+X48</f>
        <v>0.33250000000000002</v>
      </c>
      <c r="AK48" s="666">
        <f>+Z48</f>
        <v>0.39500000000000002</v>
      </c>
      <c r="AL48" s="658">
        <f>+AA48</f>
        <v>0.39500000000000002</v>
      </c>
      <c r="AM48" s="666">
        <f>+AC48</f>
        <v>0.27250000000000002</v>
      </c>
      <c r="AN48" s="658">
        <f>+AD48</f>
        <v>0.27250000000000002</v>
      </c>
      <c r="AO48" s="85"/>
      <c r="AP48" s="85"/>
    </row>
    <row r="49" spans="1:42" ht="73.5" customHeight="1" thickBot="1" x14ac:dyDescent="0.4">
      <c r="A49" s="719"/>
      <c r="B49" s="719"/>
      <c r="C49" s="725"/>
      <c r="D49" s="651"/>
      <c r="E49" s="682"/>
      <c r="F49" s="682"/>
      <c r="G49" s="682"/>
      <c r="H49" s="682"/>
      <c r="I49" s="728"/>
      <c r="J49" s="631"/>
      <c r="K49" s="238" t="s">
        <v>490</v>
      </c>
      <c r="L49" s="631"/>
      <c r="M49" s="631"/>
      <c r="N49" s="634"/>
      <c r="O49" s="618"/>
      <c r="P49" s="616"/>
      <c r="Q49" s="614"/>
      <c r="R49" s="124" t="s">
        <v>99</v>
      </c>
      <c r="S49" s="645"/>
      <c r="T49" s="125">
        <v>1</v>
      </c>
      <c r="U49" s="109">
        <v>0</v>
      </c>
      <c r="V49" s="110">
        <v>0</v>
      </c>
      <c r="W49" s="599"/>
      <c r="X49" s="621"/>
      <c r="Y49" s="723"/>
      <c r="Z49" s="599"/>
      <c r="AA49" s="621"/>
      <c r="AB49" s="610"/>
      <c r="AC49" s="599"/>
      <c r="AD49" s="621"/>
      <c r="AE49" s="610"/>
      <c r="AF49" s="702"/>
      <c r="AG49" s="719"/>
      <c r="AH49" s="720"/>
      <c r="AI49" s="667"/>
      <c r="AJ49" s="659"/>
      <c r="AK49" s="667"/>
      <c r="AL49" s="659"/>
      <c r="AM49" s="667"/>
      <c r="AN49" s="659"/>
      <c r="AO49" s="85"/>
      <c r="AP49" s="85"/>
    </row>
    <row r="50" spans="1:42" ht="73.5" customHeight="1" x14ac:dyDescent="0.35">
      <c r="A50" s="612"/>
      <c r="B50" s="612"/>
      <c r="C50" s="725"/>
      <c r="D50" s="651">
        <v>6</v>
      </c>
      <c r="E50" s="681" t="s">
        <v>688</v>
      </c>
      <c r="F50" s="681" t="s">
        <v>728</v>
      </c>
      <c r="G50" s="681" t="s">
        <v>86</v>
      </c>
      <c r="H50" s="681" t="s">
        <v>163</v>
      </c>
      <c r="I50" s="728"/>
      <c r="J50" s="655" t="s">
        <v>307</v>
      </c>
      <c r="K50" s="238" t="s">
        <v>485</v>
      </c>
      <c r="L50" s="631" t="s">
        <v>491</v>
      </c>
      <c r="M50" s="631" t="s">
        <v>492</v>
      </c>
      <c r="N50" s="634" t="s">
        <v>467</v>
      </c>
      <c r="O50" s="618" t="s">
        <v>156</v>
      </c>
      <c r="P50" s="615">
        <v>45292</v>
      </c>
      <c r="Q50" s="613">
        <v>45641</v>
      </c>
      <c r="R50" s="116" t="s">
        <v>94</v>
      </c>
      <c r="S50" s="645">
        <f>+S48</f>
        <v>0.125</v>
      </c>
      <c r="T50" s="126">
        <v>0</v>
      </c>
      <c r="U50" s="130">
        <v>1</v>
      </c>
      <c r="V50" s="127">
        <v>0</v>
      </c>
      <c r="W50" s="599"/>
      <c r="X50" s="621"/>
      <c r="Y50" s="626" t="s">
        <v>489</v>
      </c>
      <c r="Z50" s="599"/>
      <c r="AA50" s="621"/>
      <c r="AB50" s="610" t="s">
        <v>493</v>
      </c>
      <c r="AC50" s="599"/>
      <c r="AD50" s="621"/>
      <c r="AE50" s="718" t="s">
        <v>489</v>
      </c>
      <c r="AF50" s="702"/>
      <c r="AG50" s="612"/>
      <c r="AH50" s="646"/>
      <c r="AI50" s="667"/>
      <c r="AJ50" s="659"/>
      <c r="AK50" s="667"/>
      <c r="AL50" s="659"/>
      <c r="AM50" s="667"/>
      <c r="AN50" s="659"/>
      <c r="AO50" s="75"/>
      <c r="AP50" s="75"/>
    </row>
    <row r="51" spans="1:42" ht="73.5" customHeight="1" thickBot="1" x14ac:dyDescent="0.4">
      <c r="A51" s="612"/>
      <c r="B51" s="612"/>
      <c r="C51" s="725"/>
      <c r="D51" s="651"/>
      <c r="E51" s="682"/>
      <c r="F51" s="682"/>
      <c r="G51" s="682"/>
      <c r="H51" s="682"/>
      <c r="I51" s="728"/>
      <c r="J51" s="631"/>
      <c r="K51" s="238" t="s">
        <v>490</v>
      </c>
      <c r="L51" s="631"/>
      <c r="M51" s="631"/>
      <c r="N51" s="634"/>
      <c r="O51" s="618"/>
      <c r="P51" s="616"/>
      <c r="Q51" s="614"/>
      <c r="R51" s="124" t="s">
        <v>99</v>
      </c>
      <c r="S51" s="645"/>
      <c r="T51" s="128">
        <v>0</v>
      </c>
      <c r="U51" s="125">
        <v>1</v>
      </c>
      <c r="V51" s="110">
        <v>0</v>
      </c>
      <c r="W51" s="599"/>
      <c r="X51" s="621"/>
      <c r="Y51" s="626"/>
      <c r="Z51" s="599"/>
      <c r="AA51" s="621"/>
      <c r="AB51" s="610"/>
      <c r="AC51" s="599"/>
      <c r="AD51" s="621"/>
      <c r="AE51" s="610"/>
      <c r="AF51" s="702"/>
      <c r="AG51" s="612"/>
      <c r="AH51" s="646"/>
      <c r="AI51" s="667"/>
      <c r="AJ51" s="659"/>
      <c r="AK51" s="667"/>
      <c r="AL51" s="659"/>
      <c r="AM51" s="667"/>
      <c r="AN51" s="659"/>
      <c r="AO51" s="75"/>
      <c r="AP51" s="75"/>
    </row>
    <row r="52" spans="1:42" ht="73.5" customHeight="1" x14ac:dyDescent="0.35">
      <c r="A52" s="719"/>
      <c r="B52" s="719"/>
      <c r="C52" s="725"/>
      <c r="D52" s="651">
        <v>7</v>
      </c>
      <c r="E52" s="681" t="s">
        <v>688</v>
      </c>
      <c r="F52" s="681" t="s">
        <v>728</v>
      </c>
      <c r="G52" s="681" t="s">
        <v>86</v>
      </c>
      <c r="H52" s="681" t="s">
        <v>163</v>
      </c>
      <c r="I52" s="728"/>
      <c r="J52" s="655" t="s">
        <v>307</v>
      </c>
      <c r="K52" s="238" t="s">
        <v>485</v>
      </c>
      <c r="L52" s="631" t="s">
        <v>494</v>
      </c>
      <c r="M52" s="631" t="s">
        <v>495</v>
      </c>
      <c r="N52" s="634" t="s">
        <v>467</v>
      </c>
      <c r="O52" s="618" t="s">
        <v>156</v>
      </c>
      <c r="P52" s="615">
        <v>45292</v>
      </c>
      <c r="Q52" s="613">
        <v>45641</v>
      </c>
      <c r="R52" s="116" t="s">
        <v>94</v>
      </c>
      <c r="S52" s="645">
        <f>+S50</f>
        <v>0.125</v>
      </c>
      <c r="T52" s="129">
        <v>0.33</v>
      </c>
      <c r="U52" s="130">
        <v>0.33</v>
      </c>
      <c r="V52" s="131">
        <v>0.34</v>
      </c>
      <c r="W52" s="599"/>
      <c r="X52" s="621"/>
      <c r="Y52" s="626" t="s">
        <v>496</v>
      </c>
      <c r="Z52" s="599"/>
      <c r="AA52" s="621"/>
      <c r="AB52" s="721" t="s">
        <v>497</v>
      </c>
      <c r="AC52" s="599"/>
      <c r="AD52" s="621"/>
      <c r="AE52" s="717"/>
      <c r="AF52" s="702"/>
      <c r="AG52" s="719"/>
      <c r="AH52" s="720"/>
      <c r="AI52" s="667"/>
      <c r="AJ52" s="659"/>
      <c r="AK52" s="667"/>
      <c r="AL52" s="659"/>
      <c r="AM52" s="667"/>
      <c r="AN52" s="659"/>
      <c r="AO52" s="85"/>
      <c r="AP52" s="85"/>
    </row>
    <row r="53" spans="1:42" ht="73.5" customHeight="1" thickBot="1" x14ac:dyDescent="0.4">
      <c r="A53" s="719"/>
      <c r="B53" s="719"/>
      <c r="C53" s="725"/>
      <c r="D53" s="651"/>
      <c r="E53" s="682"/>
      <c r="F53" s="682"/>
      <c r="G53" s="682"/>
      <c r="H53" s="682"/>
      <c r="I53" s="728"/>
      <c r="J53" s="631"/>
      <c r="K53" s="238" t="s">
        <v>490</v>
      </c>
      <c r="L53" s="631"/>
      <c r="M53" s="631"/>
      <c r="N53" s="634"/>
      <c r="O53" s="618"/>
      <c r="P53" s="616"/>
      <c r="Q53" s="614"/>
      <c r="R53" s="124" t="s">
        <v>99</v>
      </c>
      <c r="S53" s="645"/>
      <c r="T53" s="125">
        <v>0.33</v>
      </c>
      <c r="U53" s="107">
        <v>0.33</v>
      </c>
      <c r="V53" s="108">
        <v>0.34</v>
      </c>
      <c r="W53" s="599"/>
      <c r="X53" s="621"/>
      <c r="Y53" s="626"/>
      <c r="Z53" s="599"/>
      <c r="AA53" s="621"/>
      <c r="AB53" s="721"/>
      <c r="AC53" s="599"/>
      <c r="AD53" s="621"/>
      <c r="AE53" s="717"/>
      <c r="AF53" s="702"/>
      <c r="AG53" s="719"/>
      <c r="AH53" s="720"/>
      <c r="AI53" s="667"/>
      <c r="AJ53" s="659"/>
      <c r="AK53" s="667"/>
      <c r="AL53" s="659"/>
      <c r="AM53" s="667"/>
      <c r="AN53" s="659"/>
      <c r="AO53" s="85"/>
      <c r="AP53" s="85"/>
    </row>
    <row r="54" spans="1:42" ht="73.5" customHeight="1" x14ac:dyDescent="0.35">
      <c r="A54" s="612"/>
      <c r="B54" s="612"/>
      <c r="C54" s="725"/>
      <c r="D54" s="651">
        <v>8</v>
      </c>
      <c r="E54" s="681" t="s">
        <v>688</v>
      </c>
      <c r="F54" s="681" t="s">
        <v>728</v>
      </c>
      <c r="G54" s="681" t="s">
        <v>86</v>
      </c>
      <c r="H54" s="681" t="s">
        <v>163</v>
      </c>
      <c r="I54" s="728"/>
      <c r="J54" s="655" t="s">
        <v>307</v>
      </c>
      <c r="K54" s="238" t="s">
        <v>485</v>
      </c>
      <c r="L54" s="631" t="s">
        <v>498</v>
      </c>
      <c r="M54" s="631" t="s">
        <v>499</v>
      </c>
      <c r="N54" s="634" t="s">
        <v>467</v>
      </c>
      <c r="O54" s="618" t="s">
        <v>156</v>
      </c>
      <c r="P54" s="615">
        <v>45292</v>
      </c>
      <c r="Q54" s="613">
        <v>45641</v>
      </c>
      <c r="R54" s="116" t="s">
        <v>94</v>
      </c>
      <c r="S54" s="645">
        <f>+S52</f>
        <v>0.125</v>
      </c>
      <c r="T54" s="129">
        <v>0</v>
      </c>
      <c r="U54" s="130">
        <v>1</v>
      </c>
      <c r="V54" s="112">
        <v>0</v>
      </c>
      <c r="W54" s="599"/>
      <c r="X54" s="621"/>
      <c r="Y54" s="626" t="s">
        <v>489</v>
      </c>
      <c r="Z54" s="599"/>
      <c r="AA54" s="621"/>
      <c r="AB54" s="610" t="s">
        <v>500</v>
      </c>
      <c r="AC54" s="599"/>
      <c r="AD54" s="621"/>
      <c r="AE54" s="718" t="s">
        <v>489</v>
      </c>
      <c r="AF54" s="702"/>
      <c r="AG54" s="612"/>
      <c r="AH54" s="646"/>
      <c r="AI54" s="667"/>
      <c r="AJ54" s="659"/>
      <c r="AK54" s="667"/>
      <c r="AL54" s="659"/>
      <c r="AM54" s="667"/>
      <c r="AN54" s="659"/>
      <c r="AO54" s="75"/>
      <c r="AP54" s="75"/>
    </row>
    <row r="55" spans="1:42" ht="73.5" customHeight="1" thickBot="1" x14ac:dyDescent="0.4">
      <c r="A55" s="612"/>
      <c r="B55" s="612"/>
      <c r="C55" s="725"/>
      <c r="D55" s="651"/>
      <c r="E55" s="682"/>
      <c r="F55" s="682"/>
      <c r="G55" s="682"/>
      <c r="H55" s="682"/>
      <c r="I55" s="728"/>
      <c r="J55" s="631"/>
      <c r="K55" s="238" t="s">
        <v>490</v>
      </c>
      <c r="L55" s="631"/>
      <c r="M55" s="631"/>
      <c r="N55" s="634"/>
      <c r="O55" s="618"/>
      <c r="P55" s="616"/>
      <c r="Q55" s="614"/>
      <c r="R55" s="124" t="s">
        <v>99</v>
      </c>
      <c r="S55" s="645"/>
      <c r="T55" s="128">
        <v>0</v>
      </c>
      <c r="U55" s="107">
        <v>1</v>
      </c>
      <c r="V55" s="110">
        <v>0</v>
      </c>
      <c r="W55" s="599"/>
      <c r="X55" s="621"/>
      <c r="Y55" s="626"/>
      <c r="Z55" s="599"/>
      <c r="AA55" s="621"/>
      <c r="AB55" s="610"/>
      <c r="AC55" s="599"/>
      <c r="AD55" s="621"/>
      <c r="AE55" s="610"/>
      <c r="AF55" s="702"/>
      <c r="AG55" s="612"/>
      <c r="AH55" s="646"/>
      <c r="AI55" s="667"/>
      <c r="AJ55" s="659"/>
      <c r="AK55" s="667"/>
      <c r="AL55" s="659"/>
      <c r="AM55" s="667"/>
      <c r="AN55" s="659"/>
      <c r="AO55" s="75"/>
      <c r="AP55" s="75"/>
    </row>
    <row r="56" spans="1:42" ht="73.5" customHeight="1" x14ac:dyDescent="0.35">
      <c r="A56" s="612"/>
      <c r="B56" s="612"/>
      <c r="C56" s="725"/>
      <c r="D56" s="651">
        <v>9</v>
      </c>
      <c r="E56" s="681" t="s">
        <v>688</v>
      </c>
      <c r="F56" s="681" t="s">
        <v>728</v>
      </c>
      <c r="G56" s="681" t="s">
        <v>86</v>
      </c>
      <c r="H56" s="681" t="s">
        <v>163</v>
      </c>
      <c r="I56" s="728"/>
      <c r="J56" s="655" t="s">
        <v>307</v>
      </c>
      <c r="K56" s="238" t="s">
        <v>501</v>
      </c>
      <c r="L56" s="631" t="s">
        <v>502</v>
      </c>
      <c r="M56" s="631" t="s">
        <v>503</v>
      </c>
      <c r="N56" s="634" t="s">
        <v>467</v>
      </c>
      <c r="O56" s="618" t="s">
        <v>156</v>
      </c>
      <c r="P56" s="615">
        <v>45292</v>
      </c>
      <c r="Q56" s="613">
        <v>45641</v>
      </c>
      <c r="R56" s="116" t="s">
        <v>94</v>
      </c>
      <c r="S56" s="645">
        <f>+S54</f>
        <v>0.125</v>
      </c>
      <c r="T56" s="129">
        <v>0.33</v>
      </c>
      <c r="U56" s="130">
        <v>0.33</v>
      </c>
      <c r="V56" s="131">
        <v>0.34</v>
      </c>
      <c r="W56" s="599"/>
      <c r="X56" s="621"/>
      <c r="Y56" s="626" t="s">
        <v>504</v>
      </c>
      <c r="Z56" s="599"/>
      <c r="AA56" s="621"/>
      <c r="AB56" s="610" t="s">
        <v>505</v>
      </c>
      <c r="AC56" s="599"/>
      <c r="AD56" s="621"/>
      <c r="AE56" s="717"/>
      <c r="AF56" s="702"/>
      <c r="AG56" s="612"/>
      <c r="AH56" s="646"/>
      <c r="AI56" s="667"/>
      <c r="AJ56" s="659"/>
      <c r="AK56" s="667"/>
      <c r="AL56" s="659"/>
      <c r="AM56" s="667"/>
      <c r="AN56" s="659"/>
      <c r="AO56" s="75"/>
      <c r="AP56" s="75"/>
    </row>
    <row r="57" spans="1:42" ht="73.5" customHeight="1" thickBot="1" x14ac:dyDescent="0.4">
      <c r="A57" s="612"/>
      <c r="B57" s="612"/>
      <c r="C57" s="725"/>
      <c r="D57" s="651"/>
      <c r="E57" s="682"/>
      <c r="F57" s="682"/>
      <c r="G57" s="682"/>
      <c r="H57" s="682"/>
      <c r="I57" s="728"/>
      <c r="J57" s="631"/>
      <c r="K57" s="238" t="s">
        <v>506</v>
      </c>
      <c r="L57" s="631"/>
      <c r="M57" s="631"/>
      <c r="N57" s="634"/>
      <c r="O57" s="618"/>
      <c r="P57" s="616"/>
      <c r="Q57" s="614"/>
      <c r="R57" s="124" t="s">
        <v>99</v>
      </c>
      <c r="S57" s="645"/>
      <c r="T57" s="125">
        <v>0.33</v>
      </c>
      <c r="U57" s="107">
        <v>0.33</v>
      </c>
      <c r="V57" s="108">
        <v>0.34</v>
      </c>
      <c r="W57" s="599"/>
      <c r="X57" s="621"/>
      <c r="Y57" s="626"/>
      <c r="Z57" s="599"/>
      <c r="AA57" s="621"/>
      <c r="AB57" s="610"/>
      <c r="AC57" s="599"/>
      <c r="AD57" s="621"/>
      <c r="AE57" s="717"/>
      <c r="AF57" s="702"/>
      <c r="AG57" s="612"/>
      <c r="AH57" s="646"/>
      <c r="AI57" s="667"/>
      <c r="AJ57" s="659"/>
      <c r="AK57" s="667"/>
      <c r="AL57" s="659"/>
      <c r="AM57" s="667"/>
      <c r="AN57" s="659"/>
      <c r="AO57" s="75"/>
      <c r="AP57" s="75"/>
    </row>
    <row r="58" spans="1:42" ht="73.5" customHeight="1" x14ac:dyDescent="0.35">
      <c r="A58" s="719"/>
      <c r="B58" s="719"/>
      <c r="C58" s="725"/>
      <c r="D58" s="651">
        <v>10</v>
      </c>
      <c r="E58" s="681" t="s">
        <v>688</v>
      </c>
      <c r="F58" s="681" t="s">
        <v>728</v>
      </c>
      <c r="G58" s="681" t="s">
        <v>86</v>
      </c>
      <c r="H58" s="681" t="s">
        <v>163</v>
      </c>
      <c r="I58" s="728"/>
      <c r="J58" s="655" t="s">
        <v>307</v>
      </c>
      <c r="K58" s="238" t="s">
        <v>501</v>
      </c>
      <c r="L58" s="631" t="s">
        <v>507</v>
      </c>
      <c r="M58" s="631" t="s">
        <v>508</v>
      </c>
      <c r="N58" s="634" t="s">
        <v>467</v>
      </c>
      <c r="O58" s="618" t="s">
        <v>156</v>
      </c>
      <c r="P58" s="615">
        <v>45292</v>
      </c>
      <c r="Q58" s="613">
        <v>45641</v>
      </c>
      <c r="R58" s="116" t="s">
        <v>94</v>
      </c>
      <c r="S58" s="645">
        <f>+S56</f>
        <v>0.125</v>
      </c>
      <c r="T58" s="129">
        <v>1</v>
      </c>
      <c r="U58" s="130">
        <v>0</v>
      </c>
      <c r="V58" s="131">
        <v>0</v>
      </c>
      <c r="W58" s="599"/>
      <c r="X58" s="621"/>
      <c r="Y58" s="626" t="s">
        <v>509</v>
      </c>
      <c r="Z58" s="599"/>
      <c r="AA58" s="621"/>
      <c r="AB58" s="610" t="s">
        <v>489</v>
      </c>
      <c r="AC58" s="599"/>
      <c r="AD58" s="621"/>
      <c r="AE58" s="718" t="s">
        <v>489</v>
      </c>
      <c r="AF58" s="702"/>
      <c r="AG58" s="719"/>
      <c r="AH58" s="720"/>
      <c r="AI58" s="667"/>
      <c r="AJ58" s="659"/>
      <c r="AK58" s="667"/>
      <c r="AL58" s="659"/>
      <c r="AM58" s="667"/>
      <c r="AN58" s="659"/>
      <c r="AO58" s="85"/>
      <c r="AP58" s="85"/>
    </row>
    <row r="59" spans="1:42" ht="73.5" customHeight="1" thickBot="1" x14ac:dyDescent="0.4">
      <c r="A59" s="719"/>
      <c r="B59" s="719"/>
      <c r="C59" s="725"/>
      <c r="D59" s="651"/>
      <c r="E59" s="682"/>
      <c r="F59" s="682"/>
      <c r="G59" s="682"/>
      <c r="H59" s="682"/>
      <c r="I59" s="728"/>
      <c r="J59" s="631"/>
      <c r="K59" s="238" t="s">
        <v>506</v>
      </c>
      <c r="L59" s="631"/>
      <c r="M59" s="631"/>
      <c r="N59" s="634"/>
      <c r="O59" s="618"/>
      <c r="P59" s="616"/>
      <c r="Q59" s="614"/>
      <c r="R59" s="124" t="s">
        <v>99</v>
      </c>
      <c r="S59" s="645"/>
      <c r="T59" s="125">
        <v>1</v>
      </c>
      <c r="U59" s="107">
        <v>0</v>
      </c>
      <c r="V59" s="110">
        <v>0</v>
      </c>
      <c r="W59" s="599"/>
      <c r="X59" s="621"/>
      <c r="Y59" s="626"/>
      <c r="Z59" s="599"/>
      <c r="AA59" s="621"/>
      <c r="AB59" s="610"/>
      <c r="AC59" s="599"/>
      <c r="AD59" s="621"/>
      <c r="AE59" s="610"/>
      <c r="AF59" s="702"/>
      <c r="AG59" s="719"/>
      <c r="AH59" s="720"/>
      <c r="AI59" s="667"/>
      <c r="AJ59" s="659"/>
      <c r="AK59" s="667"/>
      <c r="AL59" s="659"/>
      <c r="AM59" s="667"/>
      <c r="AN59" s="659"/>
      <c r="AO59" s="85"/>
      <c r="AP59" s="85"/>
    </row>
    <row r="60" spans="1:42" ht="73.5" customHeight="1" x14ac:dyDescent="0.35">
      <c r="A60" s="612"/>
      <c r="B60" s="612"/>
      <c r="C60" s="725"/>
      <c r="D60" s="651">
        <v>11</v>
      </c>
      <c r="E60" s="681" t="s">
        <v>688</v>
      </c>
      <c r="F60" s="681" t="s">
        <v>728</v>
      </c>
      <c r="G60" s="681" t="s">
        <v>86</v>
      </c>
      <c r="H60" s="681" t="s">
        <v>163</v>
      </c>
      <c r="I60" s="728"/>
      <c r="J60" s="655" t="s">
        <v>307</v>
      </c>
      <c r="K60" s="238" t="s">
        <v>510</v>
      </c>
      <c r="L60" s="631" t="s">
        <v>511</v>
      </c>
      <c r="M60" s="631" t="s">
        <v>512</v>
      </c>
      <c r="N60" s="634" t="s">
        <v>467</v>
      </c>
      <c r="O60" s="618" t="s">
        <v>156</v>
      </c>
      <c r="P60" s="615">
        <v>45292</v>
      </c>
      <c r="Q60" s="613">
        <v>45641</v>
      </c>
      <c r="R60" s="116" t="s">
        <v>94</v>
      </c>
      <c r="S60" s="645">
        <f>+S58</f>
        <v>0.125</v>
      </c>
      <c r="T60" s="130">
        <v>0</v>
      </c>
      <c r="U60" s="130">
        <v>0.5</v>
      </c>
      <c r="V60" s="131">
        <v>0.5</v>
      </c>
      <c r="W60" s="599"/>
      <c r="X60" s="621"/>
      <c r="Y60" s="626" t="s">
        <v>489</v>
      </c>
      <c r="Z60" s="599"/>
      <c r="AA60" s="621"/>
      <c r="AB60" s="610" t="s">
        <v>513</v>
      </c>
      <c r="AC60" s="599"/>
      <c r="AD60" s="621"/>
      <c r="AE60" s="717"/>
      <c r="AF60" s="702"/>
      <c r="AG60" s="612"/>
      <c r="AH60" s="646"/>
      <c r="AI60" s="667"/>
      <c r="AJ60" s="659"/>
      <c r="AK60" s="667"/>
      <c r="AL60" s="659"/>
      <c r="AM60" s="667"/>
      <c r="AN60" s="659"/>
      <c r="AO60" s="75"/>
      <c r="AP60" s="75"/>
    </row>
    <row r="61" spans="1:42" ht="73.5" customHeight="1" thickBot="1" x14ac:dyDescent="0.4">
      <c r="A61" s="612"/>
      <c r="B61" s="612"/>
      <c r="C61" s="725"/>
      <c r="D61" s="651"/>
      <c r="E61" s="682"/>
      <c r="F61" s="682"/>
      <c r="G61" s="682"/>
      <c r="H61" s="682"/>
      <c r="I61" s="728"/>
      <c r="J61" s="631"/>
      <c r="K61" s="238" t="s">
        <v>514</v>
      </c>
      <c r="L61" s="631"/>
      <c r="M61" s="631"/>
      <c r="N61" s="634"/>
      <c r="O61" s="618"/>
      <c r="P61" s="616"/>
      <c r="Q61" s="614"/>
      <c r="R61" s="124" t="s">
        <v>99</v>
      </c>
      <c r="S61" s="645"/>
      <c r="T61" s="128">
        <v>0</v>
      </c>
      <c r="U61" s="107">
        <v>0.5</v>
      </c>
      <c r="V61" s="108">
        <v>0.5</v>
      </c>
      <c r="W61" s="599"/>
      <c r="X61" s="621"/>
      <c r="Y61" s="626"/>
      <c r="Z61" s="599"/>
      <c r="AA61" s="621"/>
      <c r="AB61" s="610"/>
      <c r="AC61" s="599"/>
      <c r="AD61" s="621"/>
      <c r="AE61" s="717"/>
      <c r="AF61" s="702"/>
      <c r="AG61" s="612"/>
      <c r="AH61" s="646"/>
      <c r="AI61" s="667"/>
      <c r="AJ61" s="659"/>
      <c r="AK61" s="667"/>
      <c r="AL61" s="659"/>
      <c r="AM61" s="667"/>
      <c r="AN61" s="659"/>
      <c r="AO61" s="75"/>
      <c r="AP61" s="75"/>
    </row>
    <row r="62" spans="1:42" ht="137.9" customHeight="1" x14ac:dyDescent="0.35">
      <c r="A62" s="612"/>
      <c r="B62" s="612"/>
      <c r="C62" s="725"/>
      <c r="D62" s="651">
        <v>12</v>
      </c>
      <c r="E62" s="681" t="s">
        <v>688</v>
      </c>
      <c r="F62" s="681" t="s">
        <v>728</v>
      </c>
      <c r="G62" s="681" t="s">
        <v>86</v>
      </c>
      <c r="H62" s="681" t="s">
        <v>163</v>
      </c>
      <c r="I62" s="728"/>
      <c r="J62" s="655" t="s">
        <v>307</v>
      </c>
      <c r="K62" s="631" t="s">
        <v>515</v>
      </c>
      <c r="L62" s="631" t="s">
        <v>516</v>
      </c>
      <c r="M62" s="631" t="s">
        <v>517</v>
      </c>
      <c r="N62" s="634" t="s">
        <v>467</v>
      </c>
      <c r="O62" s="618" t="s">
        <v>156</v>
      </c>
      <c r="P62" s="615">
        <v>45292</v>
      </c>
      <c r="Q62" s="613">
        <v>45641</v>
      </c>
      <c r="R62" s="116" t="s">
        <v>94</v>
      </c>
      <c r="S62" s="645">
        <f>+S60</f>
        <v>0.125</v>
      </c>
      <c r="T62" s="130">
        <v>0</v>
      </c>
      <c r="U62" s="130">
        <v>0</v>
      </c>
      <c r="V62" s="196">
        <v>1</v>
      </c>
      <c r="W62" s="599"/>
      <c r="X62" s="621"/>
      <c r="Y62" s="626" t="s">
        <v>489</v>
      </c>
      <c r="Z62" s="599"/>
      <c r="AA62" s="621"/>
      <c r="AB62" s="610" t="s">
        <v>489</v>
      </c>
      <c r="AC62" s="599"/>
      <c r="AD62" s="621"/>
      <c r="AE62" s="610"/>
      <c r="AF62" s="702"/>
      <c r="AG62" s="612"/>
      <c r="AH62" s="646"/>
      <c r="AI62" s="667"/>
      <c r="AJ62" s="659"/>
      <c r="AK62" s="667"/>
      <c r="AL62" s="659"/>
      <c r="AM62" s="667"/>
      <c r="AN62" s="659"/>
      <c r="AO62" s="93"/>
      <c r="AP62" s="75"/>
    </row>
    <row r="63" spans="1:42" ht="137.9" customHeight="1" thickBot="1" x14ac:dyDescent="0.4">
      <c r="A63" s="612"/>
      <c r="B63" s="612"/>
      <c r="C63" s="726"/>
      <c r="D63" s="697"/>
      <c r="E63" s="682"/>
      <c r="F63" s="682"/>
      <c r="G63" s="682"/>
      <c r="H63" s="682"/>
      <c r="I63" s="729"/>
      <c r="J63" s="631"/>
      <c r="K63" s="557"/>
      <c r="L63" s="557"/>
      <c r="M63" s="557"/>
      <c r="N63" s="635"/>
      <c r="O63" s="619"/>
      <c r="P63" s="616"/>
      <c r="Q63" s="614"/>
      <c r="R63" s="132" t="s">
        <v>99</v>
      </c>
      <c r="S63" s="716"/>
      <c r="T63" s="133">
        <v>0</v>
      </c>
      <c r="U63" s="134">
        <v>0</v>
      </c>
      <c r="V63" s="135">
        <v>1</v>
      </c>
      <c r="W63" s="600"/>
      <c r="X63" s="622"/>
      <c r="Y63" s="627"/>
      <c r="Z63" s="608"/>
      <c r="AA63" s="709"/>
      <c r="AB63" s="630"/>
      <c r="AC63" s="600"/>
      <c r="AD63" s="622"/>
      <c r="AE63" s="630"/>
      <c r="AF63" s="703"/>
      <c r="AG63" s="612"/>
      <c r="AH63" s="646"/>
      <c r="AI63" s="667"/>
      <c r="AJ63" s="659"/>
      <c r="AK63" s="667"/>
      <c r="AL63" s="659"/>
      <c r="AM63" s="667"/>
      <c r="AN63" s="659"/>
      <c r="AO63" s="75"/>
      <c r="AP63" s="75"/>
    </row>
    <row r="64" spans="1:42" ht="73.5" customHeight="1" x14ac:dyDescent="0.35">
      <c r="A64" s="612"/>
      <c r="B64" s="612"/>
      <c r="C64" s="647"/>
      <c r="D64" s="712">
        <v>13</v>
      </c>
      <c r="E64" s="681" t="s">
        <v>688</v>
      </c>
      <c r="F64" s="681" t="s">
        <v>728</v>
      </c>
      <c r="G64" s="681" t="s">
        <v>86</v>
      </c>
      <c r="H64" s="681" t="s">
        <v>87</v>
      </c>
      <c r="I64" s="713" t="s">
        <v>940</v>
      </c>
      <c r="J64" s="638" t="s">
        <v>89</v>
      </c>
      <c r="K64" s="638" t="s">
        <v>518</v>
      </c>
      <c r="L64" s="638" t="s">
        <v>519</v>
      </c>
      <c r="M64" s="241" t="s">
        <v>520</v>
      </c>
      <c r="N64" s="638" t="s">
        <v>467</v>
      </c>
      <c r="O64" s="636" t="s">
        <v>156</v>
      </c>
      <c r="P64" s="615">
        <v>45292</v>
      </c>
      <c r="Q64" s="613">
        <v>45641</v>
      </c>
      <c r="R64" s="120" t="s">
        <v>94</v>
      </c>
      <c r="S64" s="639">
        <f>1/7</f>
        <v>0.14285714285714285</v>
      </c>
      <c r="T64" s="136">
        <v>0.33</v>
      </c>
      <c r="U64" s="189">
        <v>0.33</v>
      </c>
      <c r="V64" s="197">
        <v>0.27</v>
      </c>
      <c r="W64" s="604">
        <f>($S$64*T65)+($S$66*T67)+($S$68*T69)+($S$70*T71)+($S$72*T73)+($S$74*T75)+($S$76*T77)</f>
        <v>4.7142857142857139E-2</v>
      </c>
      <c r="X64" s="620">
        <f>($S$64*$T64)+($S$66*$T66)+($S$68*$T68)+($S$70*$T70)+($S$72*$T72)+($S$74*$T74)+($S$76*$T76)</f>
        <v>4.7142857142857139E-2</v>
      </c>
      <c r="Y64" s="708" t="s">
        <v>521</v>
      </c>
      <c r="Z64" s="609">
        <f>($S$64*U65)+($S$66*U67)+($S$68*U69)+($S$70*U71)+($S$72*U73)+($S$74*U75)+($S$76*U77)</f>
        <v>0.40428571428571425</v>
      </c>
      <c r="AA64" s="601">
        <f>($S$64*U64)+($S$66*U66)+($S$68*U68)+($S$70*U70)+($S$72*U72)+($S$74*U74)+($S$76*U76)</f>
        <v>0.40428571428571425</v>
      </c>
      <c r="AB64" s="708" t="s">
        <v>522</v>
      </c>
      <c r="AC64" s="609">
        <f>($S$64*V65)+($S$66*V67)+($S$68*V69)+($S$70*V71)+($S$72*V73)+($S$74*V75)+($S$76*V77)</f>
        <v>0.5485714285714286</v>
      </c>
      <c r="AD64" s="601">
        <f>($S$64*V64)+($S$66*V66)+($S$68*V68)+($S$70*V70)+($S$72*V72)+($S$74*V74)+($S$76*V76)</f>
        <v>0.53857142857142859</v>
      </c>
      <c r="AE64" s="708" t="s">
        <v>523</v>
      </c>
      <c r="AF64" s="701">
        <v>0.3</v>
      </c>
      <c r="AG64" s="612"/>
      <c r="AH64" s="612"/>
      <c r="AI64" s="666">
        <f>+W64</f>
        <v>4.7142857142857139E-2</v>
      </c>
      <c r="AJ64" s="710">
        <f>+X64</f>
        <v>4.7142857142857139E-2</v>
      </c>
      <c r="AK64" s="666">
        <f>+Z64</f>
        <v>0.40428571428571425</v>
      </c>
      <c r="AL64" s="710">
        <f>+AA64</f>
        <v>0.40428571428571425</v>
      </c>
      <c r="AM64" s="666">
        <f>+AC64</f>
        <v>0.5485714285714286</v>
      </c>
      <c r="AN64" s="710">
        <f>+AD64</f>
        <v>0.53857142857142859</v>
      </c>
      <c r="AO64" s="75"/>
      <c r="AP64" s="75"/>
    </row>
    <row r="65" spans="1:42" ht="73.5" customHeight="1" x14ac:dyDescent="0.35">
      <c r="A65" s="612"/>
      <c r="B65" s="612"/>
      <c r="C65" s="648"/>
      <c r="D65" s="699"/>
      <c r="E65" s="682"/>
      <c r="F65" s="682"/>
      <c r="G65" s="682"/>
      <c r="H65" s="682"/>
      <c r="I65" s="714"/>
      <c r="J65" s="637"/>
      <c r="K65" s="637"/>
      <c r="L65" s="637"/>
      <c r="M65" s="242" t="s">
        <v>524</v>
      </c>
      <c r="N65" s="637"/>
      <c r="O65" s="618"/>
      <c r="P65" s="616"/>
      <c r="Q65" s="614"/>
      <c r="R65" s="124" t="s">
        <v>99</v>
      </c>
      <c r="S65" s="628"/>
      <c r="T65" s="125">
        <v>0.33</v>
      </c>
      <c r="U65" s="107">
        <v>0.33</v>
      </c>
      <c r="V65" s="108">
        <v>0.34</v>
      </c>
      <c r="W65" s="605"/>
      <c r="X65" s="621"/>
      <c r="Y65" s="626"/>
      <c r="Z65" s="599"/>
      <c r="AA65" s="621"/>
      <c r="AB65" s="626"/>
      <c r="AC65" s="599"/>
      <c r="AD65" s="621"/>
      <c r="AE65" s="626"/>
      <c r="AF65" s="702"/>
      <c r="AG65" s="612"/>
      <c r="AH65" s="612"/>
      <c r="AI65" s="707"/>
      <c r="AJ65" s="711"/>
      <c r="AK65" s="707"/>
      <c r="AL65" s="711"/>
      <c r="AM65" s="707"/>
      <c r="AN65" s="711"/>
      <c r="AO65" s="75"/>
      <c r="AP65" s="75"/>
    </row>
    <row r="66" spans="1:42" ht="73.5" customHeight="1" x14ac:dyDescent="0.35">
      <c r="A66" s="612"/>
      <c r="B66" s="612"/>
      <c r="C66" s="648"/>
      <c r="D66" s="699">
        <v>14</v>
      </c>
      <c r="E66" s="681" t="s">
        <v>688</v>
      </c>
      <c r="F66" s="681" t="s">
        <v>728</v>
      </c>
      <c r="G66" s="681" t="s">
        <v>86</v>
      </c>
      <c r="H66" s="681" t="s">
        <v>87</v>
      </c>
      <c r="I66" s="714"/>
      <c r="J66" s="637" t="s">
        <v>89</v>
      </c>
      <c r="K66" s="637" t="s">
        <v>518</v>
      </c>
      <c r="L66" s="637" t="s">
        <v>525</v>
      </c>
      <c r="M66" s="242" t="s">
        <v>526</v>
      </c>
      <c r="N66" s="637" t="s">
        <v>467</v>
      </c>
      <c r="O66" s="618" t="s">
        <v>156</v>
      </c>
      <c r="P66" s="615">
        <v>45292</v>
      </c>
      <c r="Q66" s="613">
        <v>45641</v>
      </c>
      <c r="R66" s="137" t="s">
        <v>94</v>
      </c>
      <c r="S66" s="628">
        <f>1/7</f>
        <v>0.14285714285714285</v>
      </c>
      <c r="T66" s="138">
        <v>0</v>
      </c>
      <c r="U66" s="180">
        <v>0.5</v>
      </c>
      <c r="V66" s="180">
        <v>0.5</v>
      </c>
      <c r="W66" s="605"/>
      <c r="X66" s="621"/>
      <c r="Y66" s="626" t="s">
        <v>527</v>
      </c>
      <c r="Z66" s="599"/>
      <c r="AA66" s="621"/>
      <c r="AB66" s="626" t="s">
        <v>528</v>
      </c>
      <c r="AC66" s="599"/>
      <c r="AD66" s="621"/>
      <c r="AE66" s="626" t="s">
        <v>529</v>
      </c>
      <c r="AF66" s="702"/>
      <c r="AG66" s="612"/>
      <c r="AH66" s="612"/>
      <c r="AI66" s="707"/>
      <c r="AJ66" s="711"/>
      <c r="AK66" s="707"/>
      <c r="AL66" s="711"/>
      <c r="AM66" s="707"/>
      <c r="AN66" s="711"/>
      <c r="AO66" s="75"/>
      <c r="AP66" s="75"/>
    </row>
    <row r="67" spans="1:42" ht="73.5" customHeight="1" x14ac:dyDescent="0.35">
      <c r="A67" s="612"/>
      <c r="B67" s="612"/>
      <c r="C67" s="648"/>
      <c r="D67" s="699"/>
      <c r="E67" s="682"/>
      <c r="F67" s="682"/>
      <c r="G67" s="682"/>
      <c r="H67" s="682"/>
      <c r="I67" s="714"/>
      <c r="J67" s="637"/>
      <c r="K67" s="637"/>
      <c r="L67" s="637"/>
      <c r="M67" s="242" t="s">
        <v>530</v>
      </c>
      <c r="N67" s="637"/>
      <c r="O67" s="618"/>
      <c r="P67" s="616"/>
      <c r="Q67" s="614"/>
      <c r="R67" s="139" t="s">
        <v>99</v>
      </c>
      <c r="S67" s="628"/>
      <c r="T67" s="125">
        <v>0</v>
      </c>
      <c r="U67" s="107">
        <v>0.5</v>
      </c>
      <c r="V67" s="108">
        <v>0.5</v>
      </c>
      <c r="W67" s="605"/>
      <c r="X67" s="621"/>
      <c r="Y67" s="626"/>
      <c r="Z67" s="599"/>
      <c r="AA67" s="621"/>
      <c r="AB67" s="626"/>
      <c r="AC67" s="599"/>
      <c r="AD67" s="621"/>
      <c r="AE67" s="626"/>
      <c r="AF67" s="702"/>
      <c r="AG67" s="612"/>
      <c r="AH67" s="612"/>
      <c r="AI67" s="707"/>
      <c r="AJ67" s="711"/>
      <c r="AK67" s="707"/>
      <c r="AL67" s="711"/>
      <c r="AM67" s="707"/>
      <c r="AN67" s="711"/>
      <c r="AO67" s="75"/>
      <c r="AP67" s="75"/>
    </row>
    <row r="68" spans="1:42" ht="73.5" customHeight="1" x14ac:dyDescent="0.35">
      <c r="A68" s="612"/>
      <c r="B68" s="612"/>
      <c r="C68" s="648"/>
      <c r="D68" s="699">
        <v>15</v>
      </c>
      <c r="E68" s="681" t="s">
        <v>688</v>
      </c>
      <c r="F68" s="681" t="s">
        <v>728</v>
      </c>
      <c r="G68" s="681" t="s">
        <v>86</v>
      </c>
      <c r="H68" s="681" t="s">
        <v>87</v>
      </c>
      <c r="I68" s="714"/>
      <c r="J68" s="637" t="s">
        <v>89</v>
      </c>
      <c r="K68" s="637" t="s">
        <v>518</v>
      </c>
      <c r="L68" s="631" t="s">
        <v>531</v>
      </c>
      <c r="M68" s="242" t="s">
        <v>532</v>
      </c>
      <c r="N68" s="637" t="s">
        <v>467</v>
      </c>
      <c r="O68" s="618" t="s">
        <v>156</v>
      </c>
      <c r="P68" s="615">
        <v>45292</v>
      </c>
      <c r="Q68" s="613">
        <v>45641</v>
      </c>
      <c r="R68" s="116" t="s">
        <v>94</v>
      </c>
      <c r="S68" s="628">
        <f>1/7</f>
        <v>0.14285714285714285</v>
      </c>
      <c r="T68" s="138">
        <v>0</v>
      </c>
      <c r="U68" s="191">
        <v>0.5</v>
      </c>
      <c r="V68" s="196">
        <v>0.5</v>
      </c>
      <c r="W68" s="605"/>
      <c r="X68" s="621"/>
      <c r="Y68" s="626" t="s">
        <v>533</v>
      </c>
      <c r="Z68" s="599"/>
      <c r="AA68" s="621"/>
      <c r="AB68" s="705" t="s">
        <v>534</v>
      </c>
      <c r="AC68" s="599"/>
      <c r="AD68" s="621"/>
      <c r="AE68" s="673" t="s">
        <v>535</v>
      </c>
      <c r="AF68" s="702"/>
      <c r="AG68" s="612"/>
      <c r="AH68" s="612"/>
      <c r="AI68" s="707"/>
      <c r="AJ68" s="711"/>
      <c r="AK68" s="707"/>
      <c r="AL68" s="711"/>
      <c r="AM68" s="707"/>
      <c r="AN68" s="711"/>
      <c r="AO68" s="75"/>
      <c r="AP68" s="75"/>
    </row>
    <row r="69" spans="1:42" ht="73.5" customHeight="1" x14ac:dyDescent="0.35">
      <c r="A69" s="612"/>
      <c r="B69" s="612"/>
      <c r="C69" s="648"/>
      <c r="D69" s="699"/>
      <c r="E69" s="682"/>
      <c r="F69" s="682"/>
      <c r="G69" s="682"/>
      <c r="H69" s="682"/>
      <c r="I69" s="714"/>
      <c r="J69" s="637"/>
      <c r="K69" s="637"/>
      <c r="L69" s="631"/>
      <c r="M69" s="239" t="s">
        <v>536</v>
      </c>
      <c r="N69" s="637"/>
      <c r="O69" s="618"/>
      <c r="P69" s="616"/>
      <c r="Q69" s="614"/>
      <c r="R69" s="124" t="s">
        <v>99</v>
      </c>
      <c r="S69" s="628"/>
      <c r="T69" s="125">
        <v>0</v>
      </c>
      <c r="U69" s="107">
        <v>0.5</v>
      </c>
      <c r="V69" s="108">
        <v>0.5</v>
      </c>
      <c r="W69" s="605"/>
      <c r="X69" s="621"/>
      <c r="Y69" s="626"/>
      <c r="Z69" s="599"/>
      <c r="AA69" s="621"/>
      <c r="AB69" s="705"/>
      <c r="AC69" s="599"/>
      <c r="AD69" s="621"/>
      <c r="AE69" s="673"/>
      <c r="AF69" s="702"/>
      <c r="AG69" s="612"/>
      <c r="AH69" s="612"/>
      <c r="AI69" s="707"/>
      <c r="AJ69" s="711"/>
      <c r="AK69" s="707"/>
      <c r="AL69" s="711"/>
      <c r="AM69" s="707"/>
      <c r="AN69" s="711"/>
      <c r="AO69" s="75"/>
      <c r="AP69" s="75"/>
    </row>
    <row r="70" spans="1:42" ht="71.650000000000006" customHeight="1" x14ac:dyDescent="0.35">
      <c r="A70" s="612"/>
      <c r="B70" s="612"/>
      <c r="C70" s="648"/>
      <c r="D70" s="699">
        <v>16</v>
      </c>
      <c r="E70" s="681" t="s">
        <v>688</v>
      </c>
      <c r="F70" s="681" t="s">
        <v>728</v>
      </c>
      <c r="G70" s="681" t="s">
        <v>86</v>
      </c>
      <c r="H70" s="681" t="s">
        <v>87</v>
      </c>
      <c r="I70" s="714"/>
      <c r="J70" s="637" t="s">
        <v>89</v>
      </c>
      <c r="K70" s="637" t="s">
        <v>518</v>
      </c>
      <c r="L70" s="631" t="s">
        <v>537</v>
      </c>
      <c r="M70" s="242" t="s">
        <v>538</v>
      </c>
      <c r="N70" s="637" t="s">
        <v>467</v>
      </c>
      <c r="O70" s="618" t="s">
        <v>156</v>
      </c>
      <c r="P70" s="615">
        <v>45292</v>
      </c>
      <c r="Q70" s="613">
        <v>45641</v>
      </c>
      <c r="R70" s="116" t="s">
        <v>94</v>
      </c>
      <c r="S70" s="628">
        <f>1/7</f>
        <v>0.14285714285714285</v>
      </c>
      <c r="T70" s="138">
        <v>0</v>
      </c>
      <c r="U70" s="192">
        <v>0.5</v>
      </c>
      <c r="V70" s="208">
        <v>0.5</v>
      </c>
      <c r="W70" s="605"/>
      <c r="X70" s="621"/>
      <c r="Y70" s="704" t="s">
        <v>133</v>
      </c>
      <c r="Z70" s="599"/>
      <c r="AA70" s="621"/>
      <c r="AB70" s="705" t="s">
        <v>539</v>
      </c>
      <c r="AC70" s="599"/>
      <c r="AD70" s="621"/>
      <c r="AE70" s="673" t="s">
        <v>540</v>
      </c>
      <c r="AF70" s="702"/>
      <c r="AG70" s="612"/>
      <c r="AH70" s="612"/>
      <c r="AI70" s="707"/>
      <c r="AJ70" s="711"/>
      <c r="AK70" s="707"/>
      <c r="AL70" s="711"/>
      <c r="AM70" s="707"/>
      <c r="AN70" s="711"/>
      <c r="AO70" s="75"/>
      <c r="AP70" s="75"/>
    </row>
    <row r="71" spans="1:42" ht="83.65" customHeight="1" x14ac:dyDescent="0.35">
      <c r="A71" s="612"/>
      <c r="B71" s="612"/>
      <c r="C71" s="648"/>
      <c r="D71" s="699"/>
      <c r="E71" s="682"/>
      <c r="F71" s="682"/>
      <c r="G71" s="682"/>
      <c r="H71" s="682"/>
      <c r="I71" s="714"/>
      <c r="J71" s="637"/>
      <c r="K71" s="637"/>
      <c r="L71" s="631"/>
      <c r="M71" s="239" t="s">
        <v>541</v>
      </c>
      <c r="N71" s="637"/>
      <c r="O71" s="618"/>
      <c r="P71" s="616"/>
      <c r="Q71" s="614"/>
      <c r="R71" s="124" t="s">
        <v>99</v>
      </c>
      <c r="S71" s="628"/>
      <c r="T71" s="125">
        <v>0</v>
      </c>
      <c r="U71" s="107">
        <v>0.5</v>
      </c>
      <c r="V71" s="108">
        <v>0.5</v>
      </c>
      <c r="W71" s="605"/>
      <c r="X71" s="621"/>
      <c r="Y71" s="704"/>
      <c r="Z71" s="599"/>
      <c r="AA71" s="621"/>
      <c r="AB71" s="705"/>
      <c r="AC71" s="599"/>
      <c r="AD71" s="621"/>
      <c r="AE71" s="673"/>
      <c r="AF71" s="702"/>
      <c r="AG71" s="612"/>
      <c r="AH71" s="612"/>
      <c r="AI71" s="707"/>
      <c r="AJ71" s="711"/>
      <c r="AK71" s="707"/>
      <c r="AL71" s="711"/>
      <c r="AM71" s="707"/>
      <c r="AN71" s="711"/>
      <c r="AO71" s="75"/>
      <c r="AP71" s="75"/>
    </row>
    <row r="72" spans="1:42" ht="73.5" customHeight="1" x14ac:dyDescent="0.35">
      <c r="A72" s="612"/>
      <c r="B72" s="612"/>
      <c r="C72" s="648"/>
      <c r="D72" s="699">
        <v>17</v>
      </c>
      <c r="E72" s="681" t="s">
        <v>688</v>
      </c>
      <c r="F72" s="681" t="s">
        <v>728</v>
      </c>
      <c r="G72" s="681" t="s">
        <v>86</v>
      </c>
      <c r="H72" s="681" t="s">
        <v>87</v>
      </c>
      <c r="I72" s="714"/>
      <c r="J72" s="637" t="s">
        <v>89</v>
      </c>
      <c r="K72" s="637" t="s">
        <v>518</v>
      </c>
      <c r="L72" s="631" t="s">
        <v>542</v>
      </c>
      <c r="M72" s="242" t="s">
        <v>543</v>
      </c>
      <c r="N72" s="637" t="s">
        <v>467</v>
      </c>
      <c r="O72" s="618" t="s">
        <v>156</v>
      </c>
      <c r="P72" s="615">
        <v>45292</v>
      </c>
      <c r="Q72" s="613">
        <v>45641</v>
      </c>
      <c r="R72" s="116" t="s">
        <v>94</v>
      </c>
      <c r="S72" s="628">
        <f>1/7</f>
        <v>0.14285714285714285</v>
      </c>
      <c r="T72" s="138"/>
      <c r="U72" s="190">
        <v>0.5</v>
      </c>
      <c r="V72" s="196">
        <v>0.5</v>
      </c>
      <c r="W72" s="605"/>
      <c r="X72" s="621"/>
      <c r="Y72" s="644" t="s">
        <v>544</v>
      </c>
      <c r="Z72" s="599"/>
      <c r="AA72" s="621"/>
      <c r="AB72" s="644" t="s">
        <v>545</v>
      </c>
      <c r="AC72" s="599"/>
      <c r="AD72" s="621"/>
      <c r="AE72" s="644" t="s">
        <v>546</v>
      </c>
      <c r="AF72" s="702"/>
      <c r="AG72" s="612"/>
      <c r="AH72" s="612"/>
      <c r="AI72" s="707"/>
      <c r="AJ72" s="711"/>
      <c r="AK72" s="707"/>
      <c r="AL72" s="711"/>
      <c r="AM72" s="707"/>
      <c r="AN72" s="711"/>
      <c r="AO72" s="75"/>
      <c r="AP72" s="75"/>
    </row>
    <row r="73" spans="1:42" ht="73.5" customHeight="1" x14ac:dyDescent="0.35">
      <c r="A73" s="612"/>
      <c r="B73" s="612"/>
      <c r="C73" s="648"/>
      <c r="D73" s="699"/>
      <c r="E73" s="682"/>
      <c r="F73" s="682"/>
      <c r="G73" s="682"/>
      <c r="H73" s="682"/>
      <c r="I73" s="714"/>
      <c r="J73" s="637"/>
      <c r="K73" s="637"/>
      <c r="L73" s="631"/>
      <c r="M73" s="242" t="s">
        <v>547</v>
      </c>
      <c r="N73" s="637"/>
      <c r="O73" s="618"/>
      <c r="P73" s="616"/>
      <c r="Q73" s="614"/>
      <c r="R73" s="124" t="s">
        <v>99</v>
      </c>
      <c r="S73" s="628"/>
      <c r="T73" s="125">
        <v>0</v>
      </c>
      <c r="U73" s="107">
        <v>0.5</v>
      </c>
      <c r="V73" s="108">
        <v>0.5</v>
      </c>
      <c r="W73" s="605"/>
      <c r="X73" s="621"/>
      <c r="Y73" s="644"/>
      <c r="Z73" s="599"/>
      <c r="AA73" s="621"/>
      <c r="AB73" s="644"/>
      <c r="AC73" s="599"/>
      <c r="AD73" s="621"/>
      <c r="AE73" s="644"/>
      <c r="AF73" s="702"/>
      <c r="AG73" s="612"/>
      <c r="AH73" s="612"/>
      <c r="AI73" s="707"/>
      <c r="AJ73" s="711"/>
      <c r="AK73" s="707"/>
      <c r="AL73" s="711"/>
      <c r="AM73" s="707"/>
      <c r="AN73" s="711"/>
      <c r="AO73" s="75"/>
      <c r="AP73" s="75"/>
    </row>
    <row r="74" spans="1:42" ht="73.5" customHeight="1" x14ac:dyDescent="0.35">
      <c r="A74" s="612"/>
      <c r="B74" s="612"/>
      <c r="C74" s="648"/>
      <c r="D74" s="699">
        <v>18</v>
      </c>
      <c r="E74" s="681" t="s">
        <v>688</v>
      </c>
      <c r="F74" s="681" t="s">
        <v>728</v>
      </c>
      <c r="G74" s="681" t="s">
        <v>86</v>
      </c>
      <c r="H74" s="681" t="s">
        <v>87</v>
      </c>
      <c r="I74" s="714"/>
      <c r="J74" s="637" t="s">
        <v>89</v>
      </c>
      <c r="K74" s="637" t="s">
        <v>518</v>
      </c>
      <c r="L74" s="631" t="s">
        <v>548</v>
      </c>
      <c r="M74" s="242" t="s">
        <v>549</v>
      </c>
      <c r="N74" s="637" t="s">
        <v>467</v>
      </c>
      <c r="O74" s="618" t="s">
        <v>156</v>
      </c>
      <c r="P74" s="615">
        <v>45292</v>
      </c>
      <c r="Q74" s="613">
        <v>45641</v>
      </c>
      <c r="R74" s="116" t="s">
        <v>94</v>
      </c>
      <c r="S74" s="628">
        <f>1/7</f>
        <v>0.14285714285714285</v>
      </c>
      <c r="T74" s="126">
        <v>0</v>
      </c>
      <c r="U74" s="180">
        <v>0</v>
      </c>
      <c r="V74" s="196">
        <v>1</v>
      </c>
      <c r="W74" s="605"/>
      <c r="X74" s="621"/>
      <c r="Y74" s="644" t="s">
        <v>544</v>
      </c>
      <c r="Z74" s="599"/>
      <c r="AA74" s="621"/>
      <c r="AB74" s="706" t="s">
        <v>550</v>
      </c>
      <c r="AC74" s="599"/>
      <c r="AD74" s="621"/>
      <c r="AE74" s="644" t="s">
        <v>551</v>
      </c>
      <c r="AF74" s="702"/>
      <c r="AG74" s="612"/>
      <c r="AH74" s="612"/>
      <c r="AI74" s="707"/>
      <c r="AJ74" s="711"/>
      <c r="AK74" s="707"/>
      <c r="AL74" s="711"/>
      <c r="AM74" s="707"/>
      <c r="AN74" s="711"/>
      <c r="AO74" s="75"/>
      <c r="AP74" s="75"/>
    </row>
    <row r="75" spans="1:42" ht="73.5" customHeight="1" x14ac:dyDescent="0.35">
      <c r="A75" s="612"/>
      <c r="B75" s="612"/>
      <c r="C75" s="648"/>
      <c r="D75" s="699"/>
      <c r="E75" s="682"/>
      <c r="F75" s="682"/>
      <c r="G75" s="682"/>
      <c r="H75" s="682"/>
      <c r="I75" s="714"/>
      <c r="J75" s="637"/>
      <c r="K75" s="637"/>
      <c r="L75" s="631"/>
      <c r="M75" s="242" t="s">
        <v>552</v>
      </c>
      <c r="N75" s="637"/>
      <c r="O75" s="618"/>
      <c r="P75" s="616"/>
      <c r="Q75" s="614"/>
      <c r="R75" s="124" t="s">
        <v>99</v>
      </c>
      <c r="S75" s="628"/>
      <c r="T75" s="128"/>
      <c r="U75" s="107"/>
      <c r="V75" s="108">
        <v>1</v>
      </c>
      <c r="W75" s="605"/>
      <c r="X75" s="621"/>
      <c r="Y75" s="644"/>
      <c r="Z75" s="599"/>
      <c r="AA75" s="621"/>
      <c r="AB75" s="706"/>
      <c r="AC75" s="599"/>
      <c r="AD75" s="621"/>
      <c r="AE75" s="644"/>
      <c r="AF75" s="702"/>
      <c r="AG75" s="612"/>
      <c r="AH75" s="612"/>
      <c r="AI75" s="707"/>
      <c r="AJ75" s="711"/>
      <c r="AK75" s="707"/>
      <c r="AL75" s="711"/>
      <c r="AM75" s="707"/>
      <c r="AN75" s="711"/>
      <c r="AO75" s="75"/>
      <c r="AP75" s="75"/>
    </row>
    <row r="76" spans="1:42" ht="73.5" customHeight="1" x14ac:dyDescent="0.35">
      <c r="A76" s="612"/>
      <c r="B76" s="612"/>
      <c r="C76" s="648"/>
      <c r="D76" s="699">
        <v>19</v>
      </c>
      <c r="E76" s="681" t="s">
        <v>688</v>
      </c>
      <c r="F76" s="681" t="s">
        <v>728</v>
      </c>
      <c r="G76" s="681" t="s">
        <v>86</v>
      </c>
      <c r="H76" s="681" t="s">
        <v>87</v>
      </c>
      <c r="I76" s="714"/>
      <c r="J76" s="631" t="s">
        <v>40</v>
      </c>
      <c r="K76" s="631" t="s">
        <v>518</v>
      </c>
      <c r="L76" s="631" t="s">
        <v>553</v>
      </c>
      <c r="M76" s="240" t="s">
        <v>554</v>
      </c>
      <c r="N76" s="618" t="s">
        <v>467</v>
      </c>
      <c r="O76" s="618" t="s">
        <v>156</v>
      </c>
      <c r="P76" s="615">
        <v>45292</v>
      </c>
      <c r="Q76" s="613">
        <v>45641</v>
      </c>
      <c r="R76" s="116" t="s">
        <v>94</v>
      </c>
      <c r="S76" s="628">
        <f>1/7</f>
        <v>0.14285714285714285</v>
      </c>
      <c r="T76" s="126">
        <v>0</v>
      </c>
      <c r="U76" s="180">
        <v>0.5</v>
      </c>
      <c r="V76" s="196">
        <v>0.5</v>
      </c>
      <c r="W76" s="605"/>
      <c r="X76" s="621"/>
      <c r="Y76" s="626" t="s">
        <v>555</v>
      </c>
      <c r="Z76" s="599"/>
      <c r="AA76" s="621"/>
      <c r="AB76" s="624" t="s">
        <v>556</v>
      </c>
      <c r="AC76" s="599"/>
      <c r="AD76" s="621"/>
      <c r="AE76" s="624" t="s">
        <v>557</v>
      </c>
      <c r="AF76" s="702"/>
      <c r="AG76" s="612"/>
      <c r="AH76" s="612"/>
      <c r="AI76" s="707"/>
      <c r="AJ76" s="711"/>
      <c r="AK76" s="707"/>
      <c r="AL76" s="711"/>
      <c r="AM76" s="707"/>
      <c r="AN76" s="711"/>
      <c r="AO76" s="75"/>
      <c r="AP76" s="75"/>
    </row>
    <row r="77" spans="1:42" ht="100.5" customHeight="1" thickBot="1" x14ac:dyDescent="0.4">
      <c r="A77" s="612"/>
      <c r="B77" s="612"/>
      <c r="C77" s="649"/>
      <c r="D77" s="700"/>
      <c r="E77" s="682"/>
      <c r="F77" s="682"/>
      <c r="G77" s="682"/>
      <c r="H77" s="682"/>
      <c r="I77" s="715"/>
      <c r="J77" s="557"/>
      <c r="K77" s="557"/>
      <c r="L77" s="557"/>
      <c r="M77" s="235" t="s">
        <v>558</v>
      </c>
      <c r="N77" s="619"/>
      <c r="O77" s="619"/>
      <c r="P77" s="616"/>
      <c r="Q77" s="614"/>
      <c r="R77" s="132" t="s">
        <v>99</v>
      </c>
      <c r="S77" s="629"/>
      <c r="T77" s="140">
        <v>0</v>
      </c>
      <c r="U77" s="141">
        <v>0.5</v>
      </c>
      <c r="V77" s="135">
        <v>0.5</v>
      </c>
      <c r="W77" s="598"/>
      <c r="X77" s="622"/>
      <c r="Y77" s="627"/>
      <c r="Z77" s="608"/>
      <c r="AA77" s="709"/>
      <c r="AB77" s="625"/>
      <c r="AC77" s="600"/>
      <c r="AD77" s="622"/>
      <c r="AE77" s="625"/>
      <c r="AF77" s="703"/>
      <c r="AG77" s="612"/>
      <c r="AH77" s="612"/>
      <c r="AI77" s="707"/>
      <c r="AJ77" s="711"/>
      <c r="AK77" s="707"/>
      <c r="AL77" s="711"/>
      <c r="AM77" s="707"/>
      <c r="AN77" s="711"/>
      <c r="AO77" s="75"/>
      <c r="AP77" s="75"/>
    </row>
    <row r="78" spans="1:42" ht="73.5" customHeight="1" x14ac:dyDescent="0.35">
      <c r="A78" s="612"/>
      <c r="B78" s="612"/>
      <c r="C78" s="647"/>
      <c r="D78" s="650">
        <v>20</v>
      </c>
      <c r="E78" s="681" t="s">
        <v>688</v>
      </c>
      <c r="F78" s="681" t="s">
        <v>728</v>
      </c>
      <c r="G78" s="681" t="s">
        <v>711</v>
      </c>
      <c r="H78" s="681" t="s">
        <v>738</v>
      </c>
      <c r="I78" s="691" t="s">
        <v>941</v>
      </c>
      <c r="J78" s="655" t="s">
        <v>40</v>
      </c>
      <c r="K78" s="655" t="s">
        <v>559</v>
      </c>
      <c r="L78" s="655" t="s">
        <v>560</v>
      </c>
      <c r="M78" s="241" t="s">
        <v>561</v>
      </c>
      <c r="N78" s="636" t="s">
        <v>562</v>
      </c>
      <c r="O78" s="636" t="s">
        <v>156</v>
      </c>
      <c r="P78" s="615">
        <v>45292</v>
      </c>
      <c r="Q78" s="613">
        <v>45641</v>
      </c>
      <c r="R78" s="142" t="s">
        <v>94</v>
      </c>
      <c r="S78" s="639">
        <f>1/3</f>
        <v>0.33333333333333331</v>
      </c>
      <c r="T78" s="136">
        <v>0</v>
      </c>
      <c r="U78" s="179">
        <v>0.5</v>
      </c>
      <c r="V78" s="197">
        <v>0.5</v>
      </c>
      <c r="W78" s="598">
        <f>($S$78*T79)+($S$80*T81)+($S$82*T83)</f>
        <v>0</v>
      </c>
      <c r="X78" s="620">
        <f>($S$78*$T78)+($S$80*$T80)+($S$82*$T82)</f>
        <v>0</v>
      </c>
      <c r="Y78" s="695" t="s">
        <v>563</v>
      </c>
      <c r="Z78" s="609">
        <f>($S$78*U79)+($S$80*U81)+($S$82*U83)</f>
        <v>0.5</v>
      </c>
      <c r="AA78" s="601">
        <f>($S$78*U78)+($S$80*U80)+($S$82*U82)</f>
        <v>0.5</v>
      </c>
      <c r="AB78" s="694" t="s">
        <v>564</v>
      </c>
      <c r="AC78" s="609">
        <f>($S$78*V79)+($S$80*V81)+($S$82*V83)</f>
        <v>0.5</v>
      </c>
      <c r="AD78" s="601">
        <v>0.33300000000000002</v>
      </c>
      <c r="AE78" s="694" t="s">
        <v>565</v>
      </c>
      <c r="AF78" s="685">
        <v>0.1</v>
      </c>
      <c r="AG78" s="612"/>
      <c r="AH78" s="612"/>
      <c r="AI78" s="666">
        <f>+W78</f>
        <v>0</v>
      </c>
      <c r="AJ78" s="658">
        <f>+X78</f>
        <v>0</v>
      </c>
      <c r="AK78" s="666">
        <f>+Z78</f>
        <v>0.5</v>
      </c>
      <c r="AL78" s="658">
        <f>+AA78</f>
        <v>0.5</v>
      </c>
      <c r="AM78" s="666">
        <f>+AC78</f>
        <v>0.5</v>
      </c>
      <c r="AN78" s="658">
        <f>+AD78</f>
        <v>0.33300000000000002</v>
      </c>
      <c r="AO78" s="75"/>
      <c r="AP78" s="75"/>
    </row>
    <row r="79" spans="1:42" ht="73.5" customHeight="1" x14ac:dyDescent="0.35">
      <c r="A79" s="612"/>
      <c r="B79" s="612"/>
      <c r="C79" s="648"/>
      <c r="D79" s="651"/>
      <c r="E79" s="682"/>
      <c r="F79" s="682"/>
      <c r="G79" s="682"/>
      <c r="H79" s="682"/>
      <c r="I79" s="692"/>
      <c r="J79" s="631"/>
      <c r="K79" s="631"/>
      <c r="L79" s="631"/>
      <c r="M79" s="242" t="s">
        <v>566</v>
      </c>
      <c r="N79" s="618"/>
      <c r="O79" s="618"/>
      <c r="P79" s="616"/>
      <c r="Q79" s="614"/>
      <c r="R79" s="139" t="s">
        <v>99</v>
      </c>
      <c r="S79" s="628"/>
      <c r="T79" s="143">
        <v>0</v>
      </c>
      <c r="U79" s="144">
        <v>0.5</v>
      </c>
      <c r="V79" s="145">
        <v>0.5</v>
      </c>
      <c r="W79" s="606"/>
      <c r="X79" s="602"/>
      <c r="Y79" s="640"/>
      <c r="Z79" s="606"/>
      <c r="AA79" s="602"/>
      <c r="AB79" s="623"/>
      <c r="AC79" s="606"/>
      <c r="AD79" s="602"/>
      <c r="AE79" s="623"/>
      <c r="AF79" s="686"/>
      <c r="AG79" s="612"/>
      <c r="AH79" s="612"/>
      <c r="AI79" s="667"/>
      <c r="AJ79" s="659"/>
      <c r="AK79" s="667"/>
      <c r="AL79" s="659"/>
      <c r="AM79" s="667"/>
      <c r="AN79" s="659"/>
      <c r="AO79" s="75"/>
      <c r="AP79" s="75"/>
    </row>
    <row r="80" spans="1:42" ht="73.5" customHeight="1" x14ac:dyDescent="0.35">
      <c r="A80" s="612"/>
      <c r="B80" s="612"/>
      <c r="C80" s="648"/>
      <c r="D80" s="651">
        <v>21</v>
      </c>
      <c r="E80" s="681" t="s">
        <v>688</v>
      </c>
      <c r="F80" s="681" t="s">
        <v>728</v>
      </c>
      <c r="G80" s="681" t="s">
        <v>711</v>
      </c>
      <c r="H80" s="681" t="s">
        <v>738</v>
      </c>
      <c r="I80" s="692"/>
      <c r="J80" s="631" t="s">
        <v>40</v>
      </c>
      <c r="K80" s="631" t="s">
        <v>559</v>
      </c>
      <c r="L80" s="631" t="s">
        <v>567</v>
      </c>
      <c r="M80" s="242" t="s">
        <v>568</v>
      </c>
      <c r="N80" s="618" t="s">
        <v>562</v>
      </c>
      <c r="O80" s="618" t="s">
        <v>156</v>
      </c>
      <c r="P80" s="615">
        <v>45292</v>
      </c>
      <c r="Q80" s="613">
        <v>45641</v>
      </c>
      <c r="R80" s="116" t="s">
        <v>94</v>
      </c>
      <c r="S80" s="628">
        <f>1/3</f>
        <v>0.33333333333333331</v>
      </c>
      <c r="T80" s="126">
        <v>0</v>
      </c>
      <c r="U80" s="180">
        <v>0.5</v>
      </c>
      <c r="V80" s="196">
        <v>0.5</v>
      </c>
      <c r="W80" s="606"/>
      <c r="X80" s="602"/>
      <c r="Y80" s="640" t="s">
        <v>563</v>
      </c>
      <c r="Z80" s="606"/>
      <c r="AA80" s="602"/>
      <c r="AB80" s="623" t="s">
        <v>569</v>
      </c>
      <c r="AC80" s="606"/>
      <c r="AD80" s="602"/>
      <c r="AE80" s="623" t="s">
        <v>570</v>
      </c>
      <c r="AF80" s="686"/>
      <c r="AG80" s="612"/>
      <c r="AH80" s="612"/>
      <c r="AI80" s="667"/>
      <c r="AJ80" s="659"/>
      <c r="AK80" s="667"/>
      <c r="AL80" s="659"/>
      <c r="AM80" s="667"/>
      <c r="AN80" s="659"/>
      <c r="AO80" s="75"/>
      <c r="AP80" s="75"/>
    </row>
    <row r="81" spans="1:42" ht="73.5" customHeight="1" x14ac:dyDescent="0.35">
      <c r="A81" s="612"/>
      <c r="B81" s="612"/>
      <c r="C81" s="690"/>
      <c r="D81" s="651"/>
      <c r="E81" s="682"/>
      <c r="F81" s="682"/>
      <c r="G81" s="682"/>
      <c r="H81" s="682"/>
      <c r="I81" s="692"/>
      <c r="J81" s="631"/>
      <c r="K81" s="631"/>
      <c r="L81" s="631"/>
      <c r="M81" s="242" t="s">
        <v>566</v>
      </c>
      <c r="N81" s="618"/>
      <c r="O81" s="618"/>
      <c r="P81" s="616"/>
      <c r="Q81" s="614"/>
      <c r="R81" s="124" t="s">
        <v>99</v>
      </c>
      <c r="S81" s="628"/>
      <c r="T81" s="143">
        <v>0</v>
      </c>
      <c r="U81" s="144">
        <v>0.5</v>
      </c>
      <c r="V81" s="145">
        <v>0.5</v>
      </c>
      <c r="W81" s="606"/>
      <c r="X81" s="602"/>
      <c r="Y81" s="640"/>
      <c r="Z81" s="606"/>
      <c r="AA81" s="602"/>
      <c r="AB81" s="623"/>
      <c r="AC81" s="606"/>
      <c r="AD81" s="602"/>
      <c r="AE81" s="623"/>
      <c r="AF81" s="686"/>
      <c r="AG81" s="612"/>
      <c r="AH81" s="612"/>
      <c r="AI81" s="667"/>
      <c r="AJ81" s="659"/>
      <c r="AK81" s="667"/>
      <c r="AL81" s="659"/>
      <c r="AM81" s="667"/>
      <c r="AN81" s="659"/>
      <c r="AO81" s="75"/>
      <c r="AP81" s="75"/>
    </row>
    <row r="82" spans="1:42" ht="103.5" customHeight="1" x14ac:dyDescent="0.35">
      <c r="A82" s="612"/>
      <c r="B82" s="612"/>
      <c r="C82" s="696"/>
      <c r="D82" s="651">
        <v>22</v>
      </c>
      <c r="E82" s="681" t="s">
        <v>688</v>
      </c>
      <c r="F82" s="681" t="s">
        <v>728</v>
      </c>
      <c r="G82" s="681" t="s">
        <v>711</v>
      </c>
      <c r="H82" s="681" t="s">
        <v>738</v>
      </c>
      <c r="I82" s="692"/>
      <c r="J82" s="631" t="s">
        <v>571</v>
      </c>
      <c r="K82" s="631" t="s">
        <v>559</v>
      </c>
      <c r="L82" s="631" t="s">
        <v>572</v>
      </c>
      <c r="M82" s="637" t="s">
        <v>573</v>
      </c>
      <c r="N82" s="618" t="s">
        <v>562</v>
      </c>
      <c r="O82" s="618" t="s">
        <v>156</v>
      </c>
      <c r="P82" s="615">
        <v>45292</v>
      </c>
      <c r="Q82" s="613">
        <v>45641</v>
      </c>
      <c r="R82" s="642" t="s">
        <v>99</v>
      </c>
      <c r="S82" s="628">
        <f>1/3</f>
        <v>0.33333333333333331</v>
      </c>
      <c r="T82" s="126">
        <v>0</v>
      </c>
      <c r="U82" s="191">
        <v>0.5</v>
      </c>
      <c r="V82" s="196">
        <v>0.5</v>
      </c>
      <c r="W82" s="606"/>
      <c r="X82" s="602"/>
      <c r="Y82" s="640" t="s">
        <v>574</v>
      </c>
      <c r="Z82" s="606"/>
      <c r="AA82" s="602"/>
      <c r="AB82" s="640" t="s">
        <v>575</v>
      </c>
      <c r="AC82" s="606"/>
      <c r="AD82" s="602"/>
      <c r="AE82" s="683"/>
      <c r="AF82" s="686"/>
      <c r="AG82" s="612"/>
      <c r="AH82" s="612"/>
      <c r="AI82" s="667"/>
      <c r="AJ82" s="659"/>
      <c r="AK82" s="667"/>
      <c r="AL82" s="659"/>
      <c r="AM82" s="667"/>
      <c r="AN82" s="659"/>
      <c r="AO82" s="612"/>
      <c r="AP82" s="612"/>
    </row>
    <row r="83" spans="1:42" ht="138" customHeight="1" thickBot="1" x14ac:dyDescent="0.4">
      <c r="A83" s="612"/>
      <c r="B83" s="612"/>
      <c r="C83" s="648"/>
      <c r="D83" s="697"/>
      <c r="E83" s="682"/>
      <c r="F83" s="682"/>
      <c r="G83" s="682"/>
      <c r="H83" s="682"/>
      <c r="I83" s="693"/>
      <c r="J83" s="557"/>
      <c r="K83" s="557"/>
      <c r="L83" s="557"/>
      <c r="M83" s="698"/>
      <c r="N83" s="619"/>
      <c r="O83" s="619"/>
      <c r="P83" s="616"/>
      <c r="Q83" s="614"/>
      <c r="R83" s="643"/>
      <c r="S83" s="629"/>
      <c r="T83" s="143">
        <v>0</v>
      </c>
      <c r="U83" s="144">
        <v>0.5</v>
      </c>
      <c r="V83" s="145">
        <v>0.5</v>
      </c>
      <c r="W83" s="607"/>
      <c r="X83" s="603"/>
      <c r="Y83" s="641"/>
      <c r="Z83" s="607"/>
      <c r="AA83" s="603"/>
      <c r="AB83" s="641"/>
      <c r="AC83" s="607"/>
      <c r="AD83" s="603"/>
      <c r="AE83" s="684"/>
      <c r="AF83" s="687"/>
      <c r="AG83" s="612"/>
      <c r="AH83" s="612"/>
      <c r="AI83" s="688"/>
      <c r="AJ83" s="689"/>
      <c r="AK83" s="688"/>
      <c r="AL83" s="689"/>
      <c r="AM83" s="688"/>
      <c r="AN83" s="689"/>
      <c r="AO83" s="612"/>
      <c r="AP83" s="612"/>
    </row>
    <row r="84" spans="1:42" ht="73.5" customHeight="1" x14ac:dyDescent="0.35">
      <c r="A84" s="612"/>
      <c r="B84" s="612"/>
      <c r="C84" s="647"/>
      <c r="D84" s="650">
        <v>23</v>
      </c>
      <c r="E84" s="681" t="s">
        <v>688</v>
      </c>
      <c r="F84" s="681" t="s">
        <v>728</v>
      </c>
      <c r="G84" s="681" t="s">
        <v>121</v>
      </c>
      <c r="H84" s="681" t="s">
        <v>695</v>
      </c>
      <c r="I84" s="652" t="s">
        <v>942</v>
      </c>
      <c r="J84" s="655" t="s">
        <v>100</v>
      </c>
      <c r="K84" s="655" t="s">
        <v>576</v>
      </c>
      <c r="L84" s="655" t="s">
        <v>577</v>
      </c>
      <c r="M84" s="237" t="s">
        <v>578</v>
      </c>
      <c r="N84" s="636" t="s">
        <v>579</v>
      </c>
      <c r="O84" s="636" t="s">
        <v>156</v>
      </c>
      <c r="P84" s="615">
        <v>45292</v>
      </c>
      <c r="Q84" s="613">
        <v>45641</v>
      </c>
      <c r="R84" s="120" t="s">
        <v>94</v>
      </c>
      <c r="S84" s="639">
        <f>1/3</f>
        <v>0.33333333333333331</v>
      </c>
      <c r="T84" s="146">
        <f>1/3</f>
        <v>0.33333333333333331</v>
      </c>
      <c r="U84" s="146">
        <v>0.33</v>
      </c>
      <c r="V84" s="146">
        <v>0.34</v>
      </c>
      <c r="W84" s="598">
        <f>($S$84*T85)+($S$86*T87)+($S$88*T89)</f>
        <v>0.22</v>
      </c>
      <c r="X84" s="674">
        <f>($S$84*T84)+($S$86*T86)+($S$88*T88)</f>
        <v>0.22111111111111109</v>
      </c>
      <c r="Y84" s="677" t="s">
        <v>580</v>
      </c>
      <c r="Z84" s="598">
        <f>($S$84*U85)+($S$86*U87)+($S$88*U89)</f>
        <v>0.38666666666666666</v>
      </c>
      <c r="AA84" s="674">
        <f>($S$84*U84)+($S$86*U86)+($S$88*U88)</f>
        <v>0.38666666666666666</v>
      </c>
      <c r="AB84" s="668" t="s">
        <v>580</v>
      </c>
      <c r="AC84" s="598">
        <f>($S$84*V85)+($S$86*V87)+($S$88*V89)</f>
        <v>0.39333333333333331</v>
      </c>
      <c r="AD84" s="678">
        <f>($S$84*V84)+($S$86*V86)+($S$88*V88)</f>
        <v>0.26</v>
      </c>
      <c r="AE84" s="668" t="s">
        <v>581</v>
      </c>
      <c r="AF84" s="670">
        <v>0.1</v>
      </c>
      <c r="AG84" s="612"/>
      <c r="AH84" s="646"/>
      <c r="AI84" s="666">
        <f>+W84</f>
        <v>0.22</v>
      </c>
      <c r="AJ84" s="658">
        <f>+X84</f>
        <v>0.22111111111111109</v>
      </c>
      <c r="AK84" s="666">
        <f>+Z84</f>
        <v>0.38666666666666666</v>
      </c>
      <c r="AL84" s="658">
        <f>+AA84</f>
        <v>0.38666666666666666</v>
      </c>
      <c r="AM84" s="666">
        <f>+AC84</f>
        <v>0.39333333333333331</v>
      </c>
      <c r="AN84" s="658">
        <f>+AD84</f>
        <v>0.26</v>
      </c>
      <c r="AO84" s="93"/>
      <c r="AP84" s="75"/>
    </row>
    <row r="85" spans="1:42" ht="73.5" customHeight="1" x14ac:dyDescent="0.35">
      <c r="A85" s="612"/>
      <c r="B85" s="612"/>
      <c r="C85" s="648"/>
      <c r="D85" s="651"/>
      <c r="E85" s="682"/>
      <c r="F85" s="682"/>
      <c r="G85" s="682"/>
      <c r="H85" s="682"/>
      <c r="I85" s="653"/>
      <c r="J85" s="631"/>
      <c r="K85" s="631"/>
      <c r="L85" s="631"/>
      <c r="M85" s="240" t="s">
        <v>582</v>
      </c>
      <c r="N85" s="618"/>
      <c r="O85" s="618"/>
      <c r="P85" s="616"/>
      <c r="Q85" s="614"/>
      <c r="R85" s="124" t="s">
        <v>99</v>
      </c>
      <c r="S85" s="628"/>
      <c r="T85" s="125">
        <v>0.33</v>
      </c>
      <c r="U85" s="107">
        <v>0.33</v>
      </c>
      <c r="V85" s="108">
        <v>0.34</v>
      </c>
      <c r="W85" s="606"/>
      <c r="X85" s="675"/>
      <c r="Y85" s="657"/>
      <c r="Z85" s="606"/>
      <c r="AA85" s="675"/>
      <c r="AB85" s="669"/>
      <c r="AC85" s="606"/>
      <c r="AD85" s="679"/>
      <c r="AE85" s="669"/>
      <c r="AF85" s="671"/>
      <c r="AG85" s="612"/>
      <c r="AH85" s="646"/>
      <c r="AI85" s="667"/>
      <c r="AJ85" s="659"/>
      <c r="AK85" s="667"/>
      <c r="AL85" s="659"/>
      <c r="AM85" s="667"/>
      <c r="AN85" s="659"/>
      <c r="AO85" s="75"/>
      <c r="AP85" s="75"/>
    </row>
    <row r="86" spans="1:42" ht="73.5" customHeight="1" x14ac:dyDescent="0.35">
      <c r="A86" s="612"/>
      <c r="B86" s="612"/>
      <c r="C86" s="648"/>
      <c r="D86" s="651">
        <v>24</v>
      </c>
      <c r="E86" s="681" t="s">
        <v>688</v>
      </c>
      <c r="F86" s="681" t="s">
        <v>728</v>
      </c>
      <c r="G86" s="681" t="s">
        <v>121</v>
      </c>
      <c r="H86" s="681" t="s">
        <v>695</v>
      </c>
      <c r="I86" s="653"/>
      <c r="J86" s="631" t="s">
        <v>100</v>
      </c>
      <c r="K86" s="631" t="s">
        <v>576</v>
      </c>
      <c r="L86" s="631" t="s">
        <v>583</v>
      </c>
      <c r="M86" s="618" t="s">
        <v>584</v>
      </c>
      <c r="N86" s="634" t="s">
        <v>585</v>
      </c>
      <c r="O86" s="618" t="s">
        <v>156</v>
      </c>
      <c r="P86" s="615">
        <v>45292</v>
      </c>
      <c r="Q86" s="613">
        <v>45641</v>
      </c>
      <c r="R86" s="116" t="s">
        <v>94</v>
      </c>
      <c r="S86" s="628">
        <f>1/3</f>
        <v>0.33333333333333331</v>
      </c>
      <c r="T86" s="129">
        <v>0.33</v>
      </c>
      <c r="U86" s="129">
        <v>0.33</v>
      </c>
      <c r="V86" s="131">
        <v>0.34</v>
      </c>
      <c r="W86" s="606"/>
      <c r="X86" s="675"/>
      <c r="Y86" s="657" t="s">
        <v>586</v>
      </c>
      <c r="Z86" s="606"/>
      <c r="AA86" s="675"/>
      <c r="AB86" s="673" t="s">
        <v>587</v>
      </c>
      <c r="AC86" s="606"/>
      <c r="AD86" s="679"/>
      <c r="AE86" s="673" t="s">
        <v>588</v>
      </c>
      <c r="AF86" s="671"/>
      <c r="AG86" s="612"/>
      <c r="AH86" s="646"/>
      <c r="AI86" s="667"/>
      <c r="AJ86" s="659"/>
      <c r="AK86" s="667"/>
      <c r="AL86" s="659"/>
      <c r="AM86" s="667"/>
      <c r="AN86" s="659"/>
      <c r="AO86" s="93"/>
      <c r="AP86" s="75"/>
    </row>
    <row r="87" spans="1:42" ht="73.5" customHeight="1" x14ac:dyDescent="0.35">
      <c r="A87" s="612"/>
      <c r="B87" s="612"/>
      <c r="C87" s="648"/>
      <c r="D87" s="651"/>
      <c r="E87" s="682"/>
      <c r="F87" s="682"/>
      <c r="G87" s="682"/>
      <c r="H87" s="682"/>
      <c r="I87" s="653"/>
      <c r="J87" s="631"/>
      <c r="K87" s="631"/>
      <c r="L87" s="631"/>
      <c r="M87" s="618"/>
      <c r="N87" s="634"/>
      <c r="O87" s="618"/>
      <c r="P87" s="616"/>
      <c r="Q87" s="614"/>
      <c r="R87" s="124" t="s">
        <v>99</v>
      </c>
      <c r="S87" s="628"/>
      <c r="T87" s="125">
        <v>0.33</v>
      </c>
      <c r="U87" s="107">
        <v>0.33</v>
      </c>
      <c r="V87" s="108">
        <v>0.34</v>
      </c>
      <c r="W87" s="606"/>
      <c r="X87" s="675"/>
      <c r="Y87" s="657"/>
      <c r="Z87" s="606"/>
      <c r="AA87" s="675"/>
      <c r="AB87" s="673"/>
      <c r="AC87" s="606"/>
      <c r="AD87" s="679"/>
      <c r="AE87" s="673"/>
      <c r="AF87" s="671"/>
      <c r="AG87" s="612"/>
      <c r="AH87" s="646"/>
      <c r="AI87" s="667"/>
      <c r="AJ87" s="659"/>
      <c r="AK87" s="667"/>
      <c r="AL87" s="659"/>
      <c r="AM87" s="667"/>
      <c r="AN87" s="659"/>
      <c r="AO87" s="75"/>
      <c r="AP87" s="75"/>
    </row>
    <row r="88" spans="1:42" ht="73.5" customHeight="1" x14ac:dyDescent="0.35">
      <c r="A88" s="612"/>
      <c r="B88" s="612"/>
      <c r="C88" s="648"/>
      <c r="D88" s="651">
        <v>25</v>
      </c>
      <c r="E88" s="681" t="s">
        <v>688</v>
      </c>
      <c r="F88" s="681" t="s">
        <v>728</v>
      </c>
      <c r="G88" s="681" t="s">
        <v>121</v>
      </c>
      <c r="H88" s="681" t="s">
        <v>695</v>
      </c>
      <c r="I88" s="653"/>
      <c r="J88" s="631" t="s">
        <v>123</v>
      </c>
      <c r="K88" s="631" t="s">
        <v>589</v>
      </c>
      <c r="L88" s="631" t="s">
        <v>590</v>
      </c>
      <c r="M88" s="240" t="s">
        <v>591</v>
      </c>
      <c r="N88" s="618" t="s">
        <v>592</v>
      </c>
      <c r="O88" s="618" t="s">
        <v>156</v>
      </c>
      <c r="P88" s="615">
        <v>45292</v>
      </c>
      <c r="Q88" s="613">
        <v>45641</v>
      </c>
      <c r="R88" s="116" t="s">
        <v>94</v>
      </c>
      <c r="S88" s="628">
        <f>1/3</f>
        <v>0.33333333333333331</v>
      </c>
      <c r="T88" s="147">
        <v>0</v>
      </c>
      <c r="U88" s="193">
        <v>0.5</v>
      </c>
      <c r="V88" s="131">
        <v>0.1</v>
      </c>
      <c r="W88" s="606"/>
      <c r="X88" s="675"/>
      <c r="Y88" s="623" t="s">
        <v>593</v>
      </c>
      <c r="Z88" s="606"/>
      <c r="AA88" s="675"/>
      <c r="AB88" s="662" t="s">
        <v>593</v>
      </c>
      <c r="AC88" s="606"/>
      <c r="AD88" s="679"/>
      <c r="AE88" s="664" t="s">
        <v>594</v>
      </c>
      <c r="AF88" s="671"/>
      <c r="AG88" s="612"/>
      <c r="AH88" s="646"/>
      <c r="AI88" s="667"/>
      <c r="AJ88" s="659"/>
      <c r="AK88" s="667"/>
      <c r="AL88" s="659"/>
      <c r="AM88" s="667"/>
      <c r="AN88" s="659"/>
      <c r="AO88" s="75"/>
      <c r="AP88" s="75"/>
    </row>
    <row r="89" spans="1:42" ht="73.5" customHeight="1" thickBot="1" x14ac:dyDescent="0.4">
      <c r="A89" s="612"/>
      <c r="B89" s="612"/>
      <c r="C89" s="649"/>
      <c r="D89" s="656"/>
      <c r="E89" s="682"/>
      <c r="F89" s="682"/>
      <c r="G89" s="682"/>
      <c r="H89" s="682"/>
      <c r="I89" s="654"/>
      <c r="J89" s="632"/>
      <c r="K89" s="632"/>
      <c r="L89" s="632"/>
      <c r="M89" s="243" t="s">
        <v>595</v>
      </c>
      <c r="N89" s="633"/>
      <c r="O89" s="633"/>
      <c r="P89" s="616"/>
      <c r="Q89" s="614"/>
      <c r="R89" s="148" t="s">
        <v>99</v>
      </c>
      <c r="S89" s="660"/>
      <c r="T89" s="140">
        <v>0</v>
      </c>
      <c r="U89" s="141">
        <v>0.5</v>
      </c>
      <c r="V89" s="135">
        <v>0.5</v>
      </c>
      <c r="W89" s="607"/>
      <c r="X89" s="676"/>
      <c r="Y89" s="661"/>
      <c r="Z89" s="607"/>
      <c r="AA89" s="676"/>
      <c r="AB89" s="663"/>
      <c r="AC89" s="607"/>
      <c r="AD89" s="680"/>
      <c r="AE89" s="665"/>
      <c r="AF89" s="672"/>
      <c r="AG89" s="612"/>
      <c r="AH89" s="646"/>
      <c r="AI89" s="667"/>
      <c r="AJ89" s="659"/>
      <c r="AK89" s="667"/>
      <c r="AL89" s="659"/>
      <c r="AM89" s="667"/>
      <c r="AN89" s="659"/>
      <c r="AO89" s="75"/>
      <c r="AP89" s="75"/>
    </row>
    <row r="90" spans="1:42" s="166" customFormat="1" ht="77.150000000000006" customHeight="1" thickBot="1" x14ac:dyDescent="0.65">
      <c r="A90" s="597"/>
      <c r="B90" s="597"/>
      <c r="C90" s="162"/>
      <c r="D90" s="162"/>
      <c r="E90" s="162"/>
      <c r="F90" s="162"/>
      <c r="G90" s="162"/>
      <c r="H90" s="162"/>
      <c r="I90" s="162"/>
      <c r="J90" s="162"/>
      <c r="K90" s="162"/>
      <c r="L90" s="162"/>
      <c r="M90" s="162"/>
      <c r="N90" s="162"/>
      <c r="O90" s="162"/>
      <c r="P90" s="162"/>
      <c r="Q90" s="162"/>
      <c r="R90" s="163"/>
      <c r="S90" s="162"/>
      <c r="T90" s="162"/>
      <c r="U90" s="162"/>
      <c r="V90" s="162"/>
      <c r="W90" s="163"/>
      <c r="X90" s="163"/>
      <c r="Y90" s="164"/>
      <c r="Z90" s="164"/>
      <c r="AA90" s="164"/>
      <c r="AB90" s="164"/>
      <c r="AC90" s="164"/>
      <c r="AD90" s="163"/>
      <c r="AE90" s="163"/>
      <c r="AF90" s="163"/>
      <c r="AG90" s="162"/>
      <c r="AH90" s="163"/>
      <c r="AI90" s="176">
        <f t="shared" ref="AI90:AN90" si="0">+($AF$40*AI40)+($AF$48*AI48)+($AF$64*AI64)+($AF$78*AI78)+($AF$84*AI84)</f>
        <v>0.18789285714285714</v>
      </c>
      <c r="AJ90" s="167">
        <f t="shared" si="0"/>
        <v>0.18800396825396826</v>
      </c>
      <c r="AK90" s="177">
        <f t="shared" si="0"/>
        <v>0.40495238095238095</v>
      </c>
      <c r="AL90" s="167">
        <f t="shared" si="0"/>
        <v>0.40505238095238094</v>
      </c>
      <c r="AM90" s="177">
        <f t="shared" si="0"/>
        <v>0.40715476190476191</v>
      </c>
      <c r="AN90" s="167">
        <f t="shared" si="0"/>
        <v>0.37422142857142859</v>
      </c>
      <c r="AO90" s="165"/>
      <c r="AP90" s="165"/>
    </row>
    <row r="91" spans="1:42" s="166" customFormat="1" ht="52.5" hidden="1" thickBot="1" x14ac:dyDescent="0.65">
      <c r="A91" s="597"/>
      <c r="B91" s="597"/>
      <c r="C91" s="162"/>
      <c r="D91" s="162"/>
      <c r="E91" s="368" t="s">
        <v>53</v>
      </c>
      <c r="F91" s="368" t="s">
        <v>54</v>
      </c>
      <c r="G91" s="368" t="s">
        <v>55</v>
      </c>
      <c r="H91" s="368" t="s">
        <v>56</v>
      </c>
      <c r="I91" s="368" t="s">
        <v>31</v>
      </c>
      <c r="J91" s="370" t="s">
        <v>57</v>
      </c>
      <c r="K91" s="1"/>
      <c r="L91" s="1"/>
      <c r="M91" s="1"/>
      <c r="N91" s="1"/>
      <c r="O91" s="1"/>
      <c r="P91" s="370" t="s">
        <v>687</v>
      </c>
      <c r="Q91" s="162"/>
      <c r="R91" s="163"/>
      <c r="S91" s="162"/>
      <c r="T91" s="162"/>
      <c r="U91" s="162"/>
      <c r="V91" s="162"/>
      <c r="W91" s="163"/>
      <c r="X91" s="163"/>
      <c r="Y91" s="164"/>
      <c r="Z91" s="164"/>
      <c r="AA91" s="164"/>
      <c r="AB91" s="164"/>
      <c r="AC91" s="164"/>
      <c r="AD91" s="163"/>
      <c r="AE91" s="163"/>
      <c r="AF91" s="163"/>
      <c r="AG91" s="162"/>
      <c r="AH91"/>
      <c r="AI91" s="194" t="s">
        <v>596</v>
      </c>
      <c r="AJ91" s="168">
        <f>+AJ90/AI90</f>
        <v>1.0005913535660733</v>
      </c>
      <c r="AK91" s="169"/>
      <c r="AL91" s="168">
        <f>+AL90/AK90</f>
        <v>1.0002469426152398</v>
      </c>
      <c r="AM91" s="169"/>
      <c r="AN91" s="168">
        <f>+AN90/AM90</f>
        <v>0.91911347621414585</v>
      </c>
      <c r="AO91" s="165"/>
      <c r="AP91" s="165"/>
    </row>
    <row r="92" spans="1:42" s="166" customFormat="1" ht="46.5" hidden="1" thickBot="1" x14ac:dyDescent="0.65">
      <c r="A92" s="597"/>
      <c r="B92" s="597"/>
      <c r="C92" s="162"/>
      <c r="D92" s="162"/>
      <c r="E92" s="369"/>
      <c r="F92" s="369"/>
      <c r="G92" s="369"/>
      <c r="H92" s="369"/>
      <c r="I92" s="369"/>
      <c r="J92" s="369"/>
      <c r="K92" s="1"/>
      <c r="L92" s="1"/>
      <c r="M92" s="1"/>
      <c r="N92" s="1"/>
      <c r="O92" s="1"/>
      <c r="P92" s="369"/>
      <c r="Q92" s="162"/>
      <c r="R92" s="163"/>
      <c r="S92" s="162"/>
      <c r="T92" s="162"/>
      <c r="U92" s="162"/>
      <c r="V92" s="162"/>
      <c r="W92" s="163"/>
      <c r="X92" s="163"/>
      <c r="Y92" s="164"/>
      <c r="Z92" s="164"/>
      <c r="AA92" s="164"/>
      <c r="AB92" s="164"/>
      <c r="AC92" s="164"/>
      <c r="AD92" s="163"/>
      <c r="AE92" s="163"/>
      <c r="AF92" s="163"/>
      <c r="AG92" s="162"/>
      <c r="AH92"/>
      <c r="AI92" s="195" t="s">
        <v>597</v>
      </c>
      <c r="AJ92" s="168">
        <f>+AJ91</f>
        <v>1.0005913535660733</v>
      </c>
      <c r="AK92" s="169"/>
      <c r="AL92" s="168">
        <f>+(AJ90+AL90)/(AI90+AK90)</f>
        <v>1.0003560981813557</v>
      </c>
      <c r="AM92" s="169"/>
      <c r="AN92" s="168">
        <f>+(AN90+AL90+AJ90)/(AM90+AK90+AI90)</f>
        <v>0.96727777777777779</v>
      </c>
      <c r="AO92" s="204">
        <f>AVERAGE(AJ92,AL92,AN92)</f>
        <v>0.98940840984173561</v>
      </c>
      <c r="AP92" s="165"/>
    </row>
    <row r="93" spans="1:42" hidden="1" x14ac:dyDescent="0.35">
      <c r="E93" s="1" t="s">
        <v>688</v>
      </c>
      <c r="F93" s="1" t="s">
        <v>689</v>
      </c>
      <c r="G93" s="1" t="s">
        <v>121</v>
      </c>
      <c r="H93" s="1" t="s">
        <v>122</v>
      </c>
      <c r="I93" s="1" t="s">
        <v>690</v>
      </c>
      <c r="J93" s="1" t="s">
        <v>691</v>
      </c>
      <c r="K93" s="1"/>
      <c r="L93" s="1"/>
      <c r="M93" s="1"/>
      <c r="N93" s="1"/>
      <c r="O93" s="1"/>
      <c r="P93" s="13" t="s">
        <v>692</v>
      </c>
    </row>
    <row r="94" spans="1:42" hidden="1" x14ac:dyDescent="0.35">
      <c r="E94" s="1" t="s">
        <v>693</v>
      </c>
      <c r="F94" s="1" t="s">
        <v>694</v>
      </c>
      <c r="G94" s="1" t="s">
        <v>300</v>
      </c>
      <c r="H94" s="1" t="s">
        <v>695</v>
      </c>
      <c r="I94" s="1" t="s">
        <v>696</v>
      </c>
      <c r="J94" s="1" t="s">
        <v>697</v>
      </c>
      <c r="K94" s="1"/>
      <c r="L94" s="1"/>
      <c r="M94" s="1"/>
      <c r="N94" s="1"/>
      <c r="O94" s="1"/>
      <c r="P94" s="13" t="s">
        <v>698</v>
      </c>
    </row>
    <row r="95" spans="1:42" hidden="1" x14ac:dyDescent="0.35">
      <c r="E95" s="1" t="s">
        <v>699</v>
      </c>
      <c r="F95" s="1" t="s">
        <v>700</v>
      </c>
      <c r="G95" s="1" t="s">
        <v>86</v>
      </c>
      <c r="H95" s="1" t="s">
        <v>301</v>
      </c>
      <c r="I95" s="1" t="s">
        <v>701</v>
      </c>
      <c r="J95" s="1" t="s">
        <v>702</v>
      </c>
      <c r="K95" s="1"/>
      <c r="L95" s="1"/>
      <c r="M95" s="1"/>
      <c r="N95" s="1"/>
      <c r="O95" s="1"/>
      <c r="P95" s="13" t="s">
        <v>703</v>
      </c>
    </row>
    <row r="96" spans="1:42" hidden="1" x14ac:dyDescent="0.35">
      <c r="E96" s="1" t="s">
        <v>704</v>
      </c>
      <c r="F96" s="1" t="s">
        <v>705</v>
      </c>
      <c r="G96" s="1" t="s">
        <v>168</v>
      </c>
      <c r="H96" s="1" t="s">
        <v>706</v>
      </c>
      <c r="I96" s="1" t="s">
        <v>707</v>
      </c>
      <c r="J96" s="1" t="s">
        <v>708</v>
      </c>
      <c r="K96" s="1"/>
      <c r="L96" s="1"/>
      <c r="M96" s="1"/>
      <c r="N96" s="1"/>
      <c r="O96" s="1"/>
      <c r="P96" s="1"/>
    </row>
    <row r="97" spans="5:16" hidden="1" x14ac:dyDescent="0.35">
      <c r="E97" s="1" t="s">
        <v>709</v>
      </c>
      <c r="F97" s="1" t="s">
        <v>710</v>
      </c>
      <c r="G97" s="1" t="s">
        <v>711</v>
      </c>
      <c r="H97" s="1" t="s">
        <v>712</v>
      </c>
      <c r="I97" s="1" t="s">
        <v>713</v>
      </c>
      <c r="J97" s="1" t="s">
        <v>714</v>
      </c>
      <c r="K97" s="1"/>
      <c r="L97" s="1"/>
      <c r="M97" s="1"/>
      <c r="N97" s="1"/>
      <c r="O97" s="1"/>
      <c r="P97" s="1"/>
    </row>
    <row r="98" spans="5:16" hidden="1" x14ac:dyDescent="0.35">
      <c r="E98" s="1" t="s">
        <v>715</v>
      </c>
      <c r="F98" s="1" t="s">
        <v>716</v>
      </c>
      <c r="G98" s="1" t="s">
        <v>717</v>
      </c>
      <c r="H98" s="1" t="s">
        <v>154</v>
      </c>
      <c r="I98" s="1" t="s">
        <v>290</v>
      </c>
      <c r="J98" s="1" t="s">
        <v>463</v>
      </c>
      <c r="K98" s="1"/>
      <c r="L98" s="1"/>
      <c r="M98" s="1"/>
      <c r="N98" s="1"/>
      <c r="O98" s="1"/>
      <c r="P98" s="1"/>
    </row>
    <row r="99" spans="5:16" hidden="1" x14ac:dyDescent="0.35">
      <c r="E99" s="1" t="s">
        <v>718</v>
      </c>
      <c r="F99" s="1" t="s">
        <v>719</v>
      </c>
      <c r="G99" s="1" t="s">
        <v>720</v>
      </c>
      <c r="H99" s="1" t="s">
        <v>115</v>
      </c>
      <c r="I99" s="1" t="s">
        <v>721</v>
      </c>
      <c r="J99" s="1" t="s">
        <v>722</v>
      </c>
      <c r="K99" s="1"/>
      <c r="L99" s="1"/>
      <c r="M99" s="1"/>
      <c r="N99" s="1"/>
      <c r="O99" s="1"/>
      <c r="P99" s="1"/>
    </row>
    <row r="100" spans="5:16" hidden="1" x14ac:dyDescent="0.35">
      <c r="E100" s="1" t="s">
        <v>723</v>
      </c>
      <c r="F100" s="1" t="s">
        <v>724</v>
      </c>
      <c r="G100" s="1"/>
      <c r="H100" s="1" t="s">
        <v>627</v>
      </c>
      <c r="I100" s="1" t="s">
        <v>725</v>
      </c>
      <c r="J100" s="1" t="s">
        <v>571</v>
      </c>
      <c r="K100" s="1"/>
      <c r="L100" s="1"/>
      <c r="M100" s="1"/>
      <c r="N100" s="1"/>
      <c r="O100" s="1"/>
      <c r="P100" s="1"/>
    </row>
    <row r="101" spans="5:16" hidden="1" x14ac:dyDescent="0.35">
      <c r="E101" s="1"/>
      <c r="F101" s="1" t="s">
        <v>726</v>
      </c>
      <c r="G101" s="1"/>
      <c r="H101" s="1" t="s">
        <v>126</v>
      </c>
      <c r="I101" s="1" t="s">
        <v>727</v>
      </c>
      <c r="J101" s="1" t="s">
        <v>100</v>
      </c>
      <c r="K101" s="1"/>
      <c r="L101" s="1"/>
      <c r="M101" s="1"/>
      <c r="N101" s="1"/>
      <c r="O101" s="1"/>
      <c r="P101" s="1"/>
    </row>
    <row r="102" spans="5:16" hidden="1" x14ac:dyDescent="0.35">
      <c r="E102" s="1"/>
      <c r="F102" s="1" t="s">
        <v>728</v>
      </c>
      <c r="G102" s="1"/>
      <c r="H102" s="1" t="s">
        <v>729</v>
      </c>
      <c r="I102" s="1" t="s">
        <v>730</v>
      </c>
      <c r="J102" s="1" t="s">
        <v>123</v>
      </c>
      <c r="K102" s="1"/>
      <c r="L102" s="1"/>
      <c r="M102" s="1"/>
      <c r="N102" s="1"/>
      <c r="O102" s="1"/>
      <c r="P102" s="1"/>
    </row>
    <row r="103" spans="5:16" hidden="1" x14ac:dyDescent="0.35">
      <c r="E103" s="1"/>
      <c r="F103" s="1"/>
      <c r="G103" s="1"/>
      <c r="H103" s="1" t="s">
        <v>87</v>
      </c>
      <c r="I103" s="1" t="s">
        <v>731</v>
      </c>
      <c r="J103" s="1" t="s">
        <v>111</v>
      </c>
      <c r="K103" s="1"/>
      <c r="L103" s="1"/>
      <c r="M103" s="1"/>
      <c r="N103" s="1"/>
      <c r="O103" s="1"/>
      <c r="P103" s="1"/>
    </row>
    <row r="104" spans="5:16" hidden="1" x14ac:dyDescent="0.35">
      <c r="E104" s="1"/>
      <c r="F104" s="1"/>
      <c r="G104" s="1"/>
      <c r="H104" s="1" t="s">
        <v>732</v>
      </c>
      <c r="I104" s="1" t="s">
        <v>733</v>
      </c>
      <c r="J104" s="1" t="s">
        <v>734</v>
      </c>
      <c r="K104" s="1"/>
      <c r="L104" s="1"/>
      <c r="M104" s="1"/>
      <c r="N104" s="1"/>
      <c r="O104" s="1"/>
      <c r="P104" s="1"/>
    </row>
    <row r="105" spans="5:16" hidden="1" x14ac:dyDescent="0.35">
      <c r="E105" s="1"/>
      <c r="F105" s="1"/>
      <c r="G105" s="1"/>
      <c r="H105" s="1" t="s">
        <v>163</v>
      </c>
      <c r="I105" s="1"/>
      <c r="J105" s="1" t="s">
        <v>735</v>
      </c>
      <c r="K105" s="1"/>
      <c r="L105" s="1"/>
      <c r="M105" s="1"/>
      <c r="N105" s="1"/>
      <c r="O105" s="1"/>
      <c r="P105" s="1"/>
    </row>
    <row r="106" spans="5:16" hidden="1" x14ac:dyDescent="0.35">
      <c r="E106" s="1"/>
      <c r="F106" s="1"/>
      <c r="G106" s="1"/>
      <c r="H106" s="1" t="s">
        <v>736</v>
      </c>
      <c r="I106" s="1"/>
      <c r="J106" s="1" t="s">
        <v>737</v>
      </c>
      <c r="K106" s="1"/>
      <c r="L106" s="1"/>
      <c r="M106" s="1"/>
      <c r="N106" s="1"/>
      <c r="O106" s="1"/>
      <c r="P106" s="1"/>
    </row>
    <row r="107" spans="5:16" hidden="1" x14ac:dyDescent="0.35">
      <c r="E107" s="1"/>
      <c r="F107" s="1"/>
      <c r="G107" s="1"/>
      <c r="H107" s="1" t="s">
        <v>738</v>
      </c>
      <c r="I107" s="1"/>
      <c r="J107" s="1" t="s">
        <v>739</v>
      </c>
      <c r="K107" s="1"/>
      <c r="L107" s="1"/>
      <c r="M107" s="1"/>
      <c r="N107" s="1"/>
      <c r="O107" s="1"/>
      <c r="P107" s="1"/>
    </row>
    <row r="108" spans="5:16" hidden="1" x14ac:dyDescent="0.35">
      <c r="E108" s="1"/>
      <c r="F108" s="1"/>
      <c r="G108" s="1"/>
      <c r="H108" s="1" t="s">
        <v>110</v>
      </c>
      <c r="I108" s="1"/>
      <c r="J108" s="1" t="s">
        <v>740</v>
      </c>
      <c r="K108" s="1"/>
      <c r="L108" s="1"/>
      <c r="M108" s="1"/>
      <c r="N108" s="1"/>
      <c r="O108" s="1"/>
      <c r="P108" s="1"/>
    </row>
    <row r="109" spans="5:16" hidden="1" x14ac:dyDescent="0.35">
      <c r="E109" s="1"/>
      <c r="F109" s="1"/>
      <c r="G109" s="1"/>
      <c r="H109" s="1" t="s">
        <v>741</v>
      </c>
      <c r="I109" s="1"/>
      <c r="J109" s="1" t="s">
        <v>742</v>
      </c>
      <c r="K109" s="1"/>
      <c r="L109" s="1"/>
      <c r="M109" s="1"/>
      <c r="N109" s="1"/>
      <c r="O109" s="1"/>
      <c r="P109" s="1"/>
    </row>
    <row r="110" spans="5:16" hidden="1" x14ac:dyDescent="0.35">
      <c r="E110" s="1"/>
      <c r="F110" s="1"/>
      <c r="G110" s="1"/>
      <c r="H110" s="1" t="s">
        <v>743</v>
      </c>
      <c r="I110" s="1"/>
      <c r="J110" s="1" t="s">
        <v>744</v>
      </c>
      <c r="K110" s="1"/>
      <c r="L110" s="1"/>
      <c r="M110" s="1"/>
      <c r="N110" s="1"/>
      <c r="O110" s="1"/>
      <c r="P110" s="1"/>
    </row>
    <row r="111" spans="5:16" hidden="1" x14ac:dyDescent="0.35">
      <c r="E111" s="1"/>
      <c r="F111" s="1"/>
      <c r="G111" s="1"/>
      <c r="H111" s="1" t="s">
        <v>745</v>
      </c>
      <c r="I111" s="1"/>
      <c r="J111" s="1" t="s">
        <v>746</v>
      </c>
      <c r="K111" s="1"/>
      <c r="L111" s="1"/>
      <c r="M111" s="1"/>
      <c r="N111" s="1"/>
      <c r="O111" s="1"/>
      <c r="P111" s="1"/>
    </row>
    <row r="112" spans="5:16" hidden="1" x14ac:dyDescent="0.35">
      <c r="E112" s="1"/>
      <c r="F112" s="1"/>
      <c r="G112" s="1"/>
      <c r="H112" s="1"/>
      <c r="I112" s="1"/>
      <c r="J112" s="1" t="s">
        <v>747</v>
      </c>
      <c r="K112" s="1"/>
      <c r="L112" s="1"/>
      <c r="M112" s="1"/>
      <c r="N112" s="1"/>
      <c r="O112" s="1"/>
      <c r="P112" s="1"/>
    </row>
    <row r="113" spans="5:16" hidden="1" x14ac:dyDescent="0.35">
      <c r="E113" s="1"/>
      <c r="F113" s="1"/>
      <c r="G113" s="1"/>
      <c r="H113" s="1"/>
      <c r="I113" s="1"/>
      <c r="J113" s="1" t="s">
        <v>748</v>
      </c>
      <c r="K113" s="1"/>
      <c r="L113" s="1"/>
      <c r="M113" s="1"/>
      <c r="N113" s="1"/>
      <c r="O113" s="1"/>
      <c r="P113" s="1"/>
    </row>
    <row r="114" spans="5:16" hidden="1" x14ac:dyDescent="0.35">
      <c r="E114" s="1"/>
      <c r="F114" s="1"/>
      <c r="G114" s="1"/>
      <c r="H114" s="1"/>
      <c r="I114" s="1"/>
      <c r="J114" s="1" t="s">
        <v>749</v>
      </c>
      <c r="K114" s="1"/>
      <c r="L114" s="1"/>
      <c r="M114" s="1"/>
      <c r="N114" s="1"/>
      <c r="O114" s="1"/>
      <c r="P114" s="1"/>
    </row>
    <row r="115" spans="5:16" hidden="1" x14ac:dyDescent="0.35">
      <c r="E115" s="1"/>
      <c r="F115" s="1"/>
      <c r="G115" s="1"/>
      <c r="H115" s="1"/>
      <c r="I115" s="1"/>
      <c r="J115" s="1" t="s">
        <v>750</v>
      </c>
      <c r="K115" s="1"/>
      <c r="L115" s="1"/>
      <c r="M115" s="1"/>
      <c r="N115" s="1"/>
      <c r="O115" s="1"/>
      <c r="P115" s="1"/>
    </row>
    <row r="116" spans="5:16" hidden="1" x14ac:dyDescent="0.35">
      <c r="E116" s="1"/>
      <c r="F116" s="1"/>
      <c r="G116" s="1"/>
      <c r="H116" s="1"/>
      <c r="I116" s="1"/>
      <c r="J116" s="1" t="s">
        <v>751</v>
      </c>
      <c r="K116" s="1"/>
      <c r="L116" s="1"/>
      <c r="M116" s="1"/>
      <c r="N116" s="1"/>
      <c r="O116" s="1"/>
      <c r="P116" s="1"/>
    </row>
    <row r="117" spans="5:16" hidden="1" x14ac:dyDescent="0.35">
      <c r="E117" s="1"/>
      <c r="F117" s="1"/>
      <c r="G117" s="1"/>
      <c r="H117" s="1"/>
      <c r="I117" s="1"/>
      <c r="J117" s="1" t="s">
        <v>752</v>
      </c>
      <c r="K117" s="1"/>
      <c r="L117" s="1"/>
      <c r="M117" s="1"/>
      <c r="N117" s="1"/>
      <c r="O117" s="1"/>
      <c r="P117" s="1"/>
    </row>
    <row r="118" spans="5:16" hidden="1" x14ac:dyDescent="0.35">
      <c r="E118" s="1"/>
      <c r="F118" s="1"/>
      <c r="G118" s="1"/>
      <c r="H118" s="1"/>
      <c r="I118" s="1"/>
      <c r="J118" s="1" t="s">
        <v>753</v>
      </c>
      <c r="K118" s="1"/>
      <c r="L118" s="1"/>
      <c r="M118" s="1"/>
      <c r="N118" s="1"/>
      <c r="O118" s="1"/>
      <c r="P118" s="1"/>
    </row>
    <row r="119" spans="5:16" hidden="1" x14ac:dyDescent="0.35">
      <c r="E119" s="1"/>
      <c r="F119" s="1"/>
      <c r="G119" s="1"/>
      <c r="H119" s="1"/>
      <c r="I119" s="1"/>
      <c r="J119" s="1" t="s">
        <v>754</v>
      </c>
      <c r="K119" s="1"/>
      <c r="L119" s="1"/>
      <c r="M119" s="1"/>
      <c r="N119" s="1"/>
      <c r="O119" s="1"/>
      <c r="P119" s="1"/>
    </row>
    <row r="120" spans="5:16" hidden="1" x14ac:dyDescent="0.35">
      <c r="E120" s="1"/>
      <c r="F120" s="1"/>
      <c r="G120" s="1"/>
      <c r="H120" s="1"/>
      <c r="I120" s="1"/>
      <c r="J120" s="1" t="s">
        <v>755</v>
      </c>
      <c r="K120" s="1"/>
      <c r="L120" s="1"/>
      <c r="M120" s="1"/>
      <c r="N120" s="1"/>
      <c r="O120" s="1"/>
      <c r="P120" s="1"/>
    </row>
    <row r="121" spans="5:16" hidden="1" x14ac:dyDescent="0.35">
      <c r="E121" s="1"/>
      <c r="F121" s="1"/>
      <c r="G121" s="1"/>
      <c r="H121" s="1"/>
      <c r="I121" s="1"/>
      <c r="J121" s="1" t="s">
        <v>756</v>
      </c>
      <c r="K121" s="1"/>
      <c r="L121" s="1"/>
      <c r="M121" s="1"/>
      <c r="N121" s="1"/>
      <c r="O121" s="1"/>
      <c r="P121" s="1"/>
    </row>
    <row r="122" spans="5:16" hidden="1" x14ac:dyDescent="0.35">
      <c r="E122" s="1"/>
      <c r="F122" s="1"/>
      <c r="G122" s="1"/>
      <c r="H122" s="1"/>
      <c r="I122" s="1"/>
      <c r="J122" s="1" t="s">
        <v>757</v>
      </c>
      <c r="K122" s="1"/>
      <c r="L122" s="1"/>
      <c r="M122" s="1"/>
      <c r="N122" s="1"/>
      <c r="O122" s="1"/>
      <c r="P122" s="1"/>
    </row>
    <row r="123" spans="5:16" hidden="1" x14ac:dyDescent="0.35">
      <c r="E123" s="1"/>
      <c r="F123" s="1"/>
      <c r="G123" s="1"/>
      <c r="H123" s="1"/>
      <c r="I123" s="1"/>
      <c r="J123" s="1" t="s">
        <v>758</v>
      </c>
      <c r="K123" s="1"/>
      <c r="L123" s="1"/>
      <c r="M123" s="1"/>
      <c r="N123" s="1"/>
      <c r="O123" s="1"/>
      <c r="P123" s="1"/>
    </row>
    <row r="124" spans="5:16" hidden="1" x14ac:dyDescent="0.35">
      <c r="E124" s="1"/>
      <c r="F124" s="1"/>
      <c r="G124" s="1"/>
      <c r="H124" s="1"/>
      <c r="I124" s="1"/>
      <c r="J124" s="1" t="s">
        <v>759</v>
      </c>
      <c r="K124" s="1"/>
      <c r="L124" s="1"/>
      <c r="M124" s="1"/>
      <c r="N124" s="1"/>
      <c r="O124" s="1"/>
      <c r="P124" s="1"/>
    </row>
    <row r="125" spans="5:16" hidden="1" x14ac:dyDescent="0.35">
      <c r="E125" s="1"/>
      <c r="F125" s="1"/>
      <c r="G125" s="1"/>
      <c r="H125" s="1"/>
      <c r="I125" s="1"/>
      <c r="J125" s="1" t="s">
        <v>760</v>
      </c>
      <c r="K125" s="1"/>
      <c r="L125" s="1"/>
      <c r="M125" s="1"/>
      <c r="N125" s="1"/>
      <c r="O125" s="1"/>
      <c r="P125" s="1"/>
    </row>
    <row r="126" spans="5:16" hidden="1" x14ac:dyDescent="0.35">
      <c r="E126" s="1"/>
      <c r="F126" s="1"/>
      <c r="G126" s="1"/>
      <c r="H126" s="1"/>
      <c r="I126" s="1"/>
      <c r="J126" s="1" t="s">
        <v>127</v>
      </c>
      <c r="K126" s="1"/>
      <c r="L126" s="1"/>
      <c r="M126" s="1"/>
      <c r="N126" s="1"/>
      <c r="O126" s="1"/>
      <c r="P126" s="1"/>
    </row>
    <row r="127" spans="5:16" hidden="1" x14ac:dyDescent="0.35">
      <c r="E127" s="1"/>
      <c r="F127" s="1"/>
      <c r="G127" s="1"/>
      <c r="H127" s="1"/>
      <c r="I127" s="1"/>
      <c r="J127" s="1" t="s">
        <v>761</v>
      </c>
      <c r="K127" s="1"/>
      <c r="L127" s="1"/>
      <c r="M127" s="1"/>
      <c r="N127" s="1"/>
      <c r="O127" s="1"/>
      <c r="P127" s="1"/>
    </row>
    <row r="128" spans="5:16" hidden="1" x14ac:dyDescent="0.35">
      <c r="E128" s="1"/>
      <c r="F128" s="1"/>
      <c r="G128" s="1"/>
      <c r="H128" s="1"/>
      <c r="I128" s="1"/>
      <c r="J128" s="1" t="s">
        <v>762</v>
      </c>
      <c r="K128" s="1"/>
      <c r="L128" s="1"/>
      <c r="M128" s="1"/>
      <c r="N128" s="1"/>
      <c r="O128" s="1"/>
      <c r="P128" s="1"/>
    </row>
    <row r="129" spans="5:16" hidden="1" x14ac:dyDescent="0.35">
      <c r="E129" s="1"/>
      <c r="F129" s="1"/>
      <c r="G129" s="1"/>
      <c r="H129" s="1"/>
      <c r="I129" s="1"/>
      <c r="J129" s="1" t="s">
        <v>763</v>
      </c>
      <c r="K129" s="1"/>
      <c r="L129" s="1"/>
      <c r="M129" s="1"/>
      <c r="N129" s="1"/>
      <c r="O129" s="1"/>
      <c r="P129" s="1"/>
    </row>
    <row r="130" spans="5:16" hidden="1" x14ac:dyDescent="0.35">
      <c r="E130" s="1"/>
      <c r="F130" s="1"/>
      <c r="G130" s="1"/>
      <c r="H130" s="1"/>
      <c r="I130" s="1"/>
      <c r="J130" s="1" t="s">
        <v>764</v>
      </c>
      <c r="K130" s="1"/>
      <c r="L130" s="1"/>
      <c r="M130" s="1"/>
      <c r="N130" s="1"/>
      <c r="O130" s="1"/>
      <c r="P130" s="1"/>
    </row>
    <row r="131" spans="5:16" hidden="1" x14ac:dyDescent="0.35">
      <c r="E131" s="1"/>
      <c r="F131" s="1"/>
      <c r="G131" s="1"/>
      <c r="H131" s="1"/>
      <c r="I131" s="1"/>
      <c r="J131" s="1" t="s">
        <v>89</v>
      </c>
      <c r="K131" s="1"/>
      <c r="L131" s="1"/>
      <c r="M131" s="1"/>
      <c r="N131" s="1"/>
      <c r="O131" s="1"/>
      <c r="P131" s="1"/>
    </row>
    <row r="132" spans="5:16" hidden="1" x14ac:dyDescent="0.35">
      <c r="E132" s="1"/>
      <c r="F132" s="1"/>
      <c r="G132" s="1"/>
      <c r="H132" s="1"/>
      <c r="I132" s="1"/>
      <c r="J132" s="1" t="s">
        <v>765</v>
      </c>
      <c r="K132" s="1"/>
      <c r="L132" s="1"/>
      <c r="M132" s="1"/>
      <c r="N132" s="1"/>
      <c r="O132" s="1"/>
      <c r="P132" s="1"/>
    </row>
    <row r="133" spans="5:16" hidden="1" x14ac:dyDescent="0.35">
      <c r="E133" s="1"/>
      <c r="F133" s="1"/>
      <c r="G133" s="1"/>
      <c r="H133" s="1"/>
      <c r="I133" s="1"/>
      <c r="J133" s="1" t="s">
        <v>766</v>
      </c>
      <c r="K133" s="1"/>
      <c r="L133" s="1"/>
      <c r="M133" s="1"/>
      <c r="N133" s="1"/>
      <c r="O133" s="1"/>
      <c r="P133" s="1"/>
    </row>
    <row r="134" spans="5:16" hidden="1" x14ac:dyDescent="0.35">
      <c r="E134" s="1"/>
      <c r="F134" s="1"/>
      <c r="G134" s="1"/>
      <c r="H134" s="1"/>
      <c r="I134" s="1"/>
      <c r="J134" s="1" t="s">
        <v>307</v>
      </c>
      <c r="K134" s="1"/>
      <c r="L134" s="1"/>
      <c r="M134" s="1"/>
      <c r="N134" s="1"/>
      <c r="O134" s="1"/>
      <c r="P134" s="1"/>
    </row>
    <row r="135" spans="5:16" hidden="1" x14ac:dyDescent="0.35">
      <c r="E135" s="1"/>
      <c r="F135" s="1"/>
      <c r="G135" s="1"/>
      <c r="H135" s="1"/>
      <c r="I135" s="1"/>
      <c r="J135" s="1" t="s">
        <v>767</v>
      </c>
      <c r="K135" s="1"/>
      <c r="L135" s="1"/>
      <c r="M135" s="1"/>
      <c r="N135" s="1"/>
      <c r="O135" s="1"/>
      <c r="P135" s="1"/>
    </row>
    <row r="136" spans="5:16" hidden="1" x14ac:dyDescent="0.35">
      <c r="E136" s="1"/>
      <c r="F136" s="1"/>
      <c r="G136" s="1"/>
      <c r="H136" s="1"/>
      <c r="I136" s="1"/>
      <c r="J136" s="1" t="s">
        <v>768</v>
      </c>
      <c r="K136" s="1"/>
      <c r="L136" s="1"/>
      <c r="M136" s="1"/>
      <c r="N136" s="1"/>
      <c r="O136" s="1"/>
      <c r="P136" s="1"/>
    </row>
    <row r="137" spans="5:16" hidden="1" x14ac:dyDescent="0.35">
      <c r="E137" s="1"/>
      <c r="F137" s="1"/>
      <c r="G137" s="1"/>
      <c r="H137" s="1"/>
      <c r="I137" s="1"/>
      <c r="J137" s="1" t="s">
        <v>769</v>
      </c>
      <c r="K137" s="1"/>
      <c r="L137" s="1"/>
      <c r="M137" s="1"/>
      <c r="N137" s="1"/>
      <c r="O137" s="1"/>
      <c r="P137" s="1"/>
    </row>
    <row r="138" spans="5:16" hidden="1" x14ac:dyDescent="0.35">
      <c r="E138" s="1"/>
      <c r="F138" s="1"/>
      <c r="G138" s="1"/>
      <c r="H138" s="1"/>
      <c r="I138" s="1"/>
      <c r="J138" s="1" t="s">
        <v>770</v>
      </c>
      <c r="K138" s="1"/>
      <c r="L138" s="1"/>
      <c r="M138" s="1"/>
      <c r="N138" s="1"/>
      <c r="O138" s="1"/>
      <c r="P138" s="1"/>
    </row>
    <row r="139" spans="5:16" hidden="1" x14ac:dyDescent="0.35">
      <c r="E139" s="1"/>
      <c r="F139" s="1"/>
      <c r="G139" s="1"/>
      <c r="H139" s="1"/>
      <c r="I139" s="1"/>
      <c r="J139" s="1" t="s">
        <v>771</v>
      </c>
      <c r="K139" s="1"/>
      <c r="L139" s="1"/>
      <c r="M139" s="1"/>
      <c r="N139" s="1"/>
      <c r="O139" s="1"/>
      <c r="P139" s="1"/>
    </row>
    <row r="140" spans="5:16" hidden="1" x14ac:dyDescent="0.35">
      <c r="E140" s="1"/>
      <c r="F140" s="1"/>
      <c r="G140" s="1"/>
      <c r="H140" s="1"/>
      <c r="I140" s="1"/>
      <c r="J140" s="1" t="s">
        <v>772</v>
      </c>
      <c r="K140" s="1"/>
      <c r="L140" s="1"/>
      <c r="M140" s="1"/>
      <c r="N140" s="1"/>
      <c r="O140" s="1"/>
      <c r="P140" s="1"/>
    </row>
    <row r="141" spans="5:16" hidden="1" x14ac:dyDescent="0.35">
      <c r="E141" s="1"/>
      <c r="F141" s="1"/>
      <c r="G141" s="1"/>
      <c r="H141" s="1"/>
      <c r="I141" s="1"/>
      <c r="J141" s="1" t="s">
        <v>773</v>
      </c>
      <c r="K141" s="1"/>
      <c r="L141" s="1"/>
      <c r="M141" s="1"/>
      <c r="N141" s="1"/>
      <c r="O141" s="1"/>
      <c r="P141" s="1"/>
    </row>
    <row r="142" spans="5:16" hidden="1" x14ac:dyDescent="0.35">
      <c r="E142" s="1"/>
      <c r="F142" s="1"/>
      <c r="G142" s="1"/>
      <c r="H142" s="1"/>
      <c r="I142" s="1"/>
      <c r="J142" s="1" t="s">
        <v>774</v>
      </c>
      <c r="K142" s="1"/>
      <c r="L142" s="1"/>
      <c r="M142" s="1"/>
      <c r="N142" s="1"/>
      <c r="O142" s="1"/>
      <c r="P142" s="1"/>
    </row>
    <row r="143" spans="5:16" hidden="1" x14ac:dyDescent="0.35">
      <c r="E143" s="1"/>
      <c r="F143" s="1"/>
      <c r="G143" s="1"/>
      <c r="H143" s="1"/>
      <c r="I143" s="1"/>
      <c r="J143" s="1" t="s">
        <v>775</v>
      </c>
      <c r="K143" s="1"/>
      <c r="L143" s="1"/>
      <c r="M143" s="1"/>
      <c r="N143" s="1"/>
      <c r="O143" s="1"/>
      <c r="P143" s="1"/>
    </row>
    <row r="144" spans="5:16" hidden="1" x14ac:dyDescent="0.35">
      <c r="E144" s="1"/>
      <c r="F144" s="1"/>
      <c r="G144" s="1"/>
      <c r="H144" s="1"/>
      <c r="I144" s="1"/>
      <c r="J144" s="1" t="s">
        <v>305</v>
      </c>
      <c r="K144" s="1"/>
      <c r="L144" s="1"/>
      <c r="M144" s="1"/>
      <c r="N144" s="1"/>
      <c r="O144" s="1"/>
      <c r="P144" s="1"/>
    </row>
    <row r="145" spans="5:16" hidden="1" x14ac:dyDescent="0.35">
      <c r="E145" s="1"/>
      <c r="F145" s="1"/>
      <c r="G145" s="1"/>
      <c r="H145" s="1"/>
      <c r="I145" s="1"/>
      <c r="J145" s="1" t="s">
        <v>40</v>
      </c>
      <c r="K145" s="1"/>
      <c r="L145" s="1"/>
      <c r="M145" s="1"/>
      <c r="N145" s="1"/>
      <c r="O145" s="1"/>
      <c r="P145" s="1"/>
    </row>
    <row r="146" spans="5:16" hidden="1" x14ac:dyDescent="0.35">
      <c r="E146" s="1"/>
      <c r="F146" s="1"/>
      <c r="G146" s="1"/>
      <c r="H146" s="1"/>
      <c r="I146" s="1"/>
      <c r="J146" s="1" t="s">
        <v>157</v>
      </c>
      <c r="K146" s="1"/>
      <c r="L146" s="1"/>
      <c r="M146" s="1"/>
      <c r="N146" s="1"/>
      <c r="O146" s="1"/>
      <c r="P146" s="1"/>
    </row>
    <row r="147" spans="5:16" hidden="1" x14ac:dyDescent="0.35">
      <c r="E147" s="1"/>
      <c r="F147" s="1"/>
      <c r="G147" s="1"/>
      <c r="H147" s="1"/>
      <c r="I147" s="1"/>
      <c r="J147" s="1" t="s">
        <v>776</v>
      </c>
      <c r="K147" s="1"/>
      <c r="L147" s="1"/>
      <c r="M147" s="1"/>
      <c r="N147" s="1"/>
      <c r="O147" s="1"/>
      <c r="P147" s="1"/>
    </row>
    <row r="148" spans="5:16" hidden="1" x14ac:dyDescent="0.35">
      <c r="E148" s="1"/>
      <c r="F148" s="1"/>
      <c r="G148" s="1"/>
      <c r="H148" s="1"/>
      <c r="I148" s="1"/>
      <c r="J148" s="1" t="s">
        <v>777</v>
      </c>
      <c r="K148" s="1"/>
      <c r="L148" s="1"/>
      <c r="M148" s="1"/>
      <c r="N148" s="1"/>
      <c r="O148" s="1"/>
      <c r="P148" s="1"/>
    </row>
    <row r="149" spans="5:16" hidden="1" x14ac:dyDescent="0.35">
      <c r="E149" s="1"/>
      <c r="F149" s="1"/>
      <c r="G149" s="1"/>
      <c r="H149" s="1"/>
      <c r="I149" s="1"/>
      <c r="J149" s="1" t="s">
        <v>778</v>
      </c>
      <c r="K149" s="1"/>
      <c r="L149" s="1"/>
      <c r="M149" s="1"/>
      <c r="N149" s="1"/>
      <c r="O149" s="1"/>
      <c r="P149" s="1"/>
    </row>
    <row r="150" spans="5:16" hidden="1" x14ac:dyDescent="0.35">
      <c r="E150" s="1"/>
      <c r="F150" s="1"/>
      <c r="G150" s="1"/>
      <c r="H150" s="1"/>
      <c r="I150" s="1"/>
      <c r="J150" s="1" t="s">
        <v>779</v>
      </c>
      <c r="K150" s="1"/>
      <c r="L150" s="1"/>
      <c r="M150" s="1"/>
      <c r="N150" s="1"/>
      <c r="O150" s="1"/>
      <c r="P150" s="1"/>
    </row>
    <row r="151" spans="5:16" hidden="1" x14ac:dyDescent="0.35">
      <c r="E151" s="1"/>
      <c r="F151" s="1"/>
      <c r="G151" s="1"/>
      <c r="H151" s="1"/>
      <c r="I151" s="1"/>
      <c r="J151" s="1" t="s">
        <v>780</v>
      </c>
      <c r="K151" s="1"/>
      <c r="L151" s="1"/>
      <c r="M151" s="1"/>
      <c r="N151" s="1"/>
      <c r="O151" s="1"/>
      <c r="P151" s="1"/>
    </row>
    <row r="152" spans="5:16" hidden="1" x14ac:dyDescent="0.35">
      <c r="E152" s="1"/>
      <c r="F152" s="1"/>
      <c r="G152" s="1"/>
      <c r="H152" s="1"/>
      <c r="I152" s="1"/>
      <c r="J152" s="1" t="s">
        <v>781</v>
      </c>
      <c r="K152" s="1"/>
      <c r="L152" s="1"/>
      <c r="M152" s="1"/>
      <c r="N152" s="1"/>
      <c r="O152" s="1"/>
      <c r="P152" s="1"/>
    </row>
  </sheetData>
  <sheetProtection algorithmName="SHA-512" hashValue="6ysBFOUeAJLvYrKXBclOPi+rRbjPlNU8pBrOq3AIIzIKnc3nCc1OSw/gw71srfTwIO1ZjekNWfOnoyHJWg0sVw==" saltValue="Xi1Qer1g7tqhTXVl5lSrFw==" spinCount="100000" sheet="1" formatCells="0" formatColumns="0" formatRows="0" insertColumns="0" insertRows="0" insertHyperlinks="0" deleteColumns="0" deleteRows="0" sort="0" autoFilter="0" pivotTables="0"/>
  <autoFilter ref="C39:AF89" xr:uid="{E7369476-1993-4393-BAC7-AF45F5018B0D}"/>
  <mergeCells count="647">
    <mergeCell ref="A2:E9"/>
    <mergeCell ref="F1:AF9"/>
    <mergeCell ref="D38:I38"/>
    <mergeCell ref="J38:AF38"/>
    <mergeCell ref="E91:E92"/>
    <mergeCell ref="F91:F92"/>
    <mergeCell ref="G91:G92"/>
    <mergeCell ref="H91:H92"/>
    <mergeCell ref="I91:I92"/>
    <mergeCell ref="J91:J92"/>
    <mergeCell ref="P91:P92"/>
    <mergeCell ref="E82:E83"/>
    <mergeCell ref="F82:F83"/>
    <mergeCell ref="G82:G83"/>
    <mergeCell ref="H82:H83"/>
    <mergeCell ref="E84:E85"/>
    <mergeCell ref="F84:F85"/>
    <mergeCell ref="G84:G85"/>
    <mergeCell ref="H84:H85"/>
    <mergeCell ref="E86:E87"/>
    <mergeCell ref="F86:F87"/>
    <mergeCell ref="G86:G87"/>
    <mergeCell ref="H86:H87"/>
    <mergeCell ref="E76:E77"/>
    <mergeCell ref="F76:F77"/>
    <mergeCell ref="G76:G77"/>
    <mergeCell ref="H76:H77"/>
    <mergeCell ref="E78:E79"/>
    <mergeCell ref="F78:F79"/>
    <mergeCell ref="G78:G79"/>
    <mergeCell ref="H78:H79"/>
    <mergeCell ref="E80:E81"/>
    <mergeCell ref="F80:F81"/>
    <mergeCell ref="G80:G81"/>
    <mergeCell ref="H80:H81"/>
    <mergeCell ref="E70:E71"/>
    <mergeCell ref="F70:F71"/>
    <mergeCell ref="G70:G71"/>
    <mergeCell ref="H70:H71"/>
    <mergeCell ref="E72:E73"/>
    <mergeCell ref="F72:F73"/>
    <mergeCell ref="G72:G73"/>
    <mergeCell ref="H72:H73"/>
    <mergeCell ref="E74:E75"/>
    <mergeCell ref="F74:F75"/>
    <mergeCell ref="G74:G75"/>
    <mergeCell ref="H74:H75"/>
    <mergeCell ref="E52:E53"/>
    <mergeCell ref="F52:F53"/>
    <mergeCell ref="G52:G53"/>
    <mergeCell ref="H52:H53"/>
    <mergeCell ref="E54:E55"/>
    <mergeCell ref="F54:F55"/>
    <mergeCell ref="G54:G55"/>
    <mergeCell ref="H54:H55"/>
    <mergeCell ref="E56:E57"/>
    <mergeCell ref="F56:F57"/>
    <mergeCell ref="G56:G57"/>
    <mergeCell ref="H56:H57"/>
    <mergeCell ref="E46:E47"/>
    <mergeCell ref="F46:F47"/>
    <mergeCell ref="G46:G47"/>
    <mergeCell ref="H46:H47"/>
    <mergeCell ref="E48:E49"/>
    <mergeCell ref="F48:F49"/>
    <mergeCell ref="G48:G49"/>
    <mergeCell ref="H48:H49"/>
    <mergeCell ref="E50:E51"/>
    <mergeCell ref="F50:F51"/>
    <mergeCell ref="G50:G51"/>
    <mergeCell ref="H50:H51"/>
    <mergeCell ref="E40:E41"/>
    <mergeCell ref="F40:F41"/>
    <mergeCell ref="G40:G41"/>
    <mergeCell ref="H40:H41"/>
    <mergeCell ref="E42:E43"/>
    <mergeCell ref="F42:F43"/>
    <mergeCell ref="G42:G43"/>
    <mergeCell ref="H42:H43"/>
    <mergeCell ref="E44:E45"/>
    <mergeCell ref="F44:F45"/>
    <mergeCell ref="G44:G45"/>
    <mergeCell ref="H44:H45"/>
    <mergeCell ref="AB46:AB47"/>
    <mergeCell ref="A92:B92"/>
    <mergeCell ref="AG1:AH1"/>
    <mergeCell ref="C12:I37"/>
    <mergeCell ref="J12:AF37"/>
    <mergeCell ref="AG12:AH12"/>
    <mergeCell ref="AG13:AH13"/>
    <mergeCell ref="AG14:AH14"/>
    <mergeCell ref="AG15:AH15"/>
    <mergeCell ref="AG16:AH16"/>
    <mergeCell ref="AG23:AH23"/>
    <mergeCell ref="AG24:AH24"/>
    <mergeCell ref="AG25:AH25"/>
    <mergeCell ref="AG26:AH26"/>
    <mergeCell ref="O10:AF11"/>
    <mergeCell ref="J10:K11"/>
    <mergeCell ref="L10:N11"/>
    <mergeCell ref="A27:B27"/>
    <mergeCell ref="AG27:AH27"/>
    <mergeCell ref="AG17:AH17"/>
    <mergeCell ref="AG18:AH18"/>
    <mergeCell ref="AG19:AH19"/>
    <mergeCell ref="AG20:AH20"/>
    <mergeCell ref="AG21:AH21"/>
    <mergeCell ref="AG22:AH22"/>
    <mergeCell ref="A31:B31"/>
    <mergeCell ref="AG31:AH31"/>
    <mergeCell ref="A32:B32"/>
    <mergeCell ref="AG32:AH32"/>
    <mergeCell ref="A33:B33"/>
    <mergeCell ref="AG33:AH33"/>
    <mergeCell ref="A28:B28"/>
    <mergeCell ref="AG28:AH28"/>
    <mergeCell ref="A29:B29"/>
    <mergeCell ref="AG29:AH29"/>
    <mergeCell ref="A30:B30"/>
    <mergeCell ref="AG30:AH30"/>
    <mergeCell ref="A37:B37"/>
    <mergeCell ref="AG37:AH37"/>
    <mergeCell ref="AI37:AJ37"/>
    <mergeCell ref="AK37:AL37"/>
    <mergeCell ref="AM37:AN37"/>
    <mergeCell ref="A39:B39"/>
    <mergeCell ref="AG39:AH39"/>
    <mergeCell ref="A34:B34"/>
    <mergeCell ref="AG34:AH34"/>
    <mergeCell ref="A35:B35"/>
    <mergeCell ref="AG35:AH35"/>
    <mergeCell ref="A36:B36"/>
    <mergeCell ref="AG36:AH36"/>
    <mergeCell ref="O40:O41"/>
    <mergeCell ref="S40:S41"/>
    <mergeCell ref="X40:X47"/>
    <mergeCell ref="O42:O43"/>
    <mergeCell ref="S42:S43"/>
    <mergeCell ref="A40:B40"/>
    <mergeCell ref="C40:C47"/>
    <mergeCell ref="D40:D41"/>
    <mergeCell ref="I40:I47"/>
    <mergeCell ref="J40:J41"/>
    <mergeCell ref="K40:K41"/>
    <mergeCell ref="A43:B43"/>
    <mergeCell ref="A44:B44"/>
    <mergeCell ref="D44:D45"/>
    <mergeCell ref="J44:J45"/>
    <mergeCell ref="A45:B45"/>
    <mergeCell ref="P40:P41"/>
    <mergeCell ref="Q40:Q41"/>
    <mergeCell ref="P42:P43"/>
    <mergeCell ref="Q42:Q43"/>
    <mergeCell ref="P44:P45"/>
    <mergeCell ref="Q44:Q45"/>
    <mergeCell ref="P46:P47"/>
    <mergeCell ref="Q46:Q47"/>
    <mergeCell ref="AN40:AN47"/>
    <mergeCell ref="A41:B41"/>
    <mergeCell ref="AG41:AH41"/>
    <mergeCell ref="A42:B42"/>
    <mergeCell ref="D42:D43"/>
    <mergeCell ref="J42:J43"/>
    <mergeCell ref="K42:K43"/>
    <mergeCell ref="L42:L43"/>
    <mergeCell ref="M42:M43"/>
    <mergeCell ref="N42:N43"/>
    <mergeCell ref="AG40:AH40"/>
    <mergeCell ref="AI40:AI47"/>
    <mergeCell ref="AJ40:AJ47"/>
    <mergeCell ref="AK40:AK47"/>
    <mergeCell ref="AL40:AL47"/>
    <mergeCell ref="AM40:AM47"/>
    <mergeCell ref="AG42:AH42"/>
    <mergeCell ref="AG43:AH43"/>
    <mergeCell ref="AG44:AH44"/>
    <mergeCell ref="Y40:Y41"/>
    <mergeCell ref="AA40:AA47"/>
    <mergeCell ref="AB40:AB41"/>
    <mergeCell ref="AD40:AD47"/>
    <mergeCell ref="AE40:AE41"/>
    <mergeCell ref="AG45:AH45"/>
    <mergeCell ref="A46:B46"/>
    <mergeCell ref="D46:D47"/>
    <mergeCell ref="J46:J47"/>
    <mergeCell ref="K46:K47"/>
    <mergeCell ref="L46:L47"/>
    <mergeCell ref="N46:N47"/>
    <mergeCell ref="O46:O47"/>
    <mergeCell ref="S46:S47"/>
    <mergeCell ref="K44:K45"/>
    <mergeCell ref="L44:L45"/>
    <mergeCell ref="M44:M45"/>
    <mergeCell ref="N44:N45"/>
    <mergeCell ref="O44:O45"/>
    <mergeCell ref="S44:S45"/>
    <mergeCell ref="AF40:AF47"/>
    <mergeCell ref="Y44:Y45"/>
    <mergeCell ref="AB44:AB45"/>
    <mergeCell ref="AE44:AE45"/>
    <mergeCell ref="Y46:Y47"/>
    <mergeCell ref="L40:L41"/>
    <mergeCell ref="M40:M41"/>
    <mergeCell ref="N40:N41"/>
    <mergeCell ref="AE46:AE47"/>
    <mergeCell ref="AG46:AH46"/>
    <mergeCell ref="A47:B47"/>
    <mergeCell ref="AG47:AH47"/>
    <mergeCell ref="A48:B48"/>
    <mergeCell ref="C48:C63"/>
    <mergeCell ref="D48:D49"/>
    <mergeCell ref="I48:I63"/>
    <mergeCell ref="J48:J49"/>
    <mergeCell ref="L48:L49"/>
    <mergeCell ref="M48:M49"/>
    <mergeCell ref="N48:N49"/>
    <mergeCell ref="O48:O49"/>
    <mergeCell ref="S48:S49"/>
    <mergeCell ref="S50:S51"/>
    <mergeCell ref="N54:N55"/>
    <mergeCell ref="O54:O55"/>
    <mergeCell ref="S54:S55"/>
    <mergeCell ref="A51:B51"/>
    <mergeCell ref="AG51:AH51"/>
    <mergeCell ref="A52:B52"/>
    <mergeCell ref="D52:D53"/>
    <mergeCell ref="J52:J53"/>
    <mergeCell ref="AB50:AB51"/>
    <mergeCell ref="AE50:AE51"/>
    <mergeCell ref="Y52:Y53"/>
    <mergeCell ref="Y54:Y55"/>
    <mergeCell ref="AB54:AB55"/>
    <mergeCell ref="AE54:AE55"/>
    <mergeCell ref="AN48:AN63"/>
    <mergeCell ref="A49:B49"/>
    <mergeCell ref="AG49:AH49"/>
    <mergeCell ref="A50:B50"/>
    <mergeCell ref="D50:D51"/>
    <mergeCell ref="J50:J51"/>
    <mergeCell ref="L50:L51"/>
    <mergeCell ref="M50:M51"/>
    <mergeCell ref="N50:N51"/>
    <mergeCell ref="O50:O51"/>
    <mergeCell ref="AG48:AH48"/>
    <mergeCell ref="AI48:AI63"/>
    <mergeCell ref="AJ48:AJ63"/>
    <mergeCell ref="AK48:AK63"/>
    <mergeCell ref="AL48:AL63"/>
    <mergeCell ref="AM48:AM63"/>
    <mergeCell ref="AG50:AH50"/>
    <mergeCell ref="Y48:Y49"/>
    <mergeCell ref="AG54:AH54"/>
    <mergeCell ref="A55:B55"/>
    <mergeCell ref="AG55:AH55"/>
    <mergeCell ref="AB52:AB53"/>
    <mergeCell ref="AE52:AE53"/>
    <mergeCell ref="AG52:AH52"/>
    <mergeCell ref="A53:B53"/>
    <mergeCell ref="AG53:AH53"/>
    <mergeCell ref="A54:B54"/>
    <mergeCell ref="D54:D55"/>
    <mergeCell ref="J54:J55"/>
    <mergeCell ref="L54:L55"/>
    <mergeCell ref="M54:M55"/>
    <mergeCell ref="L52:L53"/>
    <mergeCell ref="M52:M53"/>
    <mergeCell ref="N52:N53"/>
    <mergeCell ref="O52:O53"/>
    <mergeCell ref="S52:S53"/>
    <mergeCell ref="AA48:AA63"/>
    <mergeCell ref="AB48:AB49"/>
    <mergeCell ref="AD48:AD63"/>
    <mergeCell ref="AE48:AE49"/>
    <mergeCell ref="AF48:AF63"/>
    <mergeCell ref="Y50:Y51"/>
    <mergeCell ref="O56:O57"/>
    <mergeCell ref="S56:S57"/>
    <mergeCell ref="AB56:AB57"/>
    <mergeCell ref="AE56:AE57"/>
    <mergeCell ref="AG56:AH56"/>
    <mergeCell ref="AG57:AH57"/>
    <mergeCell ref="A56:B56"/>
    <mergeCell ref="D56:D57"/>
    <mergeCell ref="J56:J57"/>
    <mergeCell ref="L56:L57"/>
    <mergeCell ref="M56:M57"/>
    <mergeCell ref="N56:N57"/>
    <mergeCell ref="A57:B57"/>
    <mergeCell ref="AB58:AB59"/>
    <mergeCell ref="AE58:AE59"/>
    <mergeCell ref="AG58:AH58"/>
    <mergeCell ref="AG59:AH59"/>
    <mergeCell ref="A58:B58"/>
    <mergeCell ref="D58:D59"/>
    <mergeCell ref="J58:J59"/>
    <mergeCell ref="L58:L59"/>
    <mergeCell ref="M58:M59"/>
    <mergeCell ref="N58:N59"/>
    <mergeCell ref="A59:B59"/>
    <mergeCell ref="E58:E59"/>
    <mergeCell ref="F58:F59"/>
    <mergeCell ref="G58:G59"/>
    <mergeCell ref="H58:H59"/>
    <mergeCell ref="AE60:AE61"/>
    <mergeCell ref="AG60:AH60"/>
    <mergeCell ref="AG61:AH61"/>
    <mergeCell ref="A60:B60"/>
    <mergeCell ref="D60:D61"/>
    <mergeCell ref="J60:J61"/>
    <mergeCell ref="L60:L61"/>
    <mergeCell ref="M60:M61"/>
    <mergeCell ref="N60:N61"/>
    <mergeCell ref="A61:B61"/>
    <mergeCell ref="E60:E61"/>
    <mergeCell ref="F60:F61"/>
    <mergeCell ref="G60:G61"/>
    <mergeCell ref="H60:H61"/>
    <mergeCell ref="A65:B65"/>
    <mergeCell ref="A66:B66"/>
    <mergeCell ref="D66:D67"/>
    <mergeCell ref="J66:J67"/>
    <mergeCell ref="K66:K67"/>
    <mergeCell ref="O60:O61"/>
    <mergeCell ref="S60:S61"/>
    <mergeCell ref="Y60:Y61"/>
    <mergeCell ref="AB60:AB61"/>
    <mergeCell ref="A67:B67"/>
    <mergeCell ref="S66:S67"/>
    <mergeCell ref="E62:E63"/>
    <mergeCell ref="F62:F63"/>
    <mergeCell ref="G62:G63"/>
    <mergeCell ref="H62:H63"/>
    <mergeCell ref="E64:E65"/>
    <mergeCell ref="F64:F65"/>
    <mergeCell ref="G64:G65"/>
    <mergeCell ref="H64:H65"/>
    <mergeCell ref="E66:E67"/>
    <mergeCell ref="F66:F67"/>
    <mergeCell ref="G66:G67"/>
    <mergeCell ref="H66:H67"/>
    <mergeCell ref="AL64:AL77"/>
    <mergeCell ref="AM64:AM77"/>
    <mergeCell ref="AN64:AN77"/>
    <mergeCell ref="AB64:AB65"/>
    <mergeCell ref="AD64:AD77"/>
    <mergeCell ref="AE64:AE65"/>
    <mergeCell ref="Y68:Y69"/>
    <mergeCell ref="AG65:AH65"/>
    <mergeCell ref="A63:B63"/>
    <mergeCell ref="AG63:AH63"/>
    <mergeCell ref="A64:B64"/>
    <mergeCell ref="C64:C77"/>
    <mergeCell ref="D64:D65"/>
    <mergeCell ref="I64:I77"/>
    <mergeCell ref="J64:J65"/>
    <mergeCell ref="K64:K65"/>
    <mergeCell ref="L64:L65"/>
    <mergeCell ref="Y62:Y63"/>
    <mergeCell ref="AB62:AB63"/>
    <mergeCell ref="AG62:AH62"/>
    <mergeCell ref="S62:S63"/>
    <mergeCell ref="A62:B62"/>
    <mergeCell ref="D62:D63"/>
    <mergeCell ref="J62:J63"/>
    <mergeCell ref="AI64:AI77"/>
    <mergeCell ref="X64:X77"/>
    <mergeCell ref="Y64:Y65"/>
    <mergeCell ref="AA64:AA77"/>
    <mergeCell ref="Y66:Y67"/>
    <mergeCell ref="AE68:AE69"/>
    <mergeCell ref="AG68:AH68"/>
    <mergeCell ref="AJ64:AJ77"/>
    <mergeCell ref="AK64:AK77"/>
    <mergeCell ref="AG74:AH74"/>
    <mergeCell ref="AG73:AH73"/>
    <mergeCell ref="AG75:AH75"/>
    <mergeCell ref="AG67:AH67"/>
    <mergeCell ref="AB66:AB67"/>
    <mergeCell ref="AE66:AE67"/>
    <mergeCell ref="AG66:AH66"/>
    <mergeCell ref="AB68:AB69"/>
    <mergeCell ref="A68:B68"/>
    <mergeCell ref="D68:D69"/>
    <mergeCell ref="J68:J69"/>
    <mergeCell ref="K68:K69"/>
    <mergeCell ref="L68:L69"/>
    <mergeCell ref="N68:N69"/>
    <mergeCell ref="O68:O69"/>
    <mergeCell ref="P66:P67"/>
    <mergeCell ref="Q66:Q67"/>
    <mergeCell ref="A69:B69"/>
    <mergeCell ref="L66:L67"/>
    <mergeCell ref="N66:N67"/>
    <mergeCell ref="O66:O67"/>
    <mergeCell ref="E68:E69"/>
    <mergeCell ref="F68:F69"/>
    <mergeCell ref="G68:G69"/>
    <mergeCell ref="H68:H69"/>
    <mergeCell ref="A75:B75"/>
    <mergeCell ref="A72:B72"/>
    <mergeCell ref="D72:D73"/>
    <mergeCell ref="J72:J73"/>
    <mergeCell ref="K72:K73"/>
    <mergeCell ref="L72:L73"/>
    <mergeCell ref="N72:N73"/>
    <mergeCell ref="O72:O73"/>
    <mergeCell ref="AB74:AB75"/>
    <mergeCell ref="A73:B73"/>
    <mergeCell ref="A74:B74"/>
    <mergeCell ref="D74:D75"/>
    <mergeCell ref="J74:J75"/>
    <mergeCell ref="K74:K75"/>
    <mergeCell ref="P74:P75"/>
    <mergeCell ref="Q74:Q75"/>
    <mergeCell ref="S74:S75"/>
    <mergeCell ref="A71:B71"/>
    <mergeCell ref="AG71:AH71"/>
    <mergeCell ref="A70:B70"/>
    <mergeCell ref="Y72:Y73"/>
    <mergeCell ref="AB72:AB73"/>
    <mergeCell ref="AE72:AE73"/>
    <mergeCell ref="AG72:AH72"/>
    <mergeCell ref="P72:P73"/>
    <mergeCell ref="Q72:Q73"/>
    <mergeCell ref="S72:S73"/>
    <mergeCell ref="D70:D71"/>
    <mergeCell ref="J70:J71"/>
    <mergeCell ref="K70:K71"/>
    <mergeCell ref="L70:L71"/>
    <mergeCell ref="N70:N71"/>
    <mergeCell ref="AF64:AF77"/>
    <mergeCell ref="AG64:AH64"/>
    <mergeCell ref="AG69:AH69"/>
    <mergeCell ref="P68:P69"/>
    <mergeCell ref="Y70:Y71"/>
    <mergeCell ref="AB70:AB71"/>
    <mergeCell ref="AE70:AE71"/>
    <mergeCell ref="AG70:AH70"/>
    <mergeCell ref="AE74:AE75"/>
    <mergeCell ref="A77:B77"/>
    <mergeCell ref="AG77:AH77"/>
    <mergeCell ref="AB76:AB77"/>
    <mergeCell ref="AG76:AH76"/>
    <mergeCell ref="A81:B81"/>
    <mergeCell ref="AG81:AH81"/>
    <mergeCell ref="A82:B83"/>
    <mergeCell ref="C82:C83"/>
    <mergeCell ref="D82:D83"/>
    <mergeCell ref="J82:J83"/>
    <mergeCell ref="K82:K83"/>
    <mergeCell ref="L82:L83"/>
    <mergeCell ref="M82:M83"/>
    <mergeCell ref="S80:S81"/>
    <mergeCell ref="AG80:AH80"/>
    <mergeCell ref="AB80:AB81"/>
    <mergeCell ref="Y80:Y81"/>
    <mergeCell ref="A76:B76"/>
    <mergeCell ref="D76:D77"/>
    <mergeCell ref="J76:J77"/>
    <mergeCell ref="K76:K77"/>
    <mergeCell ref="L76:L77"/>
    <mergeCell ref="N76:N77"/>
    <mergeCell ref="O76:O77"/>
    <mergeCell ref="A78:B78"/>
    <mergeCell ref="C78:C81"/>
    <mergeCell ref="D78:D79"/>
    <mergeCell ref="I78:I83"/>
    <mergeCell ref="J78:J79"/>
    <mergeCell ref="K78:K79"/>
    <mergeCell ref="L78:L79"/>
    <mergeCell ref="AP82:AP83"/>
    <mergeCell ref="A79:B79"/>
    <mergeCell ref="AG79:AH79"/>
    <mergeCell ref="A80:B80"/>
    <mergeCell ref="D80:D81"/>
    <mergeCell ref="J80:J81"/>
    <mergeCell ref="K80:K81"/>
    <mergeCell ref="L80:L81"/>
    <mergeCell ref="N80:N81"/>
    <mergeCell ref="O80:O81"/>
    <mergeCell ref="AB78:AB79"/>
    <mergeCell ref="AE78:AE79"/>
    <mergeCell ref="AG78:AH78"/>
    <mergeCell ref="Y78:Y79"/>
    <mergeCell ref="O82:O83"/>
    <mergeCell ref="P82:P83"/>
    <mergeCell ref="Q82:Q83"/>
    <mergeCell ref="AO82:AO83"/>
    <mergeCell ref="AE82:AE83"/>
    <mergeCell ref="AG82:AG83"/>
    <mergeCell ref="AH82:AH83"/>
    <mergeCell ref="AB82:AB83"/>
    <mergeCell ref="AF78:AF83"/>
    <mergeCell ref="AI78:AI83"/>
    <mergeCell ref="AJ78:AJ83"/>
    <mergeCell ref="AK78:AK83"/>
    <mergeCell ref="AL78:AL83"/>
    <mergeCell ref="AM78:AM83"/>
    <mergeCell ref="AN78:AN83"/>
    <mergeCell ref="D86:D87"/>
    <mergeCell ref="J86:J87"/>
    <mergeCell ref="AE84:AE85"/>
    <mergeCell ref="AF84:AF89"/>
    <mergeCell ref="AG84:AH84"/>
    <mergeCell ref="AI84:AI89"/>
    <mergeCell ref="AJ84:AJ89"/>
    <mergeCell ref="AK84:AK89"/>
    <mergeCell ref="AE86:AE87"/>
    <mergeCell ref="AG86:AH86"/>
    <mergeCell ref="X84:X89"/>
    <mergeCell ref="Y84:Y85"/>
    <mergeCell ref="AA84:AA89"/>
    <mergeCell ref="AB84:AB85"/>
    <mergeCell ref="AD84:AD89"/>
    <mergeCell ref="AB86:AB87"/>
    <mergeCell ref="P84:P85"/>
    <mergeCell ref="Q84:Q85"/>
    <mergeCell ref="S86:S87"/>
    <mergeCell ref="E88:E89"/>
    <mergeCell ref="F88:F89"/>
    <mergeCell ref="G88:G89"/>
    <mergeCell ref="H88:H89"/>
    <mergeCell ref="AL84:AL89"/>
    <mergeCell ref="O88:O89"/>
    <mergeCell ref="S88:S89"/>
    <mergeCell ref="Y88:Y89"/>
    <mergeCell ref="AB88:AB89"/>
    <mergeCell ref="AE88:AE89"/>
    <mergeCell ref="AG88:AH88"/>
    <mergeCell ref="AM84:AM89"/>
    <mergeCell ref="AN84:AN89"/>
    <mergeCell ref="AG85:AH85"/>
    <mergeCell ref="A89:B89"/>
    <mergeCell ref="AG89:AH89"/>
    <mergeCell ref="A90:B90"/>
    <mergeCell ref="C84:C89"/>
    <mergeCell ref="D84:D85"/>
    <mergeCell ref="I84:I89"/>
    <mergeCell ref="J84:J85"/>
    <mergeCell ref="K84:K85"/>
    <mergeCell ref="L84:L85"/>
    <mergeCell ref="N84:N85"/>
    <mergeCell ref="O84:O85"/>
    <mergeCell ref="A87:B87"/>
    <mergeCell ref="AG87:AH87"/>
    <mergeCell ref="A88:B88"/>
    <mergeCell ref="D88:D89"/>
    <mergeCell ref="Y86:Y87"/>
    <mergeCell ref="K86:K87"/>
    <mergeCell ref="L86:L87"/>
    <mergeCell ref="N86:N87"/>
    <mergeCell ref="O86:O87"/>
    <mergeCell ref="P86:P87"/>
    <mergeCell ref="Q86:Q87"/>
    <mergeCell ref="A85:B85"/>
    <mergeCell ref="A86:B86"/>
    <mergeCell ref="Q52:Q53"/>
    <mergeCell ref="P48:P49"/>
    <mergeCell ref="Q48:Q49"/>
    <mergeCell ref="S84:S85"/>
    <mergeCell ref="Y82:Y83"/>
    <mergeCell ref="O70:O71"/>
    <mergeCell ref="P70:P71"/>
    <mergeCell ref="Q70:Q71"/>
    <mergeCell ref="S70:S71"/>
    <mergeCell ref="O78:O79"/>
    <mergeCell ref="S78:S79"/>
    <mergeCell ref="R82:R83"/>
    <mergeCell ref="S82:S83"/>
    <mergeCell ref="Y74:Y75"/>
    <mergeCell ref="O74:O75"/>
    <mergeCell ref="Q68:Q69"/>
    <mergeCell ref="S68:S69"/>
    <mergeCell ref="O64:O65"/>
    <mergeCell ref="P64:P65"/>
    <mergeCell ref="Q64:Q65"/>
    <mergeCell ref="S64:S65"/>
    <mergeCell ref="S58:S59"/>
    <mergeCell ref="Y58:Y59"/>
    <mergeCell ref="Y56:Y57"/>
    <mergeCell ref="P54:P55"/>
    <mergeCell ref="Q54:Q55"/>
    <mergeCell ref="L62:L63"/>
    <mergeCell ref="K62:K63"/>
    <mergeCell ref="P88:P89"/>
    <mergeCell ref="Q88:Q89"/>
    <mergeCell ref="J88:J89"/>
    <mergeCell ref="K88:K89"/>
    <mergeCell ref="L88:L89"/>
    <mergeCell ref="N88:N89"/>
    <mergeCell ref="L74:L75"/>
    <mergeCell ref="M62:M63"/>
    <mergeCell ref="N62:N63"/>
    <mergeCell ref="O62:O63"/>
    <mergeCell ref="O58:O59"/>
    <mergeCell ref="M86:M87"/>
    <mergeCell ref="N78:N79"/>
    <mergeCell ref="N74:N75"/>
    <mergeCell ref="N64:N65"/>
    <mergeCell ref="AE42:AE43"/>
    <mergeCell ref="N82:N83"/>
    <mergeCell ref="X48:X63"/>
    <mergeCell ref="X78:X83"/>
    <mergeCell ref="P56:P57"/>
    <mergeCell ref="Q56:Q57"/>
    <mergeCell ref="P58:P59"/>
    <mergeCell ref="Q58:Q59"/>
    <mergeCell ref="P60:P61"/>
    <mergeCell ref="Q60:Q61"/>
    <mergeCell ref="P62:P63"/>
    <mergeCell ref="Q62:Q63"/>
    <mergeCell ref="P76:P77"/>
    <mergeCell ref="Q76:Q77"/>
    <mergeCell ref="P78:P79"/>
    <mergeCell ref="Q78:Q79"/>
    <mergeCell ref="P80:P81"/>
    <mergeCell ref="Q80:Q81"/>
    <mergeCell ref="AE80:AE81"/>
    <mergeCell ref="AE76:AE77"/>
    <mergeCell ref="Y42:Y43"/>
    <mergeCell ref="Y76:Y77"/>
    <mergeCell ref="S76:S77"/>
    <mergeCell ref="AE62:AE63"/>
    <mergeCell ref="A91:B91"/>
    <mergeCell ref="W40:W47"/>
    <mergeCell ref="AA78:AA83"/>
    <mergeCell ref="AD78:AD83"/>
    <mergeCell ref="W48:W63"/>
    <mergeCell ref="W64:W77"/>
    <mergeCell ref="W78:W83"/>
    <mergeCell ref="W84:W89"/>
    <mergeCell ref="Z40:Z47"/>
    <mergeCell ref="Z48:Z63"/>
    <mergeCell ref="Z64:Z77"/>
    <mergeCell ref="Z78:Z83"/>
    <mergeCell ref="Z84:Z89"/>
    <mergeCell ref="AC40:AC47"/>
    <mergeCell ref="AC48:AC63"/>
    <mergeCell ref="AC64:AC77"/>
    <mergeCell ref="AC78:AC83"/>
    <mergeCell ref="AC84:AC89"/>
    <mergeCell ref="AB42:AB43"/>
    <mergeCell ref="M46:M47"/>
    <mergeCell ref="A84:B84"/>
    <mergeCell ref="Q50:Q51"/>
    <mergeCell ref="P52:P53"/>
    <mergeCell ref="P50:P51"/>
  </mergeCells>
  <dataValidations count="4">
    <dataValidation type="list" allowBlank="1" showInputMessage="1" showErrorMessage="1" sqref="E40:E89" xr:uid="{E3529F8D-623C-465B-84A7-8BB0E727EB10}">
      <formula1>$E$93:$E$100</formula1>
    </dataValidation>
    <dataValidation type="list" allowBlank="1" showInputMessage="1" showErrorMessage="1" sqref="F40:F89" xr:uid="{C6672571-3310-463F-A044-5B81960A43C6}">
      <formula1>$F$93:$F$102</formula1>
    </dataValidation>
    <dataValidation type="list" allowBlank="1" showInputMessage="1" showErrorMessage="1" sqref="G40:G89" xr:uid="{7C034547-BB94-4272-9E85-7EDE3CC87271}">
      <formula1>$G$93:$G$99</formula1>
    </dataValidation>
    <dataValidation type="list" allowBlank="1" showInputMessage="1" showErrorMessage="1" sqref="H40:H89" xr:uid="{47C6C5CA-C5F2-4A73-A98D-929827BCD2CA}">
      <formula1>$H$93:$H$111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90" max="16383" man="1"/>
  </rowBreaks>
  <colBreaks count="4" manualBreakCount="4">
    <brk id="7" max="151" man="1"/>
    <brk id="12" max="151" man="1"/>
    <brk id="14" max="151" man="1"/>
    <brk id="40"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69B60-9B0F-4174-8046-278B6D04FB75}">
  <dimension ref="A1:AJ37"/>
  <sheetViews>
    <sheetView showGridLines="0" view="pageBreakPreview" zoomScale="66" zoomScaleNormal="10" zoomScaleSheetLayoutView="66" zoomScalePageLayoutView="48" workbookViewId="0">
      <selection activeCell="E18" sqref="E18:E19"/>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9" width="28.54296875" style="1" customWidth="1"/>
    <col min="10" max="10" width="37.54296875" style="1" customWidth="1"/>
    <col min="11" max="11" width="23.54296875" style="1" customWidth="1"/>
    <col min="12" max="12" width="19.54296875" style="1" customWidth="1"/>
    <col min="13" max="13" width="28.54296875" style="1" customWidth="1"/>
    <col min="14" max="16" width="18.26953125" style="1" customWidth="1"/>
    <col min="17" max="19" width="13.7265625" style="1" hidden="1" customWidth="1"/>
    <col min="20" max="32" width="9.54296875" style="1" hidden="1" customWidth="1"/>
    <col min="33" max="33" width="35.7265625" style="1" hidden="1" customWidth="1"/>
    <col min="34" max="36" width="42.54296875" style="1" hidden="1" customWidth="1"/>
    <col min="37" max="16384" width="12.54296875" style="1"/>
  </cols>
  <sheetData>
    <row r="1" spans="1:36" s="58" customFormat="1" ht="15" customHeight="1" x14ac:dyDescent="0.35">
      <c r="A1" s="338"/>
      <c r="B1" s="339"/>
      <c r="C1" s="340"/>
      <c r="D1" s="284" t="s">
        <v>943</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row>
    <row r="2" spans="1:36"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row>
    <row r="3" spans="1:36" s="58" customFormat="1" ht="60" customHeight="1" thickBot="1" x14ac:dyDescent="0.4">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row>
    <row r="4" spans="1:36" s="58" customFormat="1" ht="60" hidden="1" customHeight="1" x14ac:dyDescent="0.35">
      <c r="A4" s="337" t="s">
        <v>35</v>
      </c>
      <c r="B4" s="8" t="s">
        <v>36</v>
      </c>
      <c r="C4" s="10">
        <v>0.7</v>
      </c>
      <c r="D4" s="10"/>
      <c r="E4" s="10"/>
      <c r="F4" s="9"/>
      <c r="G4" s="337" t="s">
        <v>37</v>
      </c>
      <c r="H4" s="8" t="s">
        <v>36</v>
      </c>
      <c r="I4" s="10">
        <v>0.7</v>
      </c>
      <c r="J4" s="59"/>
      <c r="K4" s="60"/>
      <c r="L4" s="60"/>
      <c r="M4" s="60"/>
      <c r="N4" s="60"/>
      <c r="O4" s="60"/>
      <c r="P4" s="60"/>
      <c r="Q4" s="60"/>
      <c r="R4" s="60"/>
      <c r="S4" s="60"/>
      <c r="T4" s="60"/>
      <c r="U4" s="60"/>
      <c r="V4" s="60"/>
      <c r="W4" s="60"/>
      <c r="X4" s="60"/>
      <c r="Y4" s="60"/>
      <c r="Z4" s="60"/>
      <c r="AA4" s="60"/>
      <c r="AB4" s="60"/>
      <c r="AC4" s="60"/>
      <c r="AD4" s="60"/>
      <c r="AE4" s="60"/>
      <c r="AF4" s="60"/>
      <c r="AG4" s="60"/>
      <c r="AH4" s="60"/>
    </row>
    <row r="5" spans="1:36" s="58" customFormat="1" ht="60" hidden="1" customHeight="1" thickBot="1" x14ac:dyDescent="0.4">
      <c r="A5" s="337"/>
      <c r="B5" s="8" t="s">
        <v>38</v>
      </c>
      <c r="C5" s="11">
        <v>0.9</v>
      </c>
      <c r="D5" s="11"/>
      <c r="E5" s="11"/>
      <c r="F5" s="11">
        <v>1</v>
      </c>
      <c r="G5" s="337"/>
      <c r="H5" s="8" t="s">
        <v>38</v>
      </c>
      <c r="I5" s="11">
        <v>0.95</v>
      </c>
      <c r="J5" s="59"/>
      <c r="K5" s="60"/>
      <c r="L5" s="60"/>
      <c r="M5" s="60"/>
      <c r="N5" s="60"/>
      <c r="O5" s="60"/>
      <c r="P5" s="60"/>
      <c r="Q5" s="60"/>
      <c r="R5" s="60"/>
      <c r="S5" s="60"/>
      <c r="T5" s="60"/>
      <c r="U5" s="60"/>
      <c r="V5" s="60"/>
      <c r="W5" s="60"/>
      <c r="X5" s="60"/>
      <c r="Y5" s="60"/>
      <c r="Z5" s="60"/>
      <c r="AA5" s="60"/>
      <c r="AB5" s="60"/>
      <c r="AC5" s="60"/>
      <c r="AD5" s="60"/>
      <c r="AE5" s="60"/>
      <c r="AF5" s="60"/>
      <c r="AG5" s="60"/>
      <c r="AH5" s="60"/>
    </row>
    <row r="6" spans="1:36" ht="17.5" hidden="1" customHeight="1" x14ac:dyDescent="0.35">
      <c r="A6" s="442" t="s">
        <v>39</v>
      </c>
      <c r="B6" s="442"/>
      <c r="C6" s="407" t="s">
        <v>598</v>
      </c>
      <c r="D6" s="407"/>
      <c r="E6" s="443" t="s">
        <v>41</v>
      </c>
      <c r="F6" s="443"/>
      <c r="G6" s="409" t="e">
        <f>+R15+R17+R19+R21+R23+#REF!</f>
        <v>#REF!</v>
      </c>
      <c r="H6" s="443" t="s">
        <v>42</v>
      </c>
      <c r="I6" s="443"/>
      <c r="J6" s="518" t="e">
        <f>+R14+R16+R18+R20+R22+#REF!</f>
        <v>#REF!</v>
      </c>
      <c r="K6" s="448" t="s">
        <v>43</v>
      </c>
      <c r="L6" s="449"/>
      <c r="M6" s="334">
        <v>0.95</v>
      </c>
      <c r="N6" s="442" t="s">
        <v>44</v>
      </c>
      <c r="O6" s="442"/>
      <c r="P6" s="442"/>
      <c r="Q6" s="285" t="e">
        <f>(SUM(W14,W16,W18,W20,W22,#REF!)/SUM(W15,W17,W19,W21,W23,#REF!))/M6</f>
        <v>#REF!</v>
      </c>
      <c r="R6" s="324"/>
      <c r="S6" s="286"/>
      <c r="T6" s="437" t="s">
        <v>45</v>
      </c>
      <c r="U6" s="454"/>
      <c r="V6" s="454"/>
      <c r="W6" s="455"/>
      <c r="X6" s="285" t="e">
        <f>SUM(Z14,Z16,Z18,Z20,Z22,#REF!)/SUM(Z15,Z17,Z19,Z21,Z23,#REF!)/M6</f>
        <v>#REF!</v>
      </c>
      <c r="Y6" s="324"/>
      <c r="Z6" s="324"/>
      <c r="AA6" s="286"/>
      <c r="AB6" s="437" t="s">
        <v>46</v>
      </c>
      <c r="AC6" s="454"/>
      <c r="AD6" s="454"/>
      <c r="AE6" s="455"/>
      <c r="AF6" s="285" t="e">
        <f>SUM(AC14,AC16,AC18,AC20,AC22,#REF!)/SUM(AC15,AC17,AC19,AC21,AC23,#REF!)/M6</f>
        <v>#REF!</v>
      </c>
      <c r="AG6" s="286"/>
      <c r="AH6" s="437" t="s">
        <v>47</v>
      </c>
      <c r="AI6" s="285" t="e">
        <f>SUM(AF14,AF16,AF18,AF20,AF22,#REF!)/SUM(AF15,AF17,AF19,AF21,AF23,#REF!)/M6</f>
        <v>#REF!</v>
      </c>
    </row>
    <row r="7" spans="1:36" ht="15" hidden="1" customHeight="1" x14ac:dyDescent="0.35">
      <c r="A7" s="442"/>
      <c r="B7" s="442"/>
      <c r="C7" s="407"/>
      <c r="D7" s="407"/>
      <c r="E7" s="443"/>
      <c r="F7" s="443"/>
      <c r="G7" s="410"/>
      <c r="H7" s="443"/>
      <c r="I7" s="443"/>
      <c r="J7" s="519"/>
      <c r="K7" s="450"/>
      <c r="L7" s="451"/>
      <c r="M7" s="335"/>
      <c r="N7" s="442"/>
      <c r="O7" s="442"/>
      <c r="P7" s="442"/>
      <c r="Q7" s="287"/>
      <c r="R7" s="325"/>
      <c r="S7" s="288"/>
      <c r="T7" s="438"/>
      <c r="U7" s="456"/>
      <c r="V7" s="456"/>
      <c r="W7" s="457"/>
      <c r="X7" s="287"/>
      <c r="Y7" s="325"/>
      <c r="Z7" s="325"/>
      <c r="AA7" s="288"/>
      <c r="AB7" s="438"/>
      <c r="AC7" s="456"/>
      <c r="AD7" s="456"/>
      <c r="AE7" s="457"/>
      <c r="AF7" s="287"/>
      <c r="AG7" s="288"/>
      <c r="AH7" s="438"/>
      <c r="AI7" s="287"/>
    </row>
    <row r="8" spans="1:36" ht="25.4" hidden="1" customHeight="1" thickBot="1" x14ac:dyDescent="0.4">
      <c r="A8" s="442"/>
      <c r="B8" s="442"/>
      <c r="C8" s="407"/>
      <c r="D8" s="407"/>
      <c r="E8" s="443"/>
      <c r="F8" s="443"/>
      <c r="G8" s="410"/>
      <c r="H8" s="443"/>
      <c r="I8" s="443"/>
      <c r="J8" s="519"/>
      <c r="K8" s="450"/>
      <c r="L8" s="451"/>
      <c r="M8" s="335"/>
      <c r="N8" s="442"/>
      <c r="O8" s="442"/>
      <c r="P8" s="442"/>
      <c r="Q8" s="287"/>
      <c r="R8" s="325"/>
      <c r="S8" s="288"/>
      <c r="T8" s="438"/>
      <c r="U8" s="456"/>
      <c r="V8" s="456"/>
      <c r="W8" s="457"/>
      <c r="X8" s="287"/>
      <c r="Y8" s="325"/>
      <c r="Z8" s="325"/>
      <c r="AA8" s="288"/>
      <c r="AB8" s="438"/>
      <c r="AC8" s="456"/>
      <c r="AD8" s="456"/>
      <c r="AE8" s="457"/>
      <c r="AF8" s="287"/>
      <c r="AG8" s="288"/>
      <c r="AH8" s="438"/>
      <c r="AI8" s="287"/>
    </row>
    <row r="9" spans="1:36" ht="25.4" hidden="1" customHeight="1" thickBot="1" x14ac:dyDescent="0.4">
      <c r="A9" s="442"/>
      <c r="B9" s="442"/>
      <c r="C9" s="407"/>
      <c r="D9" s="407"/>
      <c r="E9" s="443"/>
      <c r="F9" s="443"/>
      <c r="G9" s="410"/>
      <c r="H9" s="443"/>
      <c r="I9" s="443"/>
      <c r="J9" s="519"/>
      <c r="K9" s="450"/>
      <c r="L9" s="451"/>
      <c r="M9" s="335"/>
      <c r="N9" s="442"/>
      <c r="O9" s="442"/>
      <c r="P9" s="442"/>
      <c r="Q9" s="287"/>
      <c r="R9" s="325"/>
      <c r="S9" s="288"/>
      <c r="T9" s="438"/>
      <c r="U9" s="456"/>
      <c r="V9" s="456"/>
      <c r="W9" s="457"/>
      <c r="X9" s="287"/>
      <c r="Y9" s="325"/>
      <c r="Z9" s="325"/>
      <c r="AA9" s="288"/>
      <c r="AB9" s="438"/>
      <c r="AC9" s="456"/>
      <c r="AD9" s="456"/>
      <c r="AE9" s="457"/>
      <c r="AF9" s="287"/>
      <c r="AG9" s="288"/>
      <c r="AH9" s="438"/>
      <c r="AI9" s="287"/>
    </row>
    <row r="10" spans="1:36" ht="15" hidden="1" customHeight="1" thickBot="1" x14ac:dyDescent="0.4">
      <c r="A10" s="442"/>
      <c r="B10" s="442"/>
      <c r="C10" s="407"/>
      <c r="D10" s="407"/>
      <c r="E10" s="443"/>
      <c r="F10" s="443"/>
      <c r="G10" s="444"/>
      <c r="H10" s="443"/>
      <c r="I10" s="443"/>
      <c r="J10" s="520"/>
      <c r="K10" s="452"/>
      <c r="L10" s="453"/>
      <c r="M10" s="336"/>
      <c r="N10" s="442"/>
      <c r="O10" s="442"/>
      <c r="P10" s="442"/>
      <c r="Q10" s="289"/>
      <c r="R10" s="326"/>
      <c r="S10" s="290"/>
      <c r="T10" s="439"/>
      <c r="U10" s="458"/>
      <c r="V10" s="458"/>
      <c r="W10" s="459"/>
      <c r="X10" s="289"/>
      <c r="Y10" s="326"/>
      <c r="Z10" s="326"/>
      <c r="AA10" s="290"/>
      <c r="AB10" s="439"/>
      <c r="AC10" s="458"/>
      <c r="AD10" s="458"/>
      <c r="AE10" s="459"/>
      <c r="AF10" s="289"/>
      <c r="AG10" s="290"/>
      <c r="AH10" s="439"/>
      <c r="AI10" s="289"/>
    </row>
    <row r="11" spans="1:36" s="12" customFormat="1" ht="40.4" customHeight="1" thickBot="1" x14ac:dyDescent="0.4">
      <c r="A11" s="359" t="s">
        <v>48</v>
      </c>
      <c r="B11" s="359"/>
      <c r="C11" s="359"/>
      <c r="D11" s="359"/>
      <c r="E11" s="359"/>
      <c r="F11" s="360"/>
      <c r="G11" s="361" t="s">
        <v>49</v>
      </c>
      <c r="H11" s="362"/>
      <c r="I11" s="362"/>
      <c r="J11" s="362"/>
      <c r="K11" s="362"/>
      <c r="L11" s="362"/>
      <c r="M11" s="362"/>
      <c r="N11" s="362"/>
      <c r="O11" s="362"/>
      <c r="P11" s="363"/>
      <c r="Q11" s="521" t="s">
        <v>50</v>
      </c>
      <c r="R11" s="522"/>
      <c r="S11" s="522"/>
      <c r="T11" s="522"/>
      <c r="U11" s="522"/>
      <c r="V11" s="522"/>
      <c r="W11" s="522"/>
      <c r="X11" s="522"/>
      <c r="Y11" s="522"/>
      <c r="Z11" s="522"/>
      <c r="AA11" s="522"/>
      <c r="AB11" s="522"/>
      <c r="AC11" s="522"/>
      <c r="AD11" s="522"/>
      <c r="AE11" s="522"/>
      <c r="AF11" s="523"/>
      <c r="AG11" s="521" t="s">
        <v>51</v>
      </c>
      <c r="AH11" s="522"/>
      <c r="AI11" s="522"/>
      <c r="AJ11" s="522"/>
    </row>
    <row r="12" spans="1:36" ht="91.5" customHeight="1" x14ac:dyDescent="0.35">
      <c r="A12" s="364" t="s">
        <v>52</v>
      </c>
      <c r="B12" s="366" t="s">
        <v>53</v>
      </c>
      <c r="C12" s="366" t="s">
        <v>54</v>
      </c>
      <c r="D12" s="366" t="s">
        <v>55</v>
      </c>
      <c r="E12" s="366" t="s">
        <v>56</v>
      </c>
      <c r="F12" s="366" t="s">
        <v>31</v>
      </c>
      <c r="G12" s="366" t="s">
        <v>599</v>
      </c>
      <c r="H12" s="366" t="s">
        <v>600</v>
      </c>
      <c r="I12" s="366" t="s">
        <v>601</v>
      </c>
      <c r="J12" s="366" t="s">
        <v>602</v>
      </c>
      <c r="K12" s="366" t="s">
        <v>603</v>
      </c>
      <c r="L12" s="366" t="s">
        <v>61</v>
      </c>
      <c r="M12" s="366" t="s">
        <v>62</v>
      </c>
      <c r="N12" s="366" t="s">
        <v>63</v>
      </c>
      <c r="O12" s="366" t="s">
        <v>64</v>
      </c>
      <c r="P12" s="366" t="s">
        <v>65</v>
      </c>
      <c r="Q12" s="491" t="s">
        <v>66</v>
      </c>
      <c r="R12" s="492" t="s">
        <v>67</v>
      </c>
      <c r="S12" s="493" t="s">
        <v>68</v>
      </c>
      <c r="T12" s="512" t="s">
        <v>69</v>
      </c>
      <c r="U12" s="510" t="s">
        <v>70</v>
      </c>
      <c r="V12" s="508" t="s">
        <v>71</v>
      </c>
      <c r="W12" s="514" t="s">
        <v>72</v>
      </c>
      <c r="X12" s="516" t="s">
        <v>73</v>
      </c>
      <c r="Y12" s="514" t="s">
        <v>74</v>
      </c>
      <c r="Z12" s="508" t="s">
        <v>74</v>
      </c>
      <c r="AA12" s="510" t="s">
        <v>76</v>
      </c>
      <c r="AB12" s="512" t="s">
        <v>77</v>
      </c>
      <c r="AC12" s="510" t="s">
        <v>78</v>
      </c>
      <c r="AD12" s="508" t="s">
        <v>79</v>
      </c>
      <c r="AE12" s="514" t="s">
        <v>80</v>
      </c>
      <c r="AF12" s="505" t="s">
        <v>81</v>
      </c>
      <c r="AG12" s="507" t="s">
        <v>82</v>
      </c>
      <c r="AH12" s="507" t="s">
        <v>83</v>
      </c>
      <c r="AI12" s="507" t="s">
        <v>84</v>
      </c>
      <c r="AJ12" s="507" t="s">
        <v>85</v>
      </c>
    </row>
    <row r="13" spans="1:36" ht="60" customHeight="1" thickBot="1" x14ac:dyDescent="0.4">
      <c r="A13" s="365"/>
      <c r="B13" s="365"/>
      <c r="C13" s="365"/>
      <c r="D13" s="365"/>
      <c r="E13" s="365"/>
      <c r="F13" s="365"/>
      <c r="G13" s="365"/>
      <c r="H13" s="365"/>
      <c r="I13" s="365"/>
      <c r="J13" s="365"/>
      <c r="K13" s="365"/>
      <c r="L13" s="365"/>
      <c r="M13" s="365"/>
      <c r="N13" s="365"/>
      <c r="O13" s="365"/>
      <c r="P13" s="365"/>
      <c r="Q13" s="491"/>
      <c r="R13" s="492"/>
      <c r="S13" s="493"/>
      <c r="T13" s="513"/>
      <c r="U13" s="511"/>
      <c r="V13" s="509"/>
      <c r="W13" s="515"/>
      <c r="X13" s="517"/>
      <c r="Y13" s="515"/>
      <c r="Z13" s="509"/>
      <c r="AA13" s="511"/>
      <c r="AB13" s="513"/>
      <c r="AC13" s="511"/>
      <c r="AD13" s="509"/>
      <c r="AE13" s="515"/>
      <c r="AF13" s="506"/>
      <c r="AG13" s="507"/>
      <c r="AH13" s="507"/>
      <c r="AI13" s="507"/>
      <c r="AJ13" s="507"/>
    </row>
    <row r="14" spans="1:36" ht="40.4" customHeight="1" thickBot="1" x14ac:dyDescent="0.4">
      <c r="A14" s="278">
        <v>1</v>
      </c>
      <c r="B14" s="278" t="s">
        <v>709</v>
      </c>
      <c r="C14" s="278" t="s">
        <v>710</v>
      </c>
      <c r="D14" s="278" t="s">
        <v>86</v>
      </c>
      <c r="E14" s="278" t="s">
        <v>115</v>
      </c>
      <c r="F14" s="354"/>
      <c r="G14" s="278" t="s">
        <v>944</v>
      </c>
      <c r="H14" s="278" t="s">
        <v>58</v>
      </c>
      <c r="I14" s="278" t="s">
        <v>945</v>
      </c>
      <c r="J14" s="278" t="s">
        <v>946</v>
      </c>
      <c r="K14" s="278" t="s">
        <v>947</v>
      </c>
      <c r="L14" s="278" t="s">
        <v>604</v>
      </c>
      <c r="M14" s="278" t="s">
        <v>605</v>
      </c>
      <c r="N14" s="348" t="s">
        <v>698</v>
      </c>
      <c r="O14" s="351">
        <v>45323</v>
      </c>
      <c r="P14" s="351">
        <v>45688</v>
      </c>
      <c r="Q14" s="62" t="s">
        <v>94</v>
      </c>
      <c r="R14" s="53">
        <f>+(R15*S14)</f>
        <v>0.16666666666666666</v>
      </c>
      <c r="S14" s="68">
        <f t="shared" ref="S14:S23" si="0">SUM(T14:AF14)</f>
        <v>1</v>
      </c>
      <c r="T14" s="43"/>
      <c r="U14" s="43"/>
      <c r="V14" s="43"/>
      <c r="W14" s="43">
        <v>0.24</v>
      </c>
      <c r="X14" s="43"/>
      <c r="Y14" s="43"/>
      <c r="Z14" s="43">
        <v>0.26</v>
      </c>
      <c r="AA14" s="43"/>
      <c r="AB14" s="44"/>
      <c r="AC14" s="44">
        <v>0.25</v>
      </c>
      <c r="AD14" s="44"/>
      <c r="AE14" s="44"/>
      <c r="AF14" s="44">
        <v>0.25</v>
      </c>
      <c r="AG14" s="804" t="s">
        <v>606</v>
      </c>
      <c r="AH14" s="433" t="s">
        <v>607</v>
      </c>
      <c r="AI14" s="494" t="s">
        <v>608</v>
      </c>
      <c r="AJ14" s="494" t="s">
        <v>609</v>
      </c>
    </row>
    <row r="15" spans="1:36" ht="59.9" customHeight="1" thickBot="1" x14ac:dyDescent="0.4">
      <c r="A15" s="279"/>
      <c r="B15" s="279"/>
      <c r="C15" s="279"/>
      <c r="D15" s="279" t="s">
        <v>86</v>
      </c>
      <c r="E15" s="279"/>
      <c r="F15" s="358"/>
      <c r="G15" s="279"/>
      <c r="H15" s="279"/>
      <c r="I15" s="279"/>
      <c r="J15" s="279"/>
      <c r="K15" s="279"/>
      <c r="L15" s="279"/>
      <c r="M15" s="279"/>
      <c r="N15" s="349"/>
      <c r="O15" s="798"/>
      <c r="P15" s="798"/>
      <c r="Q15" s="62" t="s">
        <v>99</v>
      </c>
      <c r="R15" s="52">
        <f>100%/6</f>
        <v>0.16666666666666666</v>
      </c>
      <c r="S15" s="68">
        <f t="shared" si="0"/>
        <v>1</v>
      </c>
      <c r="T15" s="42"/>
      <c r="U15" s="42"/>
      <c r="V15" s="42"/>
      <c r="W15" s="42">
        <v>0.25</v>
      </c>
      <c r="X15" s="42"/>
      <c r="Y15" s="42"/>
      <c r="Z15" s="42">
        <v>0.25</v>
      </c>
      <c r="AA15" s="42"/>
      <c r="AB15" s="42"/>
      <c r="AC15" s="42">
        <v>0.25</v>
      </c>
      <c r="AD15" s="42"/>
      <c r="AE15" s="42"/>
      <c r="AF15" s="42">
        <v>0.25</v>
      </c>
      <c r="AG15" s="375"/>
      <c r="AH15" s="434"/>
      <c r="AI15" s="495"/>
      <c r="AJ15" s="495"/>
    </row>
    <row r="16" spans="1:36" ht="37.4" customHeight="1" thickBot="1" x14ac:dyDescent="0.4">
      <c r="A16" s="278">
        <v>2</v>
      </c>
      <c r="B16" s="278" t="s">
        <v>709</v>
      </c>
      <c r="C16" s="278" t="s">
        <v>710</v>
      </c>
      <c r="D16" s="278" t="s">
        <v>86</v>
      </c>
      <c r="E16" s="278" t="s">
        <v>115</v>
      </c>
      <c r="F16" s="354"/>
      <c r="G16" s="278" t="s">
        <v>948</v>
      </c>
      <c r="H16" s="278" t="s">
        <v>58</v>
      </c>
      <c r="I16" s="278" t="s">
        <v>949</v>
      </c>
      <c r="J16" s="274" t="s">
        <v>950</v>
      </c>
      <c r="K16" s="274" t="s">
        <v>951</v>
      </c>
      <c r="L16" s="278" t="s">
        <v>604</v>
      </c>
      <c r="M16" s="278" t="s">
        <v>605</v>
      </c>
      <c r="N16" s="348" t="s">
        <v>698</v>
      </c>
      <c r="O16" s="351">
        <v>45323</v>
      </c>
      <c r="P16" s="351">
        <v>45688</v>
      </c>
      <c r="Q16" s="62" t="s">
        <v>94</v>
      </c>
      <c r="R16" s="53">
        <f>+(R17*S16)</f>
        <v>0.16666666666666666</v>
      </c>
      <c r="S16" s="68">
        <f t="shared" si="0"/>
        <v>1</v>
      </c>
      <c r="T16" s="43"/>
      <c r="U16" s="43"/>
      <c r="V16" s="43"/>
      <c r="W16" s="43">
        <v>0.25</v>
      </c>
      <c r="X16" s="43"/>
      <c r="Y16" s="43"/>
      <c r="Z16" s="43">
        <v>0.25</v>
      </c>
      <c r="AA16" s="43"/>
      <c r="AB16" s="44"/>
      <c r="AC16" s="44">
        <v>0.25</v>
      </c>
      <c r="AD16" s="44"/>
      <c r="AE16" s="44"/>
      <c r="AF16" s="44">
        <v>0.25</v>
      </c>
      <c r="AG16" s="804" t="s">
        <v>610</v>
      </c>
      <c r="AH16" s="433" t="s">
        <v>611</v>
      </c>
      <c r="AI16" s="494" t="s">
        <v>612</v>
      </c>
      <c r="AJ16" s="494" t="s">
        <v>613</v>
      </c>
    </row>
    <row r="17" spans="1:36" ht="100.5" customHeight="1" thickBot="1" x14ac:dyDescent="0.4">
      <c r="A17" s="353"/>
      <c r="B17" s="279"/>
      <c r="C17" s="279"/>
      <c r="D17" s="279"/>
      <c r="E17" s="279"/>
      <c r="F17" s="355"/>
      <c r="G17" s="279"/>
      <c r="H17" s="279"/>
      <c r="I17" s="279"/>
      <c r="J17" s="274"/>
      <c r="K17" s="274"/>
      <c r="L17" s="279"/>
      <c r="M17" s="279"/>
      <c r="N17" s="349"/>
      <c r="O17" s="798"/>
      <c r="P17" s="798"/>
      <c r="Q17" s="62" t="s">
        <v>99</v>
      </c>
      <c r="R17" s="52">
        <f>100%/6</f>
        <v>0.16666666666666666</v>
      </c>
      <c r="S17" s="68">
        <f t="shared" si="0"/>
        <v>1</v>
      </c>
      <c r="T17" s="42"/>
      <c r="U17" s="42"/>
      <c r="V17" s="42"/>
      <c r="W17" s="42">
        <v>0.25</v>
      </c>
      <c r="X17" s="42"/>
      <c r="Y17" s="42"/>
      <c r="Z17" s="42">
        <v>0.25</v>
      </c>
      <c r="AA17" s="42"/>
      <c r="AB17" s="42"/>
      <c r="AC17" s="42">
        <v>0.25</v>
      </c>
      <c r="AD17" s="42"/>
      <c r="AE17" s="42"/>
      <c r="AF17" s="42">
        <v>0.25</v>
      </c>
      <c r="AG17" s="375"/>
      <c r="AH17" s="434"/>
      <c r="AI17" s="495"/>
      <c r="AJ17" s="495"/>
    </row>
    <row r="18" spans="1:36" ht="37.4" customHeight="1" thickBot="1" x14ac:dyDescent="0.4">
      <c r="A18" s="274">
        <v>3</v>
      </c>
      <c r="B18" s="278" t="s">
        <v>709</v>
      </c>
      <c r="C18" s="278" t="s">
        <v>710</v>
      </c>
      <c r="D18" s="278" t="s">
        <v>86</v>
      </c>
      <c r="E18" s="278" t="s">
        <v>115</v>
      </c>
      <c r="F18" s="57"/>
      <c r="G18" s="278" t="s">
        <v>952</v>
      </c>
      <c r="H18" s="278" t="s">
        <v>58</v>
      </c>
      <c r="I18" s="278" t="s">
        <v>953</v>
      </c>
      <c r="J18" s="278" t="s">
        <v>954</v>
      </c>
      <c r="K18" s="278" t="s">
        <v>955</v>
      </c>
      <c r="L18" s="278" t="s">
        <v>604</v>
      </c>
      <c r="M18" s="278" t="s">
        <v>605</v>
      </c>
      <c r="N18" s="348" t="s">
        <v>698</v>
      </c>
      <c r="O18" s="351">
        <v>45323</v>
      </c>
      <c r="P18" s="351">
        <v>45688</v>
      </c>
      <c r="Q18" s="62" t="s">
        <v>94</v>
      </c>
      <c r="R18" s="53">
        <f>+(R19*S18)</f>
        <v>0.16699999999999998</v>
      </c>
      <c r="S18" s="68">
        <f t="shared" si="0"/>
        <v>1.002</v>
      </c>
      <c r="T18" s="43"/>
      <c r="U18" s="43"/>
      <c r="V18" s="43"/>
      <c r="W18" s="43">
        <v>0.24199999999999999</v>
      </c>
      <c r="X18" s="43"/>
      <c r="Y18" s="43"/>
      <c r="Z18" s="43">
        <v>0.26</v>
      </c>
      <c r="AA18" s="43"/>
      <c r="AB18" s="44"/>
      <c r="AC18" s="44">
        <v>0.25</v>
      </c>
      <c r="AD18" s="44"/>
      <c r="AE18" s="44"/>
      <c r="AF18" s="44">
        <v>0.25</v>
      </c>
      <c r="AG18" s="795" t="s">
        <v>614</v>
      </c>
      <c r="AH18" s="793" t="s">
        <v>615</v>
      </c>
      <c r="AI18" s="794" t="s">
        <v>616</v>
      </c>
      <c r="AJ18" s="794" t="s">
        <v>617</v>
      </c>
    </row>
    <row r="19" spans="1:36" ht="100.5" customHeight="1" thickBot="1" x14ac:dyDescent="0.4">
      <c r="A19" s="274"/>
      <c r="B19" s="279"/>
      <c r="C19" s="279"/>
      <c r="D19" s="279" t="s">
        <v>86</v>
      </c>
      <c r="E19" s="279"/>
      <c r="F19" s="56"/>
      <c r="G19" s="353"/>
      <c r="H19" s="279"/>
      <c r="I19" s="279"/>
      <c r="J19" s="353"/>
      <c r="K19" s="353"/>
      <c r="L19" s="279"/>
      <c r="M19" s="279"/>
      <c r="N19" s="349"/>
      <c r="O19" s="798"/>
      <c r="P19" s="798"/>
      <c r="Q19" s="62" t="s">
        <v>99</v>
      </c>
      <c r="R19" s="52">
        <f>100%/6</f>
        <v>0.16666666666666666</v>
      </c>
      <c r="S19" s="68">
        <f t="shared" si="0"/>
        <v>1</v>
      </c>
      <c r="T19" s="42"/>
      <c r="U19" s="42"/>
      <c r="V19" s="42"/>
      <c r="W19" s="42">
        <v>0.25</v>
      </c>
      <c r="X19" s="42"/>
      <c r="Y19" s="42"/>
      <c r="Z19" s="42">
        <v>0.25</v>
      </c>
      <c r="AA19" s="42"/>
      <c r="AB19" s="42"/>
      <c r="AC19" s="42">
        <v>0.25</v>
      </c>
      <c r="AD19" s="42"/>
      <c r="AE19" s="42"/>
      <c r="AF19" s="42">
        <v>0.25</v>
      </c>
      <c r="AG19" s="796"/>
      <c r="AH19" s="794"/>
      <c r="AI19" s="794"/>
      <c r="AJ19" s="794"/>
    </row>
    <row r="20" spans="1:36" ht="37.4" customHeight="1" thickBot="1" x14ac:dyDescent="0.4">
      <c r="A20" s="274">
        <v>4</v>
      </c>
      <c r="B20" s="278" t="s">
        <v>709</v>
      </c>
      <c r="C20" s="278" t="s">
        <v>705</v>
      </c>
      <c r="D20" s="278" t="s">
        <v>86</v>
      </c>
      <c r="E20" s="278" t="s">
        <v>115</v>
      </c>
      <c r="F20" s="275"/>
      <c r="G20" s="274" t="s">
        <v>956</v>
      </c>
      <c r="H20" s="278" t="s">
        <v>58</v>
      </c>
      <c r="I20" s="278" t="s">
        <v>957</v>
      </c>
      <c r="J20" s="280" t="s">
        <v>958</v>
      </c>
      <c r="K20" s="797" t="s">
        <v>959</v>
      </c>
      <c r="L20" s="278" t="s">
        <v>604</v>
      </c>
      <c r="M20" s="278" t="s">
        <v>605</v>
      </c>
      <c r="N20" s="348" t="s">
        <v>698</v>
      </c>
      <c r="O20" s="351">
        <v>45323</v>
      </c>
      <c r="P20" s="351">
        <v>45688</v>
      </c>
      <c r="Q20" s="62" t="s">
        <v>94</v>
      </c>
      <c r="R20" s="53">
        <f>+(R21*S20)</f>
        <v>0.16666666666666666</v>
      </c>
      <c r="S20" s="68">
        <f t="shared" si="0"/>
        <v>1</v>
      </c>
      <c r="T20" s="61"/>
      <c r="U20" s="61"/>
      <c r="V20" s="61"/>
      <c r="W20" s="43">
        <v>0.25</v>
      </c>
      <c r="X20" s="43"/>
      <c r="Y20" s="43"/>
      <c r="Z20" s="43">
        <v>0.24</v>
      </c>
      <c r="AA20" s="43"/>
      <c r="AB20" s="44"/>
      <c r="AC20" s="44">
        <v>0.25</v>
      </c>
      <c r="AD20" s="44"/>
      <c r="AE20" s="44"/>
      <c r="AF20" s="44">
        <v>0.26</v>
      </c>
      <c r="AG20" s="793" t="s">
        <v>618</v>
      </c>
      <c r="AH20" s="802" t="s">
        <v>619</v>
      </c>
      <c r="AI20" s="802" t="s">
        <v>620</v>
      </c>
      <c r="AJ20" s="802" t="s">
        <v>621</v>
      </c>
    </row>
    <row r="21" spans="1:36" ht="150.65" customHeight="1" thickBot="1" x14ac:dyDescent="0.4">
      <c r="A21" s="274"/>
      <c r="B21" s="279"/>
      <c r="C21" s="279"/>
      <c r="D21" s="279" t="s">
        <v>86</v>
      </c>
      <c r="E21" s="279"/>
      <c r="F21" s="275"/>
      <c r="G21" s="274"/>
      <c r="H21" s="279"/>
      <c r="I21" s="279"/>
      <c r="J21" s="280"/>
      <c r="K21" s="797"/>
      <c r="L21" s="279"/>
      <c r="M21" s="279"/>
      <c r="N21" s="349"/>
      <c r="O21" s="798"/>
      <c r="P21" s="798"/>
      <c r="Q21" s="62" t="s">
        <v>99</v>
      </c>
      <c r="R21" s="52">
        <f>100%/6</f>
        <v>0.16666666666666666</v>
      </c>
      <c r="S21" s="68">
        <f t="shared" si="0"/>
        <v>1</v>
      </c>
      <c r="T21" s="42"/>
      <c r="U21" s="42"/>
      <c r="V21" s="42"/>
      <c r="W21" s="42">
        <v>0.25</v>
      </c>
      <c r="X21" s="42"/>
      <c r="Y21" s="42"/>
      <c r="Z21" s="42">
        <v>0.25</v>
      </c>
      <c r="AA21" s="42"/>
      <c r="AB21" s="42"/>
      <c r="AC21" s="42">
        <v>0.25</v>
      </c>
      <c r="AD21" s="42"/>
      <c r="AE21" s="42"/>
      <c r="AF21" s="42">
        <v>0.25</v>
      </c>
      <c r="AG21" s="801"/>
      <c r="AH21" s="803"/>
      <c r="AI21" s="803"/>
      <c r="AJ21" s="803"/>
    </row>
    <row r="22" spans="1:36" ht="37.4" customHeight="1" thickBot="1" x14ac:dyDescent="0.4">
      <c r="A22" s="278">
        <v>5</v>
      </c>
      <c r="B22" s="278" t="s">
        <v>709</v>
      </c>
      <c r="C22" s="278" t="s">
        <v>705</v>
      </c>
      <c r="D22" s="278" t="s">
        <v>86</v>
      </c>
      <c r="E22" s="278" t="s">
        <v>115</v>
      </c>
      <c r="F22" s="275"/>
      <c r="G22" s="382" t="s">
        <v>960</v>
      </c>
      <c r="H22" s="278" t="s">
        <v>58</v>
      </c>
      <c r="I22" s="278" t="s">
        <v>961</v>
      </c>
      <c r="J22" s="382" t="s">
        <v>962</v>
      </c>
      <c r="K22" s="382" t="s">
        <v>963</v>
      </c>
      <c r="L22" s="278" t="s">
        <v>604</v>
      </c>
      <c r="M22" s="278" t="s">
        <v>605</v>
      </c>
      <c r="N22" s="348" t="s">
        <v>698</v>
      </c>
      <c r="O22" s="351">
        <v>45323</v>
      </c>
      <c r="P22" s="351">
        <v>45688</v>
      </c>
      <c r="Q22" s="62" t="s">
        <v>94</v>
      </c>
      <c r="R22" s="53">
        <f>+(R23*S22)</f>
        <v>0.16666666666666666</v>
      </c>
      <c r="S22" s="68">
        <f t="shared" si="0"/>
        <v>1</v>
      </c>
      <c r="T22" s="45"/>
      <c r="U22" s="45"/>
      <c r="V22" s="45"/>
      <c r="W22" s="43">
        <v>0.45</v>
      </c>
      <c r="X22" s="45"/>
      <c r="Y22" s="45"/>
      <c r="Z22" s="43">
        <v>0.45</v>
      </c>
      <c r="AA22" s="45"/>
      <c r="AB22" s="45"/>
      <c r="AC22" s="45">
        <v>0.1</v>
      </c>
      <c r="AD22" s="45"/>
      <c r="AE22" s="45"/>
      <c r="AF22" s="45"/>
      <c r="AG22" s="374" t="s">
        <v>622</v>
      </c>
      <c r="AH22" s="433" t="s">
        <v>623</v>
      </c>
      <c r="AI22" s="494" t="s">
        <v>624</v>
      </c>
      <c r="AJ22" s="494" t="s">
        <v>625</v>
      </c>
    </row>
    <row r="23" spans="1:36" ht="84.65" customHeight="1" x14ac:dyDescent="0.35">
      <c r="A23" s="279"/>
      <c r="B23" s="279"/>
      <c r="C23" s="279"/>
      <c r="D23" s="279" t="s">
        <v>86</v>
      </c>
      <c r="E23" s="279"/>
      <c r="F23" s="275"/>
      <c r="G23" s="384"/>
      <c r="H23" s="279"/>
      <c r="I23" s="279"/>
      <c r="J23" s="384"/>
      <c r="K23" s="384"/>
      <c r="L23" s="279"/>
      <c r="M23" s="279"/>
      <c r="N23" s="349"/>
      <c r="O23" s="798"/>
      <c r="P23" s="798"/>
      <c r="Q23" s="62" t="s">
        <v>99</v>
      </c>
      <c r="R23" s="52">
        <f>100%/6</f>
        <v>0.16666666666666666</v>
      </c>
      <c r="S23" s="68">
        <f t="shared" si="0"/>
        <v>1</v>
      </c>
      <c r="T23" s="42"/>
      <c r="U23" s="42"/>
      <c r="V23" s="42"/>
      <c r="W23" s="42">
        <v>0.45</v>
      </c>
      <c r="X23" s="42"/>
      <c r="Y23" s="42"/>
      <c r="Z23" s="42">
        <v>0.45</v>
      </c>
      <c r="AA23" s="42"/>
      <c r="AB23" s="42"/>
      <c r="AC23" s="42">
        <v>0.1</v>
      </c>
      <c r="AD23" s="42"/>
      <c r="AE23" s="42"/>
      <c r="AF23" s="42"/>
      <c r="AG23" s="375"/>
      <c r="AH23" s="434"/>
      <c r="AI23" s="495"/>
      <c r="AJ23" s="495"/>
    </row>
    <row r="24" spans="1:36" s="13" customFormat="1" ht="14.15" hidden="1" customHeight="1" thickBot="1" x14ac:dyDescent="0.4">
      <c r="A24" s="278">
        <v>7</v>
      </c>
      <c r="B24" s="799" t="s">
        <v>167</v>
      </c>
      <c r="C24" s="799" t="s">
        <v>109</v>
      </c>
      <c r="D24" s="799" t="s">
        <v>300</v>
      </c>
      <c r="E24" s="799" t="s">
        <v>115</v>
      </c>
      <c r="H24" s="71"/>
      <c r="I24" s="20" t="s">
        <v>143</v>
      </c>
      <c r="J24" s="19"/>
      <c r="K24" s="35"/>
      <c r="L24" s="35"/>
      <c r="M24" s="35"/>
      <c r="N24" s="35"/>
      <c r="O24" s="35"/>
      <c r="P24" s="35"/>
      <c r="Q24" s="35"/>
      <c r="R24" s="38"/>
      <c r="S24" s="35"/>
      <c r="T24" s="35"/>
      <c r="U24" s="28"/>
      <c r="V24" s="29"/>
      <c r="W24" s="29"/>
      <c r="X24" s="29"/>
      <c r="Y24" s="29"/>
      <c r="Z24" s="29"/>
      <c r="AA24" s="29"/>
      <c r="AB24" s="29"/>
      <c r="AC24" s="29" t="e">
        <f>+#REF!+#REF!</f>
        <v>#REF!</v>
      </c>
      <c r="AD24" s="40"/>
      <c r="AE24" s="41"/>
      <c r="AF24" s="64"/>
    </row>
    <row r="25" spans="1:36" ht="14.15" hidden="1" customHeight="1" x14ac:dyDescent="0.35">
      <c r="A25" s="279"/>
      <c r="B25" s="800"/>
      <c r="C25" s="800"/>
      <c r="D25" s="800"/>
      <c r="E25" s="800"/>
      <c r="H25" s="24"/>
      <c r="I25" s="372" t="s">
        <v>144</v>
      </c>
      <c r="J25" s="372"/>
      <c r="K25" s="46"/>
      <c r="L25" s="46"/>
      <c r="M25" s="46"/>
      <c r="N25" s="46"/>
      <c r="O25" s="46"/>
      <c r="P25" s="46" t="e">
        <f>+#REF!/#REF!</f>
        <v>#REF!</v>
      </c>
      <c r="Q25" s="47" t="e">
        <f>+(#REF!+#REF!+#REF!+#REF!+#REF!+#REF!+#REF!+#REF!)/(#REF!+#REF!+#REF!+#REF!+#REF!+#REF!+#REF!+#REF!)</f>
        <v>#REF!</v>
      </c>
      <c r="R25" s="48" t="e">
        <f>+(#REF!+#REF!+#REF!+#REF!+#REF!+#REF!+#REF!+#REF!+#REF!)/(#REF!+#REF!+#REF!+#REF!+#REF!+#REF!+#REF!+#REF!+#REF!)</f>
        <v>#REF!</v>
      </c>
      <c r="S25" s="46" t="e">
        <f>+(#REF!+#REF!+#REF!+#REF!+#REF!+#REF!+#REF!+#REF!+#REF!+#REF!)/(#REF!+#REF!+#REF!+#REF!+#REF!+#REF!+#REF!+#REF!+#REF!+#REF!)</f>
        <v>#REF!</v>
      </c>
      <c r="T25" s="46" t="e">
        <f>+(#REF!+#REF!+#REF!+#REF!+#REF!+#REF!+#REF!+#REF!+#REF!+#REF!+#REF!)/(#REF!+#REF!+#REF!+#REF!+#REF!+#REF!+#REF!+#REF!+#REF!+#REF!+#REF!)</f>
        <v>#REF!</v>
      </c>
      <c r="U25" s="47" t="e">
        <f>+(#REF!+#REF!+#REF!+#REF!+#REF!+#REF!+#REF!+#REF!+#REF!+#REF!+#REF!+#REF!)/(#REF!+#REF!+#REF!+#REF!+#REF!+#REF!+#REF!+#REF!+#REF!+#REF!+#REF!+#REF!)</f>
        <v>#REF!</v>
      </c>
      <c r="V25" s="46" t="e">
        <f>+(#REF!+#REF!+#REF!+#REF!+#REF!+#REF!+#REF!+#REF!+#REF!+#REF!+#REF!+#REF!+#REF!)/(#REF!+#REF!+#REF!+#REF!+#REF!+#REF!+#REF!+#REF!+#REF!+#REF!+#REF!+#REF!+#REF!)</f>
        <v>#REF!</v>
      </c>
      <c r="W25" s="46" t="e">
        <f>+(#REF!+#REF!+#REF!+#REF!+#REF!+#REF!+#REF!+#REF!+#REF!+#REF!+#REF!+#REF!+#REF!+#REF!)/(#REF!+#REF!+#REF!+#REF!+#REF!+#REF!+#REF!+#REF!+#REF!+#REF!+#REF!+#REF!+#REF!+#REF!)</f>
        <v>#REF!</v>
      </c>
      <c r="X25" s="46" t="e">
        <f>+(#REF!+#REF!+#REF!+#REF!+#REF!+#REF!+#REF!+#REF!+#REF!+#REF!+#REF!+#REF!+#REF!+#REF!+#REF!)/(#REF!+#REF!+#REF!+#REF!+#REF!+#REF!+#REF!+#REF!+#REF!+#REF!+#REF!+#REF!+#REF!+#REF!+#REF!)</f>
        <v>#REF!</v>
      </c>
      <c r="Y25" s="47" t="e">
        <f>+(#REF!+#REF!+#REF!+#REF!+#REF!+#REF!+#REF!+#REF!+#REF!+#REF!+#REF!+#REF!+#REF!+#REF!+#REF!+#REF!)/(#REF!+#REF!+#REF!+#REF!+#REF!+#REF!+#REF!+#REF!+#REF!+#REF!+#REF!+#REF!+#REF!+#REF!+#REF!+#REF!)</f>
        <v>#REF!</v>
      </c>
      <c r="Z25" s="46" t="e">
        <f>+(#REF!+#REF!+#REF!+#REF!+#REF!+#REF!+#REF!+#REF!+#REF!+#REF!+#REF!+#REF!+#REF!+#REF!+#REF!+#REF!+#REF!)/(#REF!+#REF!+#REF!+#REF!+#REF!+#REF!+#REF!+#REF!+#REF!+#REF!+#REF!+#REF!+#REF!+#REF!+#REF!+#REF!+#REF!)</f>
        <v>#REF!</v>
      </c>
      <c r="AA25" s="46" t="e">
        <f>+(#REF!+#REF!+#REF!+#REF!+#REF!+#REF!+#REF!+#REF!+#REF!+#REF!+#REF!+#REF!+#REF!+#REF!+#REF!+#REF!+#REF!+#REF!)/(#REF!+#REF!+#REF!+#REF!+#REF!+#REF!+#REF!+#REF!+#REF!+#REF!+#REF!+#REF!+#REF!+#REF!+#REF!+#REF!+#REF!+#REF!)</f>
        <v>#REF!</v>
      </c>
      <c r="AB25" s="46" t="e">
        <f>+(#REF!+#REF!+#REF!+#REF!+#REF!+#REF!+#REF!+#REF!+#REF!+#REF!+#REF!+#REF!+#REF!+#REF!+#REF!+#REF!+#REF!+#REF!+#REF!)/(#REF!+#REF!+#REF!+#REF!+#REF!+#REF!+#REF!+#REF!+#REF!+#REF!+#REF!+#REF!+#REF!+#REF!+#REF!+#REF!+#REF!+#REF!+#REF!)</f>
        <v>#REF!</v>
      </c>
      <c r="AC25" s="47" t="e">
        <f>+(#REF!+#REF!+#REF!+#REF!+#REF!+#REF!+#REF!+#REF!+#REF!+#REF!+#REF!+#REF!+#REF!+#REF!+#REF!+#REF!+#REF!+#REF!+#REF!+#REF!)/(#REF!+#REF!+#REF!+#REF!+#REF!+#REF!+#REF!+#REF!+#REF!+#REF!+#REF!+#REF!+#REF!+#REF!+#REF!+#REF!+#REF!+#REF!+#REF!+#REF!)</f>
        <v>#REF!</v>
      </c>
      <c r="AD25" s="48" t="e">
        <f>+(#REF!+#REF!+#REF!+#REF!+#REF!+#REF!+#REF!+#REF!+#REF!+#REF!+#REF!+#REF!+#REF!+#REF!+#REF!+#REF!+#REF!+#REF!+#REF!+#REF!+#REF!)/(#REF!+#REF!+#REF!+#REF!+#REF!+#REF!+#REF!+#REF!+#REF!+#REF!+#REF!+#REF!+#REF!+#REF!+#REF!+#REF!+#REF!+#REF!+#REF!+#REF!+#REF!)</f>
        <v>#REF!</v>
      </c>
      <c r="AE25" s="46" t="e">
        <f>+(#REF!+#REF!+#REF!+#REF!+#REF!+#REF!+#REF!+#REF!+#REF!+#REF!+#REF!+#REF!+#REF!+#REF!+#REF!+#REF!+#REF!+#REF!+#REF!+#REF!+#REF!+#REF!)/(#REF!+#REF!+#REF!+#REF!+#REF!+#REF!+#REF!+#REF!+#REF!+#REF!+#REF!+#REF!+#REF!+#REF!+#REF!+#REF!+#REF!+#REF!+#REF!+#REF!+#REF!+#REF!)</f>
        <v>#REF!</v>
      </c>
      <c r="AF25" s="65"/>
    </row>
    <row r="26" spans="1:36" ht="14.15" hidden="1" customHeight="1" x14ac:dyDescent="0.35">
      <c r="I26" s="373" t="s">
        <v>145</v>
      </c>
      <c r="J26" s="373"/>
      <c r="L26" s="47"/>
      <c r="M26" s="47"/>
      <c r="N26" s="47"/>
      <c r="O26" s="47"/>
      <c r="P26" s="47" t="e">
        <f>+#REF!/#REF!</f>
        <v>#REF!</v>
      </c>
      <c r="Q26" s="47" t="e">
        <f>+(#REF!+#REF!+#REF!+#REF!+#REF!+#REF!+#REF!+#REF!)/#REF!</f>
        <v>#REF!</v>
      </c>
      <c r="R26" s="49" t="e">
        <f>+(#REF!+#REF!+#REF!+#REF!+#REF!+#REF!+#REF!+#REF!+#REF!)/#REF!</f>
        <v>#REF!</v>
      </c>
      <c r="S26" s="47" t="e">
        <f>+(#REF!+#REF!+#REF!+#REF!+#REF!+#REF!+#REF!+#REF!+#REF!+#REF!)/#REF!</f>
        <v>#REF!</v>
      </c>
      <c r="T26" s="47" t="e">
        <f>+(#REF!+#REF!+#REF!+#REF!+#REF!+#REF!+#REF!+#REF!+#REF!+#REF!+#REF!)/#REF!</f>
        <v>#REF!</v>
      </c>
      <c r="U26" s="47" t="e">
        <f>+(#REF!+#REF!+#REF!+#REF!+#REF!+#REF!+#REF!+#REF!+#REF!+#REF!+#REF!+#REF!)/#REF!</f>
        <v>#REF!</v>
      </c>
      <c r="V26" s="47" t="e">
        <f>+(#REF!+#REF!+#REF!+#REF!+#REF!+#REF!+#REF!+#REF!+#REF!+#REF!+#REF!+#REF!+#REF!)/#REF!</f>
        <v>#REF!</v>
      </c>
      <c r="W26" s="47" t="e">
        <f>+(#REF!+#REF!+#REF!+#REF!+#REF!+#REF!+#REF!+#REF!+#REF!+#REF!+#REF!+#REF!+#REF!+#REF!)/#REF!</f>
        <v>#REF!</v>
      </c>
      <c r="X26" s="47" t="e">
        <f>+(#REF!+#REF!+#REF!+#REF!+#REF!+#REF!+#REF!+#REF!+#REF!+#REF!+#REF!+#REF!+#REF!+#REF!+#REF!)/#REF!</f>
        <v>#REF!</v>
      </c>
      <c r="Y26" s="47" t="e">
        <f>+(#REF!+#REF!+#REF!+#REF!+#REF!+#REF!+#REF!+#REF!+#REF!+#REF!+#REF!+#REF!+#REF!+#REF!+#REF!+#REF!)/#REF!</f>
        <v>#REF!</v>
      </c>
      <c r="Z26" s="47" t="e">
        <f>+(#REF!+#REF!+#REF!+#REF!+#REF!+#REF!+#REF!+#REF!+#REF!+#REF!+#REF!+#REF!+#REF!+#REF!+#REF!+#REF!+#REF!)/#REF!</f>
        <v>#REF!</v>
      </c>
      <c r="AA26" s="47" t="e">
        <f>+(#REF!+#REF!+#REF!+#REF!+#REF!+#REF!+#REF!+#REF!+#REF!+#REF!+#REF!+#REF!+#REF!+#REF!+#REF!+#REF!+#REF!+#REF!)/#REF!</f>
        <v>#REF!</v>
      </c>
      <c r="AB26" s="47" t="e">
        <f>+(#REF!+#REF!+#REF!+#REF!+#REF!+#REF!+#REF!+#REF!+#REF!+#REF!+#REF!+#REF!+#REF!+#REF!+#REF!+#REF!+#REF!+#REF!+#REF!)/#REF!</f>
        <v>#REF!</v>
      </c>
      <c r="AC26" s="47" t="e">
        <f>+(#REF!+#REF!+#REF!+#REF!+#REF!+#REF!+#REF!+#REF!+#REF!+#REF!+#REF!+#REF!+#REF!+#REF!+#REF!+#REF!+#REF!+#REF!+#REF!+#REF!)/#REF!</f>
        <v>#REF!</v>
      </c>
      <c r="AD26" s="49" t="e">
        <f>+(#REF!+#REF!+#REF!+#REF!+#REF!+#REF!+#REF!+#REF!+#REF!+#REF!+#REF!+#REF!+#REF!+#REF!+#REF!+#REF!+#REF!+#REF!+#REF!+#REF!+#REF!)/#REF!</f>
        <v>#REF!</v>
      </c>
      <c r="AE26" s="47" t="e">
        <f>+(#REF!+#REF!+#REF!+#REF!+#REF!+#REF!+#REF!+#REF!+#REF!+#REF!+#REF!+#REF!+#REF!+#REF!+#REF!+#REF!+#REF!+#REF!+#REF!+#REF!+#REF!+#REF!)/#REF!</f>
        <v>#REF!</v>
      </c>
      <c r="AF26" s="66"/>
    </row>
    <row r="27" spans="1:36" ht="14.15" hidden="1" customHeight="1" x14ac:dyDescent="0.35">
      <c r="I27" s="372" t="s">
        <v>146</v>
      </c>
      <c r="J27" s="372"/>
      <c r="K27" s="50"/>
      <c r="L27" s="50"/>
      <c r="M27" s="50"/>
      <c r="N27" s="50"/>
      <c r="O27" s="50"/>
      <c r="P27" s="50"/>
      <c r="Q27" s="47" t="e">
        <f>+#REF!/#REF!</f>
        <v>#REF!</v>
      </c>
      <c r="R27" s="51"/>
      <c r="S27" s="50"/>
      <c r="T27" s="50"/>
      <c r="U27" s="47" t="e">
        <f>+#REF!/#REF!</f>
        <v>#REF!</v>
      </c>
      <c r="V27" s="50"/>
      <c r="W27" s="50"/>
      <c r="X27" s="50"/>
      <c r="Y27" s="47" t="e">
        <f>+#REF!/#REF!</f>
        <v>#REF!</v>
      </c>
      <c r="Z27" s="50"/>
      <c r="AA27" s="50"/>
      <c r="AB27" s="50"/>
      <c r="AC27" s="47" t="e">
        <f>+#REF!/#REF!</f>
        <v>#REF!</v>
      </c>
      <c r="AD27" s="51"/>
      <c r="AE27" s="50"/>
      <c r="AF27" s="67"/>
    </row>
    <row r="28" spans="1:36" ht="5.15" hidden="1" customHeight="1" x14ac:dyDescent="0.35">
      <c r="I28" s="373" t="s">
        <v>147</v>
      </c>
      <c r="J28" s="373"/>
      <c r="K28" s="50"/>
      <c r="L28" s="50"/>
      <c r="M28" s="50"/>
      <c r="N28" s="50"/>
      <c r="O28" s="50"/>
      <c r="P28" s="50"/>
      <c r="Q28" s="47" t="e">
        <f>+(#REF!+#REF!)/#REF!</f>
        <v>#REF!</v>
      </c>
      <c r="R28" s="51"/>
      <c r="S28" s="50"/>
      <c r="T28" s="50"/>
      <c r="U28" s="47" t="e">
        <f>+(#REF!+#REF!+#REF!)/#REF!</f>
        <v>#REF!</v>
      </c>
      <c r="V28" s="50"/>
      <c r="W28" s="50"/>
      <c r="X28" s="50"/>
      <c r="Y28" s="47" t="e">
        <f>+(#REF!+#REF!+#REF!+#REF!)/#REF!</f>
        <v>#REF!</v>
      </c>
      <c r="Z28" s="50"/>
      <c r="AA28" s="50"/>
      <c r="AB28" s="50"/>
      <c r="AC28" s="47" t="e">
        <f>+(#REF!+#REF!+#REF!+#REF!+#REF!)/#REF!</f>
        <v>#REF!</v>
      </c>
      <c r="AD28" s="51"/>
      <c r="AE28" s="50"/>
      <c r="AF28" s="67"/>
    </row>
    <row r="29" spans="1:36" ht="14.15" hidden="1" customHeight="1" x14ac:dyDescent="0.35">
      <c r="I29" s="372" t="s">
        <v>148</v>
      </c>
      <c r="J29" s="372"/>
      <c r="K29" s="50"/>
      <c r="L29" s="50"/>
      <c r="M29" s="50"/>
      <c r="N29" s="50"/>
      <c r="O29" s="50"/>
      <c r="P29" s="50"/>
      <c r="Q29" s="47" t="e">
        <f>+(#REF!+#REF!)/(#REF!+#REF!)</f>
        <v>#REF!</v>
      </c>
      <c r="R29" s="51"/>
      <c r="S29" s="50"/>
      <c r="T29" s="50"/>
      <c r="U29" s="50"/>
      <c r="V29" s="50"/>
      <c r="W29" s="50"/>
      <c r="X29" s="50"/>
      <c r="Y29" s="50"/>
      <c r="Z29" s="50"/>
      <c r="AA29" s="50"/>
      <c r="AB29" s="50"/>
      <c r="AC29" s="47" t="e">
        <f>+(#REF!+#REF!+#REF!+#REF!+#REF!)/(#REF!+#REF!+#REF!+#REF!+#REF!)</f>
        <v>#REF!</v>
      </c>
      <c r="AD29" s="51"/>
      <c r="AE29" s="50"/>
      <c r="AF29" s="67"/>
    </row>
    <row r="30" spans="1:36" ht="14.15" hidden="1" customHeight="1" x14ac:dyDescent="0.35">
      <c r="I30" s="372" t="s">
        <v>149</v>
      </c>
      <c r="J30" s="372"/>
      <c r="K30" s="50"/>
      <c r="L30" s="50"/>
      <c r="M30" s="50"/>
      <c r="N30" s="50"/>
      <c r="O30" s="50"/>
      <c r="P30" s="50"/>
      <c r="Q30" s="47" t="e">
        <f>+(#REF!+#REF!)/#REF!</f>
        <v>#REF!</v>
      </c>
      <c r="R30" s="51"/>
      <c r="S30" s="50"/>
      <c r="T30" s="50"/>
      <c r="U30" s="50"/>
      <c r="V30" s="50"/>
      <c r="W30" s="50"/>
      <c r="X30" s="50"/>
      <c r="Y30" s="50"/>
      <c r="Z30" s="50"/>
      <c r="AA30" s="50"/>
      <c r="AB30" s="50"/>
      <c r="AC30" s="47" t="e">
        <f>+(+#REF!+#REF!+#REF!+#REF!+#REF!)/#REF!</f>
        <v>#REF!</v>
      </c>
      <c r="AD30" s="51"/>
      <c r="AE30" s="50"/>
      <c r="AF30" s="67"/>
    </row>
    <row r="31" spans="1:36" ht="14.15" hidden="1" customHeight="1" x14ac:dyDescent="0.35"/>
    <row r="32" spans="1:36" ht="14.15" hidden="1" customHeight="1" x14ac:dyDescent="0.35">
      <c r="H32" s="432" t="s">
        <v>150</v>
      </c>
      <c r="I32" s="432"/>
      <c r="J32" s="30" t="e">
        <f>+#REF!</f>
        <v>#REF!</v>
      </c>
      <c r="K32" s="32"/>
      <c r="L32" s="32"/>
      <c r="M32" s="32"/>
      <c r="N32" s="32"/>
      <c r="O32" s="32"/>
      <c r="P32" s="32"/>
    </row>
    <row r="33" spans="8:16" ht="14.15" hidden="1" customHeight="1" thickBot="1" x14ac:dyDescent="0.4">
      <c r="H33" s="432" t="s">
        <v>151</v>
      </c>
      <c r="I33" s="432"/>
      <c r="J33" s="25" t="e">
        <f>+#REF!</f>
        <v>#REF!</v>
      </c>
      <c r="K33" s="32"/>
      <c r="L33" s="32"/>
      <c r="M33" s="32"/>
      <c r="N33" s="32"/>
      <c r="O33" s="32"/>
      <c r="P33" s="32"/>
    </row>
    <row r="34" spans="8:16" ht="35.15" hidden="1" customHeight="1" thickBot="1" x14ac:dyDescent="0.4">
      <c r="H34" s="432" t="s">
        <v>152</v>
      </c>
      <c r="I34" s="432"/>
      <c r="J34" s="31" t="e">
        <f>+J32/J33</f>
        <v>#REF!</v>
      </c>
      <c r="K34" s="32"/>
      <c r="L34" s="32"/>
      <c r="M34" s="32"/>
      <c r="N34" s="32"/>
      <c r="O34" s="32"/>
      <c r="P34" s="32"/>
    </row>
    <row r="35" spans="8:16" ht="15" customHeight="1" x14ac:dyDescent="0.35">
      <c r="K35" s="32"/>
      <c r="L35" s="32"/>
      <c r="M35" s="32"/>
      <c r="N35" s="32"/>
      <c r="O35" s="32"/>
      <c r="P35" s="32"/>
    </row>
    <row r="36" spans="8:16" ht="15" customHeight="1" x14ac:dyDescent="0.35">
      <c r="K36" s="32"/>
      <c r="L36" s="32"/>
      <c r="M36" s="32"/>
      <c r="N36" s="32"/>
      <c r="O36" s="32"/>
      <c r="P36" s="32"/>
    </row>
    <row r="37" spans="8:16" ht="15" customHeight="1" x14ac:dyDescent="0.35">
      <c r="K37" s="32"/>
      <c r="L37" s="32"/>
      <c r="M37" s="32"/>
      <c r="N37" s="32"/>
      <c r="O37" s="32"/>
      <c r="P37" s="32"/>
    </row>
  </sheetData>
  <sheetProtection algorithmName="SHA-512" hashValue="KErx+EUe4fiBj23AmPVkLzh0/HzEKrNJGjIQNc3HscUd18aLVUrF8Leudt0JZSn7lJ/natmoSUFBrMnUSXvhEQ==" saltValue="aXpVsMGTSvXrgO7/DDQw9g==" spinCount="100000" sheet="1" formatCells="0" formatColumns="0" formatRows="0" insertColumns="0" insertRows="0" insertHyperlinks="0" deleteColumns="0" deleteRows="0" sort="0" autoFilter="0" pivotTables="0"/>
  <mergeCells count="173">
    <mergeCell ref="A1:C3"/>
    <mergeCell ref="D1:AJ3"/>
    <mergeCell ref="A4:A5"/>
    <mergeCell ref="G4:G5"/>
    <mergeCell ref="A6:B10"/>
    <mergeCell ref="C6:D10"/>
    <mergeCell ref="E6:F10"/>
    <mergeCell ref="G6:G10"/>
    <mergeCell ref="H6:I10"/>
    <mergeCell ref="J6:J10"/>
    <mergeCell ref="AI6:AI10"/>
    <mergeCell ref="G11:P11"/>
    <mergeCell ref="Q11:AF11"/>
    <mergeCell ref="AG11:AJ11"/>
    <mergeCell ref="K6:L10"/>
    <mergeCell ref="M6:M10"/>
    <mergeCell ref="N6:P10"/>
    <mergeCell ref="Q6:S10"/>
    <mergeCell ref="T6:W10"/>
    <mergeCell ref="X6:AA10"/>
    <mergeCell ref="A12:A13"/>
    <mergeCell ref="B12:B13"/>
    <mergeCell ref="C12:C13"/>
    <mergeCell ref="D12:D13"/>
    <mergeCell ref="E12:E13"/>
    <mergeCell ref="F12:F13"/>
    <mergeCell ref="AB6:AE10"/>
    <mergeCell ref="AF6:AG10"/>
    <mergeCell ref="AH6:AH10"/>
    <mergeCell ref="P12:P13"/>
    <mergeCell ref="Q12:Q13"/>
    <mergeCell ref="R12:R13"/>
    <mergeCell ref="S12:S13"/>
    <mergeCell ref="O12:O13"/>
    <mergeCell ref="G12:G13"/>
    <mergeCell ref="H12:H13"/>
    <mergeCell ref="I12:I13"/>
    <mergeCell ref="J12:J13"/>
    <mergeCell ref="K12:K13"/>
    <mergeCell ref="L12:L13"/>
    <mergeCell ref="AF12:AF13"/>
    <mergeCell ref="AG12:AG13"/>
    <mergeCell ref="AH12:AH13"/>
    <mergeCell ref="A11:F11"/>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M12:M13"/>
    <mergeCell ref="N12:N13"/>
    <mergeCell ref="AI14:AI15"/>
    <mergeCell ref="AJ14:AJ15"/>
    <mergeCell ref="M14:M15"/>
    <mergeCell ref="A16:A17"/>
    <mergeCell ref="B16:B17"/>
    <mergeCell ref="C16:C17"/>
    <mergeCell ref="D16:D17"/>
    <mergeCell ref="E16:E17"/>
    <mergeCell ref="F16:F17"/>
    <mergeCell ref="G16:G17"/>
    <mergeCell ref="H16:H17"/>
    <mergeCell ref="L14:L15"/>
    <mergeCell ref="N14:N15"/>
    <mergeCell ref="P14:P15"/>
    <mergeCell ref="AG14:AG15"/>
    <mergeCell ref="AH14:AH15"/>
    <mergeCell ref="O14:O15"/>
    <mergeCell ref="F14:F15"/>
    <mergeCell ref="G14:G15"/>
    <mergeCell ref="H14:H15"/>
    <mergeCell ref="I14:I15"/>
    <mergeCell ref="J14:J15"/>
    <mergeCell ref="K14:K15"/>
    <mergeCell ref="P16:P17"/>
    <mergeCell ref="AG16:AG17"/>
    <mergeCell ref="AH16:AH17"/>
    <mergeCell ref="AI16:AI17"/>
    <mergeCell ref="AJ16:AJ17"/>
    <mergeCell ref="I16:I17"/>
    <mergeCell ref="J16:J17"/>
    <mergeCell ref="K16:K17"/>
    <mergeCell ref="L16:L17"/>
    <mergeCell ref="M16:M17"/>
    <mergeCell ref="N16:N17"/>
    <mergeCell ref="O16:O17"/>
    <mergeCell ref="M18:M19"/>
    <mergeCell ref="N18:N19"/>
    <mergeCell ref="O18:O19"/>
    <mergeCell ref="G18:G19"/>
    <mergeCell ref="H18:H19"/>
    <mergeCell ref="I18:I19"/>
    <mergeCell ref="J18:J19"/>
    <mergeCell ref="K18:K19"/>
    <mergeCell ref="A18:A19"/>
    <mergeCell ref="B18:B19"/>
    <mergeCell ref="C18:C19"/>
    <mergeCell ref="D18:D19"/>
    <mergeCell ref="E18:E19"/>
    <mergeCell ref="AH22:AH23"/>
    <mergeCell ref="O22:O23"/>
    <mergeCell ref="K22:K23"/>
    <mergeCell ref="H32:I32"/>
    <mergeCell ref="AG20:AG21"/>
    <mergeCell ref="AH20:AH21"/>
    <mergeCell ref="AI20:AI21"/>
    <mergeCell ref="AJ20:AJ21"/>
    <mergeCell ref="L20:L21"/>
    <mergeCell ref="M20:M21"/>
    <mergeCell ref="N20:N21"/>
    <mergeCell ref="P20:P21"/>
    <mergeCell ref="O20:O21"/>
    <mergeCell ref="H33:I33"/>
    <mergeCell ref="H34:I34"/>
    <mergeCell ref="I25:J25"/>
    <mergeCell ref="I26:J26"/>
    <mergeCell ref="I27:J27"/>
    <mergeCell ref="I28:J28"/>
    <mergeCell ref="I29:J29"/>
    <mergeCell ref="I30:J30"/>
    <mergeCell ref="A24:A25"/>
    <mergeCell ref="B24:B25"/>
    <mergeCell ref="C24:C25"/>
    <mergeCell ref="D24:D25"/>
    <mergeCell ref="E24:E25"/>
    <mergeCell ref="AH18:AH19"/>
    <mergeCell ref="AI18:AI19"/>
    <mergeCell ref="AJ18:AJ19"/>
    <mergeCell ref="A22:A23"/>
    <mergeCell ref="B22:B23"/>
    <mergeCell ref="C22:C23"/>
    <mergeCell ref="D22:D23"/>
    <mergeCell ref="E22:E23"/>
    <mergeCell ref="F20:F21"/>
    <mergeCell ref="G20:G21"/>
    <mergeCell ref="H20:H21"/>
    <mergeCell ref="AG18:AG19"/>
    <mergeCell ref="AI22:AI23"/>
    <mergeCell ref="AJ22:AJ23"/>
    <mergeCell ref="I20:I21"/>
    <mergeCell ref="J20:J21"/>
    <mergeCell ref="K20:K21"/>
    <mergeCell ref="P18:P19"/>
    <mergeCell ref="A20:A21"/>
    <mergeCell ref="L22:L23"/>
    <mergeCell ref="M22:M23"/>
    <mergeCell ref="N22:N23"/>
    <mergeCell ref="P22:P23"/>
    <mergeCell ref="AG22:AG23"/>
    <mergeCell ref="B20:B21"/>
    <mergeCell ref="C20:C21"/>
    <mergeCell ref="D20:D21"/>
    <mergeCell ref="E20:E21"/>
    <mergeCell ref="L18:L19"/>
    <mergeCell ref="F22:F23"/>
    <mergeCell ref="G22:G23"/>
    <mergeCell ref="H22:H23"/>
    <mergeCell ref="I22:I23"/>
    <mergeCell ref="J22:J23"/>
  </mergeCells>
  <conditionalFormatting sqref="I4">
    <cfRule type="cellIs" dxfId="50" priority="16" operator="lessThanOrEqual">
      <formula>$C$4</formula>
    </cfRule>
  </conditionalFormatting>
  <conditionalFormatting sqref="J6 S14:S23">
    <cfRule type="cellIs" dxfId="49" priority="17" operator="greaterThanOrEqual">
      <formula>$C$5</formula>
    </cfRule>
    <cfRule type="cellIs" dxfId="48" priority="18" operator="lessThanOrEqual">
      <formula>$C$4</formula>
    </cfRule>
    <cfRule type="cellIs" dxfId="47" priority="19" operator="between">
      <formula>$C$5</formula>
      <formula>$C$4</formula>
    </cfRule>
  </conditionalFormatting>
  <conditionalFormatting sqref="Q6">
    <cfRule type="cellIs" dxfId="46" priority="13" operator="greaterThanOrEqual">
      <formula>$I$5</formula>
    </cfRule>
    <cfRule type="cellIs" dxfId="45" priority="14" operator="lessThanOrEqual">
      <formula>$I$4</formula>
    </cfRule>
    <cfRule type="cellIs" dxfId="44" priority="15" operator="between">
      <formula>$I$5</formula>
      <formula>$I$4</formula>
    </cfRule>
  </conditionalFormatting>
  <conditionalFormatting sqref="U25:U28 Y25:Y28 Q25:Q30 AC25:AC30 K26:P26 R26:T26 V26:X26 Z26:AB26 AD26:AF26 J34">
    <cfRule type="cellIs" dxfId="43" priority="20" operator="greaterThanOrEqual">
      <formula>$D$9</formula>
    </cfRule>
    <cfRule type="cellIs" dxfId="42" priority="21" operator="lessThanOrEqual">
      <formula>$C$6</formula>
    </cfRule>
    <cfRule type="cellIs" dxfId="41" priority="22"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T14:AF19 T21:V23 W20:AF23" xr:uid="{249CB5E0-301F-4A6F-ACEB-2AE759A3540E}">
      <formula1>0</formula1>
      <formula2>1</formula2>
    </dataValidation>
    <dataValidation type="decimal" allowBlank="1" showInputMessage="1" showErrorMessage="1" prompt="campo calculado  - indica el % de avance  que aporta la activadad a todo el proyecto" sqref="R19 R15 R21 R17 R23" xr:uid="{6640CB10-7F3F-4B26-9E45-DAFDF6E0F7A8}">
      <formula1>0</formula1>
      <formula2>1</formula2>
    </dataValidation>
    <dataValidation type="decimal" allowBlank="1" showInputMessage="1" showErrorMessage="1" prompt="valor porcentual de la activida - Indique el peso porcentual de la actividad dentro del proyecto" sqref="R14 R18 R20 R16 R22" xr:uid="{6F41FEC4-B056-4405-B917-4B8D9D3DED88}">
      <formula1>0</formula1>
      <formula2>1</formula2>
    </dataValidation>
    <dataValidation allowBlank="1" showErrorMessage="1" sqref="S14:S23" xr:uid="{DB867728-6281-4C1D-99AE-8633421F4615}"/>
    <dataValidation type="list" allowBlank="1" showInputMessage="1" showErrorMessage="1" sqref="N14:N23" xr:uid="{C427EA64-B851-423E-80D2-2260D36AA11D}">
      <formula1>$L$40:$L$42</formula1>
    </dataValidation>
    <dataValidation type="list" allowBlank="1" showInputMessage="1" showErrorMessage="1" sqref="E14:E23" xr:uid="{CD18A5C9-893A-4C0A-89EF-3871AFBCA409}">
      <formula1>$E$40:$E$58</formula1>
    </dataValidation>
    <dataValidation type="list" allowBlank="1" showInputMessage="1" showErrorMessage="1" sqref="D14:D23" xr:uid="{B11CA34B-2C63-4F7A-9479-43DBB9B6B437}">
      <formula1>$D$40:$D$46</formula1>
    </dataValidation>
    <dataValidation type="list" allowBlank="1" showInputMessage="1" showErrorMessage="1" sqref="C14:C23" xr:uid="{5BCAEBA9-B719-44DA-854A-D8D0BBD3F449}">
      <formula1>$C$40:$C$49</formula1>
    </dataValidation>
    <dataValidation type="list" allowBlank="1" showInputMessage="1" showErrorMessage="1" sqref="B14:B23" xr:uid="{BCBC56E0-D7ED-42BD-92C7-40501020C617}">
      <formula1>$B$40:$B$47</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41"/>
  <sheetViews>
    <sheetView showGridLines="0" view="pageBreakPreview" zoomScale="72" zoomScaleNormal="10" zoomScaleSheetLayoutView="72" zoomScalePageLayoutView="48" workbookViewId="0">
      <selection sqref="A1:C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7" width="28.54296875" style="1" customWidth="1"/>
    <col min="8" max="8" width="54.81640625" style="1" customWidth="1"/>
    <col min="9"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8" customFormat="1" ht="15" customHeight="1" x14ac:dyDescent="0.35">
      <c r="A1" s="338"/>
      <c r="B1" s="339"/>
      <c r="C1" s="340"/>
      <c r="D1" s="284" t="s">
        <v>968</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row>
    <row r="2" spans="1:34"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row>
    <row r="3" spans="1:34" s="58" customFormat="1" ht="60" customHeight="1" thickBot="1" x14ac:dyDescent="0.4">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row>
    <row r="4" spans="1:34" s="58" customFormat="1" ht="60" hidden="1" customHeight="1" thickBot="1" x14ac:dyDescent="0.4">
      <c r="A4" s="337" t="s">
        <v>35</v>
      </c>
      <c r="B4" s="8" t="s">
        <v>36</v>
      </c>
      <c r="C4" s="10">
        <v>0.7</v>
      </c>
      <c r="D4" s="10"/>
      <c r="E4" s="10"/>
      <c r="F4" s="9"/>
      <c r="G4" s="337" t="s">
        <v>37</v>
      </c>
      <c r="H4" s="8" t="s">
        <v>36</v>
      </c>
      <c r="I4" s="10">
        <v>0.7</v>
      </c>
      <c r="J4" s="59"/>
      <c r="K4" s="60"/>
      <c r="L4" s="60"/>
      <c r="M4" s="60"/>
      <c r="N4" s="60"/>
      <c r="O4" s="60"/>
      <c r="P4" s="60"/>
      <c r="Q4" s="60"/>
      <c r="R4" s="60"/>
      <c r="S4" s="60"/>
      <c r="T4" s="60"/>
      <c r="U4" s="60"/>
      <c r="V4" s="60"/>
      <c r="W4" s="60"/>
      <c r="X4" s="60"/>
      <c r="Y4" s="60"/>
      <c r="Z4" s="60"/>
      <c r="AA4" s="60"/>
      <c r="AB4" s="60"/>
      <c r="AC4" s="60"/>
      <c r="AD4" s="60"/>
      <c r="AE4" s="60"/>
      <c r="AF4" s="60"/>
    </row>
    <row r="5" spans="1:34" s="58" customFormat="1" ht="60" hidden="1" customHeight="1" x14ac:dyDescent="0.35">
      <c r="A5" s="337"/>
      <c r="B5" s="8" t="s">
        <v>38</v>
      </c>
      <c r="C5" s="11">
        <v>0.9</v>
      </c>
      <c r="D5" s="11"/>
      <c r="E5" s="11"/>
      <c r="F5" s="11">
        <v>1</v>
      </c>
      <c r="G5" s="337"/>
      <c r="H5" s="8" t="s">
        <v>38</v>
      </c>
      <c r="I5" s="11">
        <v>0.95</v>
      </c>
      <c r="J5" s="59"/>
      <c r="K5" s="60"/>
      <c r="L5" s="60"/>
      <c r="M5" s="60"/>
      <c r="N5" s="60"/>
      <c r="O5" s="60"/>
      <c r="P5" s="60"/>
      <c r="Q5" s="60"/>
      <c r="R5" s="60"/>
      <c r="S5" s="60"/>
      <c r="T5" s="60"/>
      <c r="U5" s="60"/>
      <c r="V5" s="60"/>
      <c r="W5" s="60"/>
      <c r="X5" s="60"/>
      <c r="Y5" s="60"/>
      <c r="Z5" s="60"/>
      <c r="AA5" s="60"/>
      <c r="AB5" s="60"/>
      <c r="AC5" s="60"/>
      <c r="AD5" s="60"/>
      <c r="AE5" s="60"/>
      <c r="AF5" s="60"/>
    </row>
    <row r="6" spans="1:34" ht="20.149999999999999" hidden="1" customHeight="1" x14ac:dyDescent="0.35">
      <c r="A6" s="442" t="s">
        <v>39</v>
      </c>
      <c r="B6" s="442"/>
      <c r="C6" s="407" t="s">
        <v>463</v>
      </c>
      <c r="D6" s="407"/>
      <c r="E6" s="443" t="s">
        <v>41</v>
      </c>
      <c r="F6" s="443"/>
      <c r="G6" s="409">
        <f>+P15+P17+P19</f>
        <v>1</v>
      </c>
      <c r="H6" s="443" t="s">
        <v>42</v>
      </c>
      <c r="I6" s="443"/>
      <c r="J6" s="518">
        <f>+P14+P16+P18</f>
        <v>1</v>
      </c>
      <c r="K6" s="448" t="s">
        <v>43</v>
      </c>
      <c r="L6" s="449"/>
      <c r="M6" s="334">
        <v>0.95</v>
      </c>
      <c r="N6" s="466" t="s">
        <v>626</v>
      </c>
      <c r="O6" s="467"/>
      <c r="P6" s="285">
        <f>(SUM(AD14,AD16,W18:AD19)/SUM(AD15,W16:AD17,AD19))/M6</f>
        <v>1.0526315789473684</v>
      </c>
      <c r="Q6" s="286"/>
      <c r="R6" s="526"/>
      <c r="S6" s="527"/>
      <c r="T6" s="527"/>
      <c r="U6" s="527"/>
      <c r="V6" s="527"/>
      <c r="W6" s="527"/>
      <c r="X6" s="527"/>
      <c r="Y6" s="527"/>
      <c r="Z6" s="527"/>
      <c r="AA6" s="527"/>
      <c r="AB6" s="527"/>
      <c r="AC6" s="527"/>
      <c r="AD6" s="527"/>
      <c r="AE6" s="527"/>
      <c r="AF6" s="527"/>
      <c r="AG6" s="527"/>
      <c r="AH6" s="527"/>
    </row>
    <row r="7" spans="1:34" ht="15" hidden="1" customHeight="1" x14ac:dyDescent="0.35">
      <c r="A7" s="442"/>
      <c r="B7" s="442"/>
      <c r="C7" s="407"/>
      <c r="D7" s="407"/>
      <c r="E7" s="443"/>
      <c r="F7" s="443"/>
      <c r="G7" s="410"/>
      <c r="H7" s="443"/>
      <c r="I7" s="443"/>
      <c r="J7" s="519"/>
      <c r="K7" s="450"/>
      <c r="L7" s="451"/>
      <c r="M7" s="335"/>
      <c r="N7" s="466"/>
      <c r="O7" s="467"/>
      <c r="P7" s="287"/>
      <c r="Q7" s="288"/>
      <c r="R7" s="526"/>
      <c r="S7" s="527"/>
      <c r="T7" s="527"/>
      <c r="U7" s="527"/>
      <c r="V7" s="527"/>
      <c r="W7" s="527"/>
      <c r="X7" s="527"/>
      <c r="Y7" s="527"/>
      <c r="Z7" s="527"/>
      <c r="AA7" s="527"/>
      <c r="AB7" s="527"/>
      <c r="AC7" s="527"/>
      <c r="AD7" s="527"/>
      <c r="AE7" s="527"/>
      <c r="AF7" s="527"/>
      <c r="AG7" s="527"/>
      <c r="AH7" s="527"/>
    </row>
    <row r="8" spans="1:34" ht="25.4" hidden="1" customHeight="1" x14ac:dyDescent="0.35">
      <c r="A8" s="442"/>
      <c r="B8" s="442"/>
      <c r="C8" s="407"/>
      <c r="D8" s="407"/>
      <c r="E8" s="443"/>
      <c r="F8" s="443"/>
      <c r="G8" s="410"/>
      <c r="H8" s="443"/>
      <c r="I8" s="443"/>
      <c r="J8" s="519"/>
      <c r="K8" s="450"/>
      <c r="L8" s="451"/>
      <c r="M8" s="335"/>
      <c r="N8" s="466"/>
      <c r="O8" s="467"/>
      <c r="P8" s="287"/>
      <c r="Q8" s="288"/>
      <c r="R8" s="526"/>
      <c r="S8" s="527"/>
      <c r="T8" s="527"/>
      <c r="U8" s="527"/>
      <c r="V8" s="527"/>
      <c r="W8" s="527"/>
      <c r="X8" s="527"/>
      <c r="Y8" s="527"/>
      <c r="Z8" s="527"/>
      <c r="AA8" s="527"/>
      <c r="AB8" s="527"/>
      <c r="AC8" s="527"/>
      <c r="AD8" s="527"/>
      <c r="AE8" s="527"/>
      <c r="AF8" s="527"/>
      <c r="AG8" s="527"/>
      <c r="AH8" s="527"/>
    </row>
    <row r="9" spans="1:34" ht="25.4" hidden="1" customHeight="1" thickBot="1" x14ac:dyDescent="0.4">
      <c r="A9" s="442"/>
      <c r="B9" s="442"/>
      <c r="C9" s="407"/>
      <c r="D9" s="407"/>
      <c r="E9" s="443"/>
      <c r="F9" s="443"/>
      <c r="G9" s="410"/>
      <c r="H9" s="443"/>
      <c r="I9" s="443"/>
      <c r="J9" s="519"/>
      <c r="K9" s="450"/>
      <c r="L9" s="451"/>
      <c r="M9" s="335"/>
      <c r="N9" s="466"/>
      <c r="O9" s="467"/>
      <c r="P9" s="287"/>
      <c r="Q9" s="288"/>
      <c r="R9" s="526"/>
      <c r="S9" s="527"/>
      <c r="T9" s="527"/>
      <c r="U9" s="527"/>
      <c r="V9" s="527"/>
      <c r="W9" s="527"/>
      <c r="X9" s="527"/>
      <c r="Y9" s="527"/>
      <c r="Z9" s="527"/>
      <c r="AA9" s="527"/>
      <c r="AB9" s="527"/>
      <c r="AC9" s="527"/>
      <c r="AD9" s="527"/>
      <c r="AE9" s="527"/>
      <c r="AF9" s="527"/>
      <c r="AG9" s="527"/>
      <c r="AH9" s="527"/>
    </row>
    <row r="10" spans="1:34" ht="15" hidden="1" customHeight="1" thickBot="1" x14ac:dyDescent="0.4">
      <c r="A10" s="442"/>
      <c r="B10" s="442"/>
      <c r="C10" s="407"/>
      <c r="D10" s="407"/>
      <c r="E10" s="443"/>
      <c r="F10" s="443"/>
      <c r="G10" s="444"/>
      <c r="H10" s="443"/>
      <c r="I10" s="443"/>
      <c r="J10" s="520"/>
      <c r="K10" s="452"/>
      <c r="L10" s="453"/>
      <c r="M10" s="336"/>
      <c r="N10" s="466"/>
      <c r="O10" s="467"/>
      <c r="P10" s="289"/>
      <c r="Q10" s="290"/>
      <c r="R10" s="526"/>
      <c r="S10" s="527"/>
      <c r="T10" s="527"/>
      <c r="U10" s="527"/>
      <c r="V10" s="527"/>
      <c r="W10" s="527"/>
      <c r="X10" s="527"/>
      <c r="Y10" s="527"/>
      <c r="Z10" s="527"/>
      <c r="AA10" s="527"/>
      <c r="AB10" s="527"/>
      <c r="AC10" s="527"/>
      <c r="AD10" s="527"/>
      <c r="AE10" s="527"/>
      <c r="AF10" s="527"/>
      <c r="AG10" s="527"/>
      <c r="AH10" s="527"/>
    </row>
    <row r="11" spans="1:34" s="12" customFormat="1" ht="40.4" customHeight="1" thickBot="1" x14ac:dyDescent="0.4">
      <c r="A11" s="359" t="s">
        <v>48</v>
      </c>
      <c r="B11" s="359"/>
      <c r="C11" s="359"/>
      <c r="D11" s="359"/>
      <c r="E11" s="359"/>
      <c r="F11" s="360"/>
      <c r="G11" s="361" t="s">
        <v>790</v>
      </c>
      <c r="H11" s="362"/>
      <c r="I11" s="362"/>
      <c r="J11" s="362"/>
      <c r="K11" s="362"/>
      <c r="L11" s="362"/>
      <c r="M11" s="362"/>
      <c r="N11" s="362"/>
      <c r="O11" s="521" t="s">
        <v>50</v>
      </c>
      <c r="P11" s="522"/>
      <c r="Q11" s="522"/>
      <c r="R11" s="522"/>
      <c r="S11" s="522"/>
      <c r="T11" s="522"/>
      <c r="U11" s="522"/>
      <c r="V11" s="522"/>
      <c r="W11" s="522"/>
      <c r="X11" s="522"/>
      <c r="Y11" s="522"/>
      <c r="Z11" s="522"/>
      <c r="AA11" s="522"/>
      <c r="AB11" s="522"/>
      <c r="AC11" s="522"/>
      <c r="AD11" s="523"/>
      <c r="AE11" s="521" t="s">
        <v>51</v>
      </c>
      <c r="AF11" s="522"/>
      <c r="AG11" s="522"/>
      <c r="AH11" s="522"/>
    </row>
    <row r="12" spans="1:34" ht="39" customHeight="1" x14ac:dyDescent="0.35">
      <c r="A12" s="807" t="s">
        <v>52</v>
      </c>
      <c r="B12" s="805" t="s">
        <v>53</v>
      </c>
      <c r="C12" s="805" t="s">
        <v>54</v>
      </c>
      <c r="D12" s="805" t="s">
        <v>55</v>
      </c>
      <c r="E12" s="805" t="s">
        <v>56</v>
      </c>
      <c r="F12" s="805" t="s">
        <v>31</v>
      </c>
      <c r="G12" s="805" t="s">
        <v>57</v>
      </c>
      <c r="H12" s="805" t="s">
        <v>171</v>
      </c>
      <c r="I12" s="805" t="s">
        <v>60</v>
      </c>
      <c r="J12" s="805" t="s">
        <v>61</v>
      </c>
      <c r="K12" s="805" t="s">
        <v>62</v>
      </c>
      <c r="L12" s="805" t="s">
        <v>63</v>
      </c>
      <c r="M12" s="805" t="s">
        <v>64</v>
      </c>
      <c r="N12" s="805" t="s">
        <v>65</v>
      </c>
      <c r="O12" s="491" t="s">
        <v>66</v>
      </c>
      <c r="P12" s="492" t="s">
        <v>67</v>
      </c>
      <c r="Q12" s="493" t="s">
        <v>68</v>
      </c>
      <c r="R12" s="512" t="s">
        <v>69</v>
      </c>
      <c r="S12" s="510" t="s">
        <v>70</v>
      </c>
      <c r="T12" s="508" t="s">
        <v>71</v>
      </c>
      <c r="U12" s="514" t="s">
        <v>72</v>
      </c>
      <c r="V12" s="516" t="s">
        <v>73</v>
      </c>
      <c r="W12" s="514" t="s">
        <v>74</v>
      </c>
      <c r="X12" s="508" t="s">
        <v>74</v>
      </c>
      <c r="Y12" s="510" t="s">
        <v>76</v>
      </c>
      <c r="Z12" s="512" t="s">
        <v>77</v>
      </c>
      <c r="AA12" s="510" t="s">
        <v>78</v>
      </c>
      <c r="AB12" s="508" t="s">
        <v>79</v>
      </c>
      <c r="AC12" s="514" t="s">
        <v>80</v>
      </c>
      <c r="AD12" s="505" t="s">
        <v>81</v>
      </c>
      <c r="AE12" s="507" t="s">
        <v>82</v>
      </c>
      <c r="AF12" s="507" t="s">
        <v>83</v>
      </c>
      <c r="AG12" s="507" t="s">
        <v>84</v>
      </c>
      <c r="AH12" s="507" t="s">
        <v>85</v>
      </c>
    </row>
    <row r="13" spans="1:34" ht="60" customHeight="1" thickBot="1" x14ac:dyDescent="0.4">
      <c r="A13" s="806"/>
      <c r="B13" s="806"/>
      <c r="C13" s="806"/>
      <c r="D13" s="806"/>
      <c r="E13" s="806"/>
      <c r="F13" s="806"/>
      <c r="G13" s="806"/>
      <c r="H13" s="806"/>
      <c r="I13" s="806"/>
      <c r="J13" s="806"/>
      <c r="K13" s="806"/>
      <c r="L13" s="806"/>
      <c r="M13" s="806"/>
      <c r="N13" s="806"/>
      <c r="O13" s="491"/>
      <c r="P13" s="492"/>
      <c r="Q13" s="493"/>
      <c r="R13" s="513"/>
      <c r="S13" s="511"/>
      <c r="T13" s="509"/>
      <c r="U13" s="515"/>
      <c r="V13" s="517"/>
      <c r="W13" s="515"/>
      <c r="X13" s="509"/>
      <c r="Y13" s="511"/>
      <c r="Z13" s="513"/>
      <c r="AA13" s="511"/>
      <c r="AB13" s="509"/>
      <c r="AC13" s="515"/>
      <c r="AD13" s="506"/>
      <c r="AE13" s="507"/>
      <c r="AF13" s="507"/>
      <c r="AG13" s="507"/>
      <c r="AH13" s="507"/>
    </row>
    <row r="14" spans="1:34" ht="57.5" customHeight="1" thickBot="1" x14ac:dyDescent="0.4">
      <c r="A14" s="356">
        <v>1</v>
      </c>
      <c r="B14" s="274" t="s">
        <v>693</v>
      </c>
      <c r="C14" s="548" t="s">
        <v>710</v>
      </c>
      <c r="D14" s="278" t="s">
        <v>86</v>
      </c>
      <c r="E14" s="278" t="s">
        <v>627</v>
      </c>
      <c r="F14" s="354" t="s">
        <v>88</v>
      </c>
      <c r="G14" s="278" t="s">
        <v>628</v>
      </c>
      <c r="H14" s="278" t="s">
        <v>969</v>
      </c>
      <c r="I14" s="278" t="s">
        <v>629</v>
      </c>
      <c r="J14" s="348" t="s">
        <v>92</v>
      </c>
      <c r="K14" s="348" t="s">
        <v>92</v>
      </c>
      <c r="L14" s="348" t="s">
        <v>189</v>
      </c>
      <c r="M14" s="351">
        <v>45323</v>
      </c>
      <c r="N14" s="351">
        <v>45595</v>
      </c>
      <c r="O14" s="62" t="s">
        <v>94</v>
      </c>
      <c r="P14" s="53">
        <f>+(P15*Q14)</f>
        <v>0.33333333333333331</v>
      </c>
      <c r="Q14" s="68">
        <f>SUM(R14:AD14)</f>
        <v>1</v>
      </c>
      <c r="R14" s="43"/>
      <c r="S14" s="43"/>
      <c r="T14" s="43"/>
      <c r="U14" s="43"/>
      <c r="V14" s="43"/>
      <c r="W14" s="43"/>
      <c r="X14" s="43"/>
      <c r="Y14" s="43"/>
      <c r="Z14" s="44"/>
      <c r="AA14" s="44"/>
      <c r="AB14" s="44"/>
      <c r="AC14" s="44"/>
      <c r="AD14" s="43">
        <v>1</v>
      </c>
      <c r="AE14" s="374" t="s">
        <v>630</v>
      </c>
      <c r="AF14" s="374" t="s">
        <v>630</v>
      </c>
      <c r="AG14" s="494" t="s">
        <v>631</v>
      </c>
      <c r="AH14" s="494" t="s">
        <v>632</v>
      </c>
    </row>
    <row r="15" spans="1:34" ht="57.5" customHeight="1" thickBot="1" x14ac:dyDescent="0.4">
      <c r="A15" s="357"/>
      <c r="B15" s="274"/>
      <c r="C15" s="548"/>
      <c r="D15" s="279" t="s">
        <v>86</v>
      </c>
      <c r="E15" s="279"/>
      <c r="F15" s="358"/>
      <c r="G15" s="279"/>
      <c r="H15" s="279"/>
      <c r="I15" s="279"/>
      <c r="J15" s="349"/>
      <c r="K15" s="349"/>
      <c r="L15" s="349"/>
      <c r="M15" s="798"/>
      <c r="N15" s="798"/>
      <c r="O15" s="62" t="s">
        <v>99</v>
      </c>
      <c r="P15" s="52">
        <f>100%/3</f>
        <v>0.33333333333333331</v>
      </c>
      <c r="Q15" s="68">
        <f t="shared" ref="Q15:Q19" si="0">SUM(R15:AD15)</f>
        <v>1</v>
      </c>
      <c r="R15" s="42"/>
      <c r="S15" s="42"/>
      <c r="T15" s="42"/>
      <c r="U15" s="42"/>
      <c r="V15" s="42"/>
      <c r="W15" s="42"/>
      <c r="X15" s="42"/>
      <c r="Y15" s="42"/>
      <c r="Z15" s="42"/>
      <c r="AA15" s="42"/>
      <c r="AB15" s="42"/>
      <c r="AC15" s="42"/>
      <c r="AD15" s="42">
        <v>1</v>
      </c>
      <c r="AE15" s="375"/>
      <c r="AF15" s="375"/>
      <c r="AG15" s="495"/>
      <c r="AH15" s="495"/>
    </row>
    <row r="16" spans="1:34" ht="57.5" customHeight="1" thickBot="1" x14ac:dyDescent="0.4">
      <c r="A16" s="278">
        <v>2</v>
      </c>
      <c r="B16" s="274" t="s">
        <v>693</v>
      </c>
      <c r="C16" s="548" t="s">
        <v>710</v>
      </c>
      <c r="D16" s="278" t="s">
        <v>86</v>
      </c>
      <c r="E16" s="278" t="s">
        <v>627</v>
      </c>
      <c r="F16" s="354" t="s">
        <v>88</v>
      </c>
      <c r="G16" s="278" t="s">
        <v>628</v>
      </c>
      <c r="H16" s="278" t="s">
        <v>633</v>
      </c>
      <c r="I16" s="278" t="s">
        <v>634</v>
      </c>
      <c r="J16" s="348" t="s">
        <v>92</v>
      </c>
      <c r="K16" s="348" t="s">
        <v>92</v>
      </c>
      <c r="L16" s="348" t="s">
        <v>189</v>
      </c>
      <c r="M16" s="351">
        <v>45292</v>
      </c>
      <c r="N16" s="351">
        <v>45641</v>
      </c>
      <c r="O16" s="62" t="s">
        <v>94</v>
      </c>
      <c r="P16" s="53">
        <f>+(P17*Q16)</f>
        <v>0.33333333333333331</v>
      </c>
      <c r="Q16" s="68">
        <f t="shared" si="0"/>
        <v>1</v>
      </c>
      <c r="R16" s="43"/>
      <c r="S16" s="43"/>
      <c r="T16" s="43"/>
      <c r="U16" s="43"/>
      <c r="V16" s="43"/>
      <c r="W16" s="43"/>
      <c r="X16" s="43"/>
      <c r="Y16" s="43"/>
      <c r="Z16" s="44"/>
      <c r="AA16" s="44"/>
      <c r="AB16" s="44"/>
      <c r="AC16" s="44"/>
      <c r="AD16" s="44">
        <v>1</v>
      </c>
      <c r="AE16" s="376"/>
      <c r="AF16" s="433" t="s">
        <v>635</v>
      </c>
      <c r="AG16" s="494" t="s">
        <v>636</v>
      </c>
      <c r="AH16" s="494" t="s">
        <v>637</v>
      </c>
    </row>
    <row r="17" spans="1:34" ht="57.5" customHeight="1" thickBot="1" x14ac:dyDescent="0.4">
      <c r="A17" s="279"/>
      <c r="B17" s="274"/>
      <c r="C17" s="548"/>
      <c r="D17" s="279" t="s">
        <v>86</v>
      </c>
      <c r="E17" s="279"/>
      <c r="F17" s="355"/>
      <c r="G17" s="279"/>
      <c r="H17" s="279"/>
      <c r="I17" s="279"/>
      <c r="J17" s="349"/>
      <c r="K17" s="349"/>
      <c r="L17" s="349"/>
      <c r="M17" s="798"/>
      <c r="N17" s="798"/>
      <c r="O17" s="62" t="s">
        <v>99</v>
      </c>
      <c r="P17" s="52">
        <f>100%/3</f>
        <v>0.33333333333333331</v>
      </c>
      <c r="Q17" s="68">
        <f t="shared" si="0"/>
        <v>1</v>
      </c>
      <c r="R17" s="42"/>
      <c r="S17" s="42"/>
      <c r="T17" s="42"/>
      <c r="U17" s="42"/>
      <c r="V17" s="42"/>
      <c r="W17" s="42"/>
      <c r="X17" s="42"/>
      <c r="Y17" s="42"/>
      <c r="Z17" s="42"/>
      <c r="AA17" s="42"/>
      <c r="AB17" s="42"/>
      <c r="AC17" s="42"/>
      <c r="AD17" s="42">
        <v>1</v>
      </c>
      <c r="AE17" s="377"/>
      <c r="AF17" s="434"/>
      <c r="AG17" s="495"/>
      <c r="AH17" s="495"/>
    </row>
    <row r="18" spans="1:34" ht="57.5" customHeight="1" thickBot="1" x14ac:dyDescent="0.4">
      <c r="A18" s="278">
        <v>3</v>
      </c>
      <c r="B18" s="274" t="s">
        <v>693</v>
      </c>
      <c r="C18" s="548" t="s">
        <v>710</v>
      </c>
      <c r="D18" s="278" t="s">
        <v>86</v>
      </c>
      <c r="E18" s="278" t="s">
        <v>627</v>
      </c>
      <c r="F18" s="354" t="s">
        <v>88</v>
      </c>
      <c r="G18" s="278" t="s">
        <v>638</v>
      </c>
      <c r="H18" s="278" t="s">
        <v>639</v>
      </c>
      <c r="I18" s="278" t="s">
        <v>634</v>
      </c>
      <c r="J18" s="348" t="s">
        <v>92</v>
      </c>
      <c r="K18" s="348" t="s">
        <v>92</v>
      </c>
      <c r="L18" s="348" t="s">
        <v>189</v>
      </c>
      <c r="M18" s="351">
        <v>45474</v>
      </c>
      <c r="N18" s="351">
        <v>45641</v>
      </c>
      <c r="O18" s="62" t="s">
        <v>94</v>
      </c>
      <c r="P18" s="53">
        <f>+(P19*Q18)</f>
        <v>0.33333333333333331</v>
      </c>
      <c r="Q18" s="68">
        <f t="shared" si="0"/>
        <v>1</v>
      </c>
      <c r="R18" s="43"/>
      <c r="S18" s="43"/>
      <c r="T18" s="43"/>
      <c r="U18" s="43"/>
      <c r="V18" s="43"/>
      <c r="W18" s="43"/>
      <c r="X18" s="43"/>
      <c r="Y18" s="43"/>
      <c r="Z18" s="44"/>
      <c r="AA18" s="44"/>
      <c r="AB18" s="44"/>
      <c r="AC18" s="44"/>
      <c r="AD18" s="44">
        <v>1</v>
      </c>
      <c r="AE18" s="376"/>
      <c r="AF18" s="433" t="s">
        <v>635</v>
      </c>
      <c r="AG18" s="494" t="s">
        <v>636</v>
      </c>
      <c r="AH18" s="494" t="s">
        <v>637</v>
      </c>
    </row>
    <row r="19" spans="1:34" ht="57.5" customHeight="1" x14ac:dyDescent="0.35">
      <c r="A19" s="279"/>
      <c r="B19" s="274"/>
      <c r="C19" s="548"/>
      <c r="D19" s="279" t="s">
        <v>86</v>
      </c>
      <c r="E19" s="279"/>
      <c r="F19" s="355"/>
      <c r="G19" s="279"/>
      <c r="H19" s="279"/>
      <c r="I19" s="279"/>
      <c r="J19" s="349"/>
      <c r="K19" s="349"/>
      <c r="L19" s="349"/>
      <c r="M19" s="798"/>
      <c r="N19" s="798"/>
      <c r="O19" s="62" t="s">
        <v>99</v>
      </c>
      <c r="P19" s="52">
        <f>100%/3</f>
        <v>0.33333333333333331</v>
      </c>
      <c r="Q19" s="68">
        <f t="shared" si="0"/>
        <v>1</v>
      </c>
      <c r="R19" s="42"/>
      <c r="S19" s="42"/>
      <c r="T19" s="42"/>
      <c r="U19" s="42"/>
      <c r="V19" s="42"/>
      <c r="W19" s="42"/>
      <c r="X19" s="42"/>
      <c r="Y19" s="42"/>
      <c r="Z19" s="42"/>
      <c r="AA19" s="42"/>
      <c r="AB19" s="42"/>
      <c r="AC19" s="42"/>
      <c r="AD19" s="42">
        <v>1</v>
      </c>
      <c r="AE19" s="377"/>
      <c r="AF19" s="434"/>
      <c r="AG19" s="495"/>
      <c r="AH19" s="495"/>
    </row>
    <row r="21" spans="1:34" s="13" customFormat="1" ht="30" hidden="1" customHeight="1" x14ac:dyDescent="0.35">
      <c r="D21" s="371" t="s">
        <v>43</v>
      </c>
      <c r="E21" s="371"/>
      <c r="F21" s="21">
        <v>1</v>
      </c>
      <c r="H21" s="460" t="s">
        <v>134</v>
      </c>
      <c r="I21" s="22" t="s">
        <v>135</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3"/>
    </row>
    <row r="22" spans="1:34" s="13" customFormat="1" ht="30" hidden="1" customHeight="1" x14ac:dyDescent="0.35">
      <c r="D22" s="371"/>
      <c r="E22" s="371"/>
      <c r="F22" s="21"/>
      <c r="H22" s="461"/>
      <c r="I22" s="15" t="s">
        <v>136</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4"/>
    </row>
    <row r="23" spans="1:34" s="13" customFormat="1" ht="30" hidden="1" customHeight="1" x14ac:dyDescent="0.35">
      <c r="H23" s="461"/>
      <c r="I23" s="15" t="s">
        <v>137</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4"/>
    </row>
    <row r="24" spans="1:34" s="13" customFormat="1" ht="30" hidden="1" customHeight="1" x14ac:dyDescent="0.35">
      <c r="H24" s="462"/>
      <c r="I24" s="18" t="s">
        <v>138</v>
      </c>
      <c r="J24" s="19"/>
      <c r="K24" s="35"/>
      <c r="L24" s="35"/>
      <c r="M24" s="35"/>
      <c r="N24" s="35"/>
      <c r="O24" s="35"/>
      <c r="P24" s="38"/>
      <c r="Q24" s="35"/>
      <c r="R24" s="35"/>
      <c r="S24" s="28"/>
      <c r="T24" s="29"/>
      <c r="U24" s="29"/>
      <c r="V24" s="29"/>
      <c r="W24" s="29"/>
      <c r="X24" s="29"/>
      <c r="Y24" s="29"/>
      <c r="Z24" s="29"/>
      <c r="AA24" s="29" t="e">
        <f>+O23+AA23</f>
        <v>#REF!</v>
      </c>
      <c r="AB24" s="40"/>
      <c r="AC24" s="29"/>
      <c r="AD24" s="64"/>
    </row>
    <row r="25" spans="1:34" s="13" customFormat="1" ht="30" hidden="1" customHeight="1" x14ac:dyDescent="0.35">
      <c r="H25" s="463" t="s">
        <v>139</v>
      </c>
      <c r="I25" s="15" t="s">
        <v>140</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3"/>
    </row>
    <row r="26" spans="1:34" s="13" customFormat="1" ht="30" hidden="1" customHeight="1" x14ac:dyDescent="0.35">
      <c r="H26" s="461"/>
      <c r="I26" s="15" t="s">
        <v>141</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3"/>
    </row>
    <row r="27" spans="1:34" s="13" customFormat="1" ht="30" hidden="1" customHeight="1" x14ac:dyDescent="0.35">
      <c r="H27" s="461"/>
      <c r="I27" s="15" t="s">
        <v>142</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4"/>
    </row>
    <row r="28" spans="1:34" s="13" customFormat="1" ht="30" hidden="1" customHeight="1" x14ac:dyDescent="0.35">
      <c r="H28" s="462"/>
      <c r="I28" s="20" t="s">
        <v>143</v>
      </c>
      <c r="J28" s="19"/>
      <c r="K28" s="35"/>
      <c r="L28" s="35"/>
      <c r="M28" s="35"/>
      <c r="N28" s="35"/>
      <c r="O28" s="35"/>
      <c r="P28" s="38"/>
      <c r="Q28" s="35"/>
      <c r="R28" s="35"/>
      <c r="S28" s="28"/>
      <c r="T28" s="29"/>
      <c r="U28" s="29"/>
      <c r="V28" s="29"/>
      <c r="W28" s="29"/>
      <c r="X28" s="29"/>
      <c r="Y28" s="29"/>
      <c r="Z28" s="29"/>
      <c r="AA28" s="29" t="e">
        <f>+O27+AA27</f>
        <v>#REF!</v>
      </c>
      <c r="AB28" s="40"/>
      <c r="AC28" s="41"/>
      <c r="AD28" s="64"/>
    </row>
    <row r="29" spans="1:34" ht="30" hidden="1" customHeight="1" x14ac:dyDescent="0.35">
      <c r="H29" s="24"/>
      <c r="I29" s="372" t="s">
        <v>144</v>
      </c>
      <c r="J29" s="372"/>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5"/>
    </row>
    <row r="30" spans="1:34" ht="30" hidden="1" customHeight="1" x14ac:dyDescent="0.35">
      <c r="H30" s="24"/>
      <c r="I30" s="373" t="s">
        <v>145</v>
      </c>
      <c r="J30" s="373"/>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6"/>
    </row>
    <row r="31" spans="1:34" ht="30" hidden="1" customHeight="1" x14ac:dyDescent="0.35">
      <c r="I31" s="372" t="s">
        <v>146</v>
      </c>
      <c r="J31" s="372"/>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7"/>
    </row>
    <row r="32" spans="1:34" ht="30" hidden="1" customHeight="1" x14ac:dyDescent="0.35">
      <c r="I32" s="373" t="s">
        <v>147</v>
      </c>
      <c r="J32" s="373"/>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7"/>
    </row>
    <row r="33" spans="8:30" ht="30" hidden="1" customHeight="1" x14ac:dyDescent="0.35">
      <c r="I33" s="372" t="s">
        <v>148</v>
      </c>
      <c r="J33" s="372"/>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7"/>
    </row>
    <row r="34" spans="8:30" ht="30" hidden="1" customHeight="1" x14ac:dyDescent="0.35">
      <c r="I34" s="372" t="s">
        <v>149</v>
      </c>
      <c r="J34" s="372"/>
      <c r="K34" s="50"/>
      <c r="L34" s="50"/>
      <c r="M34" s="50"/>
      <c r="N34" s="50"/>
      <c r="O34" s="47" t="e">
        <f>+(#REF!+O22)/$F$21</f>
        <v>#REF!</v>
      </c>
      <c r="P34" s="51"/>
      <c r="Q34" s="50"/>
      <c r="R34" s="50"/>
      <c r="S34" s="50"/>
      <c r="T34" s="50"/>
      <c r="U34" s="50"/>
      <c r="V34" s="50"/>
      <c r="W34" s="50"/>
      <c r="X34" s="50"/>
      <c r="Y34" s="50"/>
      <c r="Z34" s="50"/>
      <c r="AA34" s="47" t="e">
        <f>+(+#REF!+O22+S22+W22+AA22)/$F$21</f>
        <v>#REF!</v>
      </c>
      <c r="AB34" s="51"/>
      <c r="AC34" s="50"/>
      <c r="AD34" s="67"/>
    </row>
    <row r="35" spans="8:30" ht="15" hidden="1" customHeight="1" x14ac:dyDescent="0.35"/>
    <row r="36" spans="8:30" ht="35.15" hidden="1" customHeight="1" x14ac:dyDescent="0.35">
      <c r="H36" s="432" t="s">
        <v>150</v>
      </c>
      <c r="I36" s="432"/>
      <c r="J36" s="30" t="e">
        <f>+#REF!</f>
        <v>#REF!</v>
      </c>
      <c r="K36" s="32"/>
      <c r="L36" s="32"/>
      <c r="M36" s="32"/>
      <c r="N36" s="32"/>
    </row>
    <row r="37" spans="8:30" ht="35.15" hidden="1" customHeight="1" x14ac:dyDescent="0.35">
      <c r="H37" s="432" t="s">
        <v>151</v>
      </c>
      <c r="I37" s="432"/>
      <c r="J37" s="25">
        <f>+F21</f>
        <v>1</v>
      </c>
      <c r="K37" s="32"/>
      <c r="L37" s="32"/>
      <c r="M37" s="32"/>
      <c r="N37" s="32"/>
    </row>
    <row r="38" spans="8:30" ht="35.15" hidden="1" customHeight="1" x14ac:dyDescent="0.35">
      <c r="H38" s="432" t="s">
        <v>152</v>
      </c>
      <c r="I38" s="432"/>
      <c r="J38" s="31" t="e">
        <f>+J36/J37</f>
        <v>#REF!</v>
      </c>
      <c r="K38" s="32"/>
      <c r="L38" s="32"/>
      <c r="M38" s="32"/>
      <c r="N38" s="32"/>
    </row>
    <row r="39" spans="8:30" ht="15" customHeight="1" x14ac:dyDescent="0.35">
      <c r="K39" s="32"/>
      <c r="L39" s="32"/>
      <c r="M39" s="32"/>
      <c r="N39" s="32"/>
    </row>
    <row r="40" spans="8:30" ht="15" customHeight="1" x14ac:dyDescent="0.35">
      <c r="K40" s="32"/>
      <c r="L40" s="32"/>
      <c r="M40" s="32"/>
      <c r="N40" s="32"/>
    </row>
    <row r="41" spans="8:30" ht="15" customHeight="1" x14ac:dyDescent="0.35">
      <c r="K41" s="32"/>
      <c r="L41" s="32"/>
      <c r="M41" s="32"/>
      <c r="N41" s="32"/>
    </row>
  </sheetData>
  <sheetProtection algorithmName="SHA-512" hashValue="rOU6VYuYyDT4xp3lemqBSr5rLyxdGFoqs/x3/LlCXvGIT0ketDPecW0MtgSgLHX5loQO1Q3siaGvplKiqJeo/w==" saltValue="dBllWy32cumLOXD9hBMzeA==" spinCount="100000" sheet="1" formatCells="0" formatColumns="0" formatRows="0" insertColumns="0" insertRows="0" insertHyperlinks="0" deleteColumns="0" deleteRows="0" sort="0" autoFilter="0" pivotTables="0"/>
  <mergeCells count="120">
    <mergeCell ref="AE11:AH11"/>
    <mergeCell ref="K6:L10"/>
    <mergeCell ref="M6:M10"/>
    <mergeCell ref="A1:C3"/>
    <mergeCell ref="D1:AH3"/>
    <mergeCell ref="A4:A5"/>
    <mergeCell ref="G4:G5"/>
    <mergeCell ref="A6:B10"/>
    <mergeCell ref="C6:D10"/>
    <mergeCell ref="E6:F10"/>
    <mergeCell ref="G6:G10"/>
    <mergeCell ref="H6:I10"/>
    <mergeCell ref="J6:J10"/>
    <mergeCell ref="A12:A13"/>
    <mergeCell ref="B12:B13"/>
    <mergeCell ref="C12:C13"/>
    <mergeCell ref="D12:D13"/>
    <mergeCell ref="E12:E13"/>
    <mergeCell ref="F12:F13"/>
    <mergeCell ref="A11:F11"/>
    <mergeCell ref="G11:N11"/>
    <mergeCell ref="O11:AD11"/>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O12:O13"/>
    <mergeCell ref="P12:P13"/>
    <mergeCell ref="Q12:Q13"/>
    <mergeCell ref="AF14:AF15"/>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H36:I36"/>
    <mergeCell ref="H37:I37"/>
    <mergeCell ref="H38:I38"/>
    <mergeCell ref="N6:O10"/>
    <mergeCell ref="P6:Q10"/>
    <mergeCell ref="R6:AH10"/>
    <mergeCell ref="I29:J29"/>
    <mergeCell ref="I30:J30"/>
    <mergeCell ref="I31:J31"/>
    <mergeCell ref="I32:J32"/>
    <mergeCell ref="I33:J33"/>
    <mergeCell ref="I34:J34"/>
    <mergeCell ref="AE16:AE17"/>
    <mergeCell ref="AF16:AF17"/>
    <mergeCell ref="AG16:AG17"/>
    <mergeCell ref="AH16:AH17"/>
    <mergeCell ref="M16:M17"/>
    <mergeCell ref="N16:N17"/>
    <mergeCell ref="AG14:AG15"/>
    <mergeCell ref="AH14:AH15"/>
    <mergeCell ref="L14:L15"/>
    <mergeCell ref="M14:M15"/>
    <mergeCell ref="N14:N15"/>
    <mergeCell ref="AE14:AE15"/>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26953125" customWidth="1"/>
    <col min="7" max="13" width="9.453125" customWidth="1"/>
  </cols>
  <sheetData>
    <row r="1" spans="3:9" ht="45" customHeight="1" x14ac:dyDescent="0.35"/>
    <row r="2" spans="3:9" ht="45" customHeight="1" x14ac:dyDescent="0.35"/>
    <row r="3" spans="3:9" ht="45" customHeight="1" x14ac:dyDescent="0.35">
      <c r="C3" t="s">
        <v>640</v>
      </c>
    </row>
    <row r="4" spans="3:9" ht="45" customHeight="1" x14ac:dyDescent="0.35">
      <c r="C4" t="s">
        <v>641</v>
      </c>
      <c r="D4" t="s">
        <v>641</v>
      </c>
      <c r="F4" s="2" t="s">
        <v>642</v>
      </c>
      <c r="I4" s="3" t="s">
        <v>643</v>
      </c>
    </row>
    <row r="5" spans="3:9" ht="45" customHeight="1" x14ac:dyDescent="0.35">
      <c r="C5" t="s">
        <v>644</v>
      </c>
      <c r="D5" t="s">
        <v>644</v>
      </c>
      <c r="F5" s="2" t="s">
        <v>645</v>
      </c>
      <c r="I5" s="4" t="s">
        <v>646</v>
      </c>
    </row>
    <row r="6" spans="3:9" ht="45" customHeight="1" x14ac:dyDescent="0.35">
      <c r="C6" t="s">
        <v>647</v>
      </c>
      <c r="D6" t="s">
        <v>641</v>
      </c>
      <c r="F6" s="2" t="s">
        <v>648</v>
      </c>
      <c r="I6" s="5" t="s">
        <v>649</v>
      </c>
    </row>
    <row r="7" spans="3:9" ht="45" customHeight="1" x14ac:dyDescent="0.35">
      <c r="F7" s="2" t="s">
        <v>650</v>
      </c>
      <c r="I7" s="5" t="s">
        <v>651</v>
      </c>
    </row>
    <row r="8" spans="3:9" ht="45" customHeight="1" x14ac:dyDescent="0.35">
      <c r="F8" s="2" t="s">
        <v>652</v>
      </c>
      <c r="I8" s="4" t="s">
        <v>653</v>
      </c>
    </row>
    <row r="9" spans="3:9" ht="45" customHeight="1" x14ac:dyDescent="0.35">
      <c r="F9" s="2" t="s">
        <v>654</v>
      </c>
      <c r="I9" s="6" t="s">
        <v>655</v>
      </c>
    </row>
    <row r="10" spans="3:9" ht="45" customHeight="1" x14ac:dyDescent="0.35">
      <c r="F10" s="2" t="s">
        <v>656</v>
      </c>
      <c r="I10" s="7" t="s">
        <v>657</v>
      </c>
    </row>
    <row r="11" spans="3:9" ht="45" customHeight="1" x14ac:dyDescent="0.35">
      <c r="F11" s="2" t="s">
        <v>658</v>
      </c>
      <c r="I11" s="5" t="s">
        <v>659</v>
      </c>
    </row>
    <row r="12" spans="3:9" ht="45" customHeight="1" x14ac:dyDescent="0.35">
      <c r="I12" s="4" t="s">
        <v>660</v>
      </c>
    </row>
    <row r="13" spans="3:9" ht="45" customHeight="1" x14ac:dyDescent="0.35">
      <c r="I13" s="5" t="s">
        <v>661</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H43"/>
  <sheetViews>
    <sheetView showGridLines="0" view="pageBreakPreview" zoomScale="74" zoomScaleNormal="10" zoomScaleSheetLayoutView="74" zoomScalePageLayoutView="48" workbookViewId="0">
      <selection sqref="A1:C3"/>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10" width="28.54296875" style="1" customWidth="1"/>
    <col min="11" max="12" width="19.54296875" style="1" customWidth="1"/>
    <col min="13"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8" customFormat="1" ht="15" customHeight="1" x14ac:dyDescent="0.35">
      <c r="A1" s="338"/>
      <c r="B1" s="339"/>
      <c r="C1" s="340"/>
      <c r="D1" s="284" t="s">
        <v>967</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row>
    <row r="2" spans="1:34"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row>
    <row r="3" spans="1:34" s="58" customFormat="1" ht="60" customHeight="1" thickBot="1" x14ac:dyDescent="0.4">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row>
    <row r="4" spans="1:34" s="58" customFormat="1" ht="60" hidden="1" customHeight="1" thickBot="1" x14ac:dyDescent="0.4">
      <c r="A4" s="337" t="s">
        <v>35</v>
      </c>
      <c r="B4" s="8" t="s">
        <v>36</v>
      </c>
      <c r="C4" s="10">
        <v>0.7</v>
      </c>
      <c r="D4" s="10"/>
      <c r="E4" s="10"/>
      <c r="F4" s="9"/>
      <c r="G4" s="337" t="s">
        <v>37</v>
      </c>
      <c r="H4" s="8" t="s">
        <v>36</v>
      </c>
      <c r="I4" s="10">
        <v>0.7</v>
      </c>
      <c r="J4" s="59"/>
      <c r="K4" s="60"/>
      <c r="L4" s="60"/>
      <c r="M4" s="60"/>
      <c r="N4" s="60"/>
      <c r="O4" s="60"/>
      <c r="P4" s="60"/>
      <c r="Q4" s="60"/>
      <c r="R4" s="60"/>
      <c r="S4" s="60"/>
      <c r="T4" s="60"/>
      <c r="U4" s="60"/>
      <c r="V4" s="60"/>
      <c r="W4" s="60"/>
      <c r="X4" s="60"/>
      <c r="Y4" s="60"/>
      <c r="Z4" s="60"/>
      <c r="AA4" s="60"/>
      <c r="AB4" s="60"/>
      <c r="AC4" s="60"/>
      <c r="AD4" s="60"/>
      <c r="AE4" s="60"/>
      <c r="AF4" s="60"/>
    </row>
    <row r="5" spans="1:34" s="58" customFormat="1" ht="60" hidden="1" customHeight="1" x14ac:dyDescent="0.35">
      <c r="A5" s="337"/>
      <c r="B5" s="8" t="s">
        <v>38</v>
      </c>
      <c r="C5" s="11">
        <v>0.9</v>
      </c>
      <c r="D5" s="11"/>
      <c r="E5" s="11"/>
      <c r="F5" s="11">
        <v>1</v>
      </c>
      <c r="G5" s="337"/>
      <c r="H5" s="8" t="s">
        <v>38</v>
      </c>
      <c r="I5" s="11">
        <v>0.95</v>
      </c>
      <c r="J5" s="59"/>
      <c r="K5" s="60"/>
      <c r="L5" s="60"/>
      <c r="M5" s="60"/>
      <c r="N5" s="60"/>
      <c r="O5" s="60"/>
      <c r="P5" s="60"/>
      <c r="Q5" s="60"/>
      <c r="R5" s="60"/>
      <c r="S5" s="60"/>
      <c r="T5" s="60"/>
      <c r="U5" s="60"/>
      <c r="V5" s="60"/>
      <c r="W5" s="60"/>
      <c r="X5" s="60"/>
      <c r="Y5" s="60"/>
      <c r="Z5" s="60"/>
      <c r="AA5" s="60"/>
      <c r="AB5" s="60"/>
      <c r="AC5" s="60"/>
      <c r="AD5" s="60"/>
      <c r="AE5" s="60"/>
      <c r="AF5" s="60"/>
    </row>
    <row r="6" spans="1:34" ht="20.149999999999999" hidden="1" customHeight="1" x14ac:dyDescent="0.35">
      <c r="A6" s="442" t="s">
        <v>39</v>
      </c>
      <c r="B6" s="442"/>
      <c r="C6" s="829" t="s">
        <v>966</v>
      </c>
      <c r="D6" s="830"/>
      <c r="E6" s="443" t="s">
        <v>41</v>
      </c>
      <c r="F6" s="443"/>
      <c r="G6" s="409" t="e">
        <f>+P15+P17+P19+P21+#REF!</f>
        <v>#REF!</v>
      </c>
      <c r="H6" s="443" t="s">
        <v>42</v>
      </c>
      <c r="I6" s="443"/>
      <c r="J6" s="518" t="e">
        <f>+P14+P16+P18+P20+#REF!</f>
        <v>#REF!</v>
      </c>
      <c r="K6" s="826" t="s">
        <v>43</v>
      </c>
      <c r="L6" s="334">
        <v>0.95</v>
      </c>
      <c r="M6" s="442" t="s">
        <v>44</v>
      </c>
      <c r="N6" s="442"/>
      <c r="O6" s="285" t="e">
        <f>(SUM(U14,U16,U18,U20,#REF!)/SUM(U15,U17,U19,U21,#REF!))/L6</f>
        <v>#REF!</v>
      </c>
      <c r="P6" s="324"/>
      <c r="Q6" s="286"/>
      <c r="R6" s="437" t="s">
        <v>45</v>
      </c>
      <c r="S6" s="454"/>
      <c r="T6" s="454"/>
      <c r="U6" s="455"/>
      <c r="V6" s="285" t="e">
        <f>SUM(X14,X16,X18,X20,#REF!)/SUM(X15,X17,X19,X21,#REF!)/L6</f>
        <v>#REF!</v>
      </c>
      <c r="W6" s="324"/>
      <c r="X6" s="324"/>
      <c r="Y6" s="286"/>
      <c r="Z6" s="437" t="s">
        <v>46</v>
      </c>
      <c r="AA6" s="454"/>
      <c r="AB6" s="454"/>
      <c r="AC6" s="455"/>
      <c r="AD6" s="285" t="e">
        <f>SUM(Z14:AA14,AA16,AA18,Z20:AA20,#REF!)/SUM(AA15,AA17,AA19,AA21,#REF!)/L6</f>
        <v>#REF!</v>
      </c>
      <c r="AE6" s="286"/>
      <c r="AF6" s="437" t="s">
        <v>47</v>
      </c>
      <c r="AG6" s="285" t="e">
        <f>SUM(AD14,AD16,AD18,AD20,#REF!)/SUM(AD15,AD17,AD19,AD21,#REF!)/L6</f>
        <v>#REF!</v>
      </c>
    </row>
    <row r="7" spans="1:34" ht="15" hidden="1" customHeight="1" x14ac:dyDescent="0.35">
      <c r="A7" s="442"/>
      <c r="B7" s="442"/>
      <c r="C7" s="830"/>
      <c r="D7" s="830"/>
      <c r="E7" s="443"/>
      <c r="F7" s="443"/>
      <c r="G7" s="410"/>
      <c r="H7" s="443"/>
      <c r="I7" s="443"/>
      <c r="J7" s="519"/>
      <c r="K7" s="827"/>
      <c r="L7" s="335"/>
      <c r="M7" s="442"/>
      <c r="N7" s="442"/>
      <c r="O7" s="287"/>
      <c r="P7" s="325"/>
      <c r="Q7" s="288"/>
      <c r="R7" s="438"/>
      <c r="S7" s="456"/>
      <c r="T7" s="456"/>
      <c r="U7" s="457"/>
      <c r="V7" s="287"/>
      <c r="W7" s="325"/>
      <c r="X7" s="325"/>
      <c r="Y7" s="288"/>
      <c r="Z7" s="438"/>
      <c r="AA7" s="456"/>
      <c r="AB7" s="456"/>
      <c r="AC7" s="457"/>
      <c r="AD7" s="287"/>
      <c r="AE7" s="288"/>
      <c r="AF7" s="438"/>
      <c r="AG7" s="287"/>
    </row>
    <row r="8" spans="1:34" ht="25.4" hidden="1" customHeight="1" x14ac:dyDescent="0.35">
      <c r="A8" s="442"/>
      <c r="B8" s="442"/>
      <c r="C8" s="830"/>
      <c r="D8" s="830"/>
      <c r="E8" s="443"/>
      <c r="F8" s="443"/>
      <c r="G8" s="410"/>
      <c r="H8" s="443"/>
      <c r="I8" s="443"/>
      <c r="J8" s="519"/>
      <c r="K8" s="827"/>
      <c r="L8" s="335"/>
      <c r="M8" s="442"/>
      <c r="N8" s="442"/>
      <c r="O8" s="287"/>
      <c r="P8" s="325"/>
      <c r="Q8" s="288"/>
      <c r="R8" s="438"/>
      <c r="S8" s="456"/>
      <c r="T8" s="456"/>
      <c r="U8" s="457"/>
      <c r="V8" s="287"/>
      <c r="W8" s="325"/>
      <c r="X8" s="325"/>
      <c r="Y8" s="288"/>
      <c r="Z8" s="438"/>
      <c r="AA8" s="456"/>
      <c r="AB8" s="456"/>
      <c r="AC8" s="457"/>
      <c r="AD8" s="287"/>
      <c r="AE8" s="288"/>
      <c r="AF8" s="438"/>
      <c r="AG8" s="287"/>
    </row>
    <row r="9" spans="1:34" ht="25.4" hidden="1" customHeight="1" thickBot="1" x14ac:dyDescent="0.4">
      <c r="A9" s="442"/>
      <c r="B9" s="442"/>
      <c r="C9" s="830"/>
      <c r="D9" s="830"/>
      <c r="E9" s="443"/>
      <c r="F9" s="443"/>
      <c r="G9" s="410"/>
      <c r="H9" s="443"/>
      <c r="I9" s="443"/>
      <c r="J9" s="519"/>
      <c r="K9" s="827"/>
      <c r="L9" s="335"/>
      <c r="M9" s="442"/>
      <c r="N9" s="442"/>
      <c r="O9" s="287"/>
      <c r="P9" s="325"/>
      <c r="Q9" s="288"/>
      <c r="R9" s="438"/>
      <c r="S9" s="456"/>
      <c r="T9" s="456"/>
      <c r="U9" s="457"/>
      <c r="V9" s="287"/>
      <c r="W9" s="325"/>
      <c r="X9" s="325"/>
      <c r="Y9" s="288"/>
      <c r="Z9" s="438"/>
      <c r="AA9" s="456"/>
      <c r="AB9" s="456"/>
      <c r="AC9" s="457"/>
      <c r="AD9" s="287"/>
      <c r="AE9" s="288"/>
      <c r="AF9" s="438"/>
      <c r="AG9" s="287"/>
    </row>
    <row r="10" spans="1:34" ht="15" hidden="1" customHeight="1" thickBot="1" x14ac:dyDescent="0.4">
      <c r="A10" s="442"/>
      <c r="B10" s="442"/>
      <c r="C10" s="830"/>
      <c r="D10" s="830"/>
      <c r="E10" s="443"/>
      <c r="F10" s="443"/>
      <c r="G10" s="444"/>
      <c r="H10" s="443"/>
      <c r="I10" s="443"/>
      <c r="J10" s="520"/>
      <c r="K10" s="828"/>
      <c r="L10" s="336"/>
      <c r="M10" s="442"/>
      <c r="N10" s="442"/>
      <c r="O10" s="289"/>
      <c r="P10" s="326"/>
      <c r="Q10" s="290"/>
      <c r="R10" s="439"/>
      <c r="S10" s="458"/>
      <c r="T10" s="458"/>
      <c r="U10" s="459"/>
      <c r="V10" s="289"/>
      <c r="W10" s="326"/>
      <c r="X10" s="326"/>
      <c r="Y10" s="290"/>
      <c r="Z10" s="439"/>
      <c r="AA10" s="458"/>
      <c r="AB10" s="458"/>
      <c r="AC10" s="459"/>
      <c r="AD10" s="289"/>
      <c r="AE10" s="290"/>
      <c r="AF10" s="439"/>
      <c r="AG10" s="289"/>
    </row>
    <row r="11" spans="1:34" s="12" customFormat="1" ht="40.4" customHeight="1" thickBot="1" x14ac:dyDescent="0.4">
      <c r="A11" s="359" t="s">
        <v>48</v>
      </c>
      <c r="B11" s="359"/>
      <c r="C11" s="359"/>
      <c r="D11" s="359"/>
      <c r="E11" s="359"/>
      <c r="F11" s="360"/>
      <c r="G11" s="361" t="s">
        <v>790</v>
      </c>
      <c r="H11" s="362"/>
      <c r="I11" s="362"/>
      <c r="J11" s="362"/>
      <c r="K11" s="362"/>
      <c r="L11" s="362"/>
      <c r="M11" s="362"/>
      <c r="N11" s="363"/>
      <c r="O11" s="521" t="s">
        <v>50</v>
      </c>
      <c r="P11" s="522"/>
      <c r="Q11" s="522"/>
      <c r="R11" s="522"/>
      <c r="S11" s="522"/>
      <c r="T11" s="522"/>
      <c r="U11" s="522"/>
      <c r="V11" s="522"/>
      <c r="W11" s="522"/>
      <c r="X11" s="522"/>
      <c r="Y11" s="522"/>
      <c r="Z11" s="522"/>
      <c r="AA11" s="522"/>
      <c r="AB11" s="522"/>
      <c r="AC11" s="522"/>
      <c r="AD11" s="523"/>
      <c r="AE11" s="521" t="s">
        <v>51</v>
      </c>
      <c r="AF11" s="522"/>
      <c r="AG11" s="522"/>
      <c r="AH11" s="522"/>
    </row>
    <row r="12" spans="1:34" ht="39" customHeight="1" x14ac:dyDescent="0.35">
      <c r="A12" s="364" t="s">
        <v>52</v>
      </c>
      <c r="B12" s="366" t="s">
        <v>53</v>
      </c>
      <c r="C12" s="366" t="s">
        <v>54</v>
      </c>
      <c r="D12" s="366" t="s">
        <v>55</v>
      </c>
      <c r="E12" s="366" t="s">
        <v>56</v>
      </c>
      <c r="F12" s="366" t="s">
        <v>662</v>
      </c>
      <c r="G12" s="366" t="s">
        <v>600</v>
      </c>
      <c r="H12" s="366" t="s">
        <v>602</v>
      </c>
      <c r="I12" s="366" t="s">
        <v>60</v>
      </c>
      <c r="J12" s="366" t="s">
        <v>61</v>
      </c>
      <c r="K12" s="366" t="s">
        <v>62</v>
      </c>
      <c r="L12" s="366" t="s">
        <v>63</v>
      </c>
      <c r="M12" s="366" t="s">
        <v>64</v>
      </c>
      <c r="N12" s="366" t="s">
        <v>65</v>
      </c>
      <c r="O12" s="491" t="s">
        <v>66</v>
      </c>
      <c r="P12" s="492" t="s">
        <v>67</v>
      </c>
      <c r="Q12" s="493" t="s">
        <v>68</v>
      </c>
      <c r="R12" s="512" t="s">
        <v>69</v>
      </c>
      <c r="S12" s="510" t="s">
        <v>70</v>
      </c>
      <c r="T12" s="508" t="s">
        <v>71</v>
      </c>
      <c r="U12" s="514" t="s">
        <v>72</v>
      </c>
      <c r="V12" s="516" t="s">
        <v>73</v>
      </c>
      <c r="W12" s="514" t="s">
        <v>74</v>
      </c>
      <c r="X12" s="508" t="s">
        <v>74</v>
      </c>
      <c r="Y12" s="510" t="s">
        <v>76</v>
      </c>
      <c r="Z12" s="512" t="s">
        <v>77</v>
      </c>
      <c r="AA12" s="510" t="s">
        <v>78</v>
      </c>
      <c r="AB12" s="508" t="s">
        <v>79</v>
      </c>
      <c r="AC12" s="514" t="s">
        <v>80</v>
      </c>
      <c r="AD12" s="505" t="s">
        <v>81</v>
      </c>
      <c r="AE12" s="507" t="s">
        <v>82</v>
      </c>
      <c r="AF12" s="507" t="s">
        <v>83</v>
      </c>
      <c r="AG12" s="507" t="s">
        <v>84</v>
      </c>
      <c r="AH12" s="507" t="s">
        <v>85</v>
      </c>
    </row>
    <row r="13" spans="1:34" ht="60" customHeight="1" thickBot="1" x14ac:dyDescent="0.4">
      <c r="A13" s="365"/>
      <c r="B13" s="365"/>
      <c r="C13" s="365"/>
      <c r="D13" s="365"/>
      <c r="E13" s="365"/>
      <c r="F13" s="365"/>
      <c r="G13" s="365"/>
      <c r="H13" s="365"/>
      <c r="I13" s="365"/>
      <c r="J13" s="365"/>
      <c r="K13" s="365"/>
      <c r="L13" s="365"/>
      <c r="M13" s="365"/>
      <c r="N13" s="365"/>
      <c r="O13" s="491"/>
      <c r="P13" s="492"/>
      <c r="Q13" s="493"/>
      <c r="R13" s="513"/>
      <c r="S13" s="511"/>
      <c r="T13" s="509"/>
      <c r="U13" s="515"/>
      <c r="V13" s="517"/>
      <c r="W13" s="515"/>
      <c r="X13" s="509"/>
      <c r="Y13" s="511"/>
      <c r="Z13" s="513"/>
      <c r="AA13" s="511"/>
      <c r="AB13" s="509"/>
      <c r="AC13" s="515"/>
      <c r="AD13" s="506"/>
      <c r="AE13" s="507"/>
      <c r="AF13" s="507"/>
      <c r="AG13" s="507"/>
      <c r="AH13" s="507"/>
    </row>
    <row r="14" spans="1:34" ht="78" customHeight="1" thickBot="1" x14ac:dyDescent="0.4">
      <c r="A14" s="278">
        <v>1</v>
      </c>
      <c r="B14" s="278" t="s">
        <v>709</v>
      </c>
      <c r="C14" s="278" t="s">
        <v>689</v>
      </c>
      <c r="D14" s="278" t="s">
        <v>86</v>
      </c>
      <c r="E14" s="278" t="s">
        <v>627</v>
      </c>
      <c r="F14" s="278" t="s">
        <v>778</v>
      </c>
      <c r="G14" s="278" t="s">
        <v>58</v>
      </c>
      <c r="H14" s="278" t="s">
        <v>964</v>
      </c>
      <c r="I14" s="278" t="s">
        <v>965</v>
      </c>
      <c r="J14" s="348" t="s">
        <v>604</v>
      </c>
      <c r="K14" s="348" t="s">
        <v>605</v>
      </c>
      <c r="L14" s="348" t="s">
        <v>698</v>
      </c>
      <c r="M14" s="351">
        <v>45323</v>
      </c>
      <c r="N14" s="351">
        <v>45688</v>
      </c>
      <c r="O14" s="62" t="s">
        <v>94</v>
      </c>
      <c r="P14" s="53">
        <f>+(P15*Q14)</f>
        <v>0.2</v>
      </c>
      <c r="Q14" s="68">
        <f t="shared" ref="Q14:Q15" si="0">SUM(R14:AD14)</f>
        <v>1</v>
      </c>
      <c r="R14" s="43"/>
      <c r="S14" s="43"/>
      <c r="T14" s="43"/>
      <c r="U14" s="43">
        <v>0.25</v>
      </c>
      <c r="V14" s="43"/>
      <c r="W14" s="43"/>
      <c r="X14" s="43">
        <v>0.25</v>
      </c>
      <c r="Y14" s="43"/>
      <c r="Z14" s="44">
        <v>0.25</v>
      </c>
      <c r="AA14" s="44"/>
      <c r="AB14" s="44"/>
      <c r="AC14" s="44"/>
      <c r="AD14" s="44">
        <v>0.25</v>
      </c>
      <c r="AE14" s="794" t="s">
        <v>668</v>
      </c>
      <c r="AF14" s="794" t="s">
        <v>669</v>
      </c>
      <c r="AG14" s="434" t="s">
        <v>670</v>
      </c>
      <c r="AH14" s="434" t="s">
        <v>671</v>
      </c>
    </row>
    <row r="15" spans="1:34" ht="127.5" customHeight="1" thickBot="1" x14ac:dyDescent="0.4">
      <c r="A15" s="279"/>
      <c r="B15" s="279"/>
      <c r="C15" s="279"/>
      <c r="D15" s="279" t="s">
        <v>86</v>
      </c>
      <c r="E15" s="279"/>
      <c r="F15" s="279"/>
      <c r="G15" s="279"/>
      <c r="H15" s="279"/>
      <c r="I15" s="279"/>
      <c r="J15" s="349"/>
      <c r="K15" s="349"/>
      <c r="L15" s="349"/>
      <c r="M15" s="798"/>
      <c r="N15" s="798"/>
      <c r="O15" s="62" t="s">
        <v>99</v>
      </c>
      <c r="P15" s="52">
        <f>100%/5</f>
        <v>0.2</v>
      </c>
      <c r="Q15" s="68">
        <f t="shared" si="0"/>
        <v>1</v>
      </c>
      <c r="R15" s="42"/>
      <c r="S15" s="42"/>
      <c r="T15" s="42"/>
      <c r="U15" s="42">
        <v>0.25</v>
      </c>
      <c r="V15" s="42"/>
      <c r="W15" s="42"/>
      <c r="X15" s="42">
        <v>0.25</v>
      </c>
      <c r="Y15" s="42"/>
      <c r="Z15" s="42"/>
      <c r="AA15" s="42">
        <v>0.25</v>
      </c>
      <c r="AB15" s="42"/>
      <c r="AC15" s="42"/>
      <c r="AD15" s="42">
        <v>0.25</v>
      </c>
      <c r="AE15" s="377"/>
      <c r="AF15" s="377"/>
      <c r="AG15" s="494"/>
      <c r="AH15" s="495"/>
    </row>
    <row r="16" spans="1:34" ht="122.15" customHeight="1" thickBot="1" x14ac:dyDescent="0.4">
      <c r="A16" s="278">
        <v>2</v>
      </c>
      <c r="B16" s="816" t="s">
        <v>693</v>
      </c>
      <c r="C16" s="814" t="s">
        <v>710</v>
      </c>
      <c r="D16" s="278" t="s">
        <v>86</v>
      </c>
      <c r="E16" s="816" t="s">
        <v>627</v>
      </c>
      <c r="F16" s="816" t="s">
        <v>463</v>
      </c>
      <c r="G16" s="816" t="s">
        <v>663</v>
      </c>
      <c r="H16" s="816" t="s">
        <v>664</v>
      </c>
      <c r="I16" s="816" t="s">
        <v>665</v>
      </c>
      <c r="J16" s="810" t="s">
        <v>666</v>
      </c>
      <c r="K16" s="810" t="s">
        <v>667</v>
      </c>
      <c r="L16" s="810" t="s">
        <v>93</v>
      </c>
      <c r="M16" s="808">
        <v>45292</v>
      </c>
      <c r="N16" s="808">
        <v>45657</v>
      </c>
      <c r="O16" s="62" t="s">
        <v>94</v>
      </c>
      <c r="P16" s="53">
        <f>+(P17*Q16)</f>
        <v>0.2</v>
      </c>
      <c r="Q16" s="68">
        <f t="shared" ref="Q16:Q21" si="1">SUM(R16:AD16)</f>
        <v>1</v>
      </c>
      <c r="R16" s="43"/>
      <c r="S16" s="43"/>
      <c r="T16" s="43"/>
      <c r="U16" s="43"/>
      <c r="V16" s="43"/>
      <c r="W16" s="43"/>
      <c r="X16" s="43"/>
      <c r="Y16" s="43"/>
      <c r="Z16" s="44"/>
      <c r="AA16" s="44"/>
      <c r="AB16" s="44"/>
      <c r="AC16" s="44"/>
      <c r="AD16" s="44">
        <v>1</v>
      </c>
      <c r="AE16" s="376"/>
      <c r="AF16" s="433"/>
      <c r="AG16" s="494"/>
      <c r="AH16" s="494"/>
    </row>
    <row r="17" spans="1:34" ht="37.4" customHeight="1" thickBot="1" x14ac:dyDescent="0.4">
      <c r="A17" s="279"/>
      <c r="B17" s="817"/>
      <c r="C17" s="815"/>
      <c r="D17" s="279" t="s">
        <v>86</v>
      </c>
      <c r="E17" s="817"/>
      <c r="F17" s="817"/>
      <c r="G17" s="817"/>
      <c r="H17" s="817"/>
      <c r="I17" s="817"/>
      <c r="J17" s="811"/>
      <c r="K17" s="811"/>
      <c r="L17" s="811"/>
      <c r="M17" s="809"/>
      <c r="N17" s="809"/>
      <c r="O17" s="62" t="s">
        <v>99</v>
      </c>
      <c r="P17" s="52">
        <f>100%/5</f>
        <v>0.2</v>
      </c>
      <c r="Q17" s="68">
        <f t="shared" si="1"/>
        <v>1</v>
      </c>
      <c r="R17" s="42"/>
      <c r="S17" s="42"/>
      <c r="T17" s="42"/>
      <c r="U17" s="42"/>
      <c r="V17" s="42"/>
      <c r="W17" s="42"/>
      <c r="X17" s="42"/>
      <c r="Y17" s="42"/>
      <c r="Z17" s="42"/>
      <c r="AA17" s="42"/>
      <c r="AB17" s="42"/>
      <c r="AC17" s="42"/>
      <c r="AD17" s="42">
        <v>1</v>
      </c>
      <c r="AE17" s="377"/>
      <c r="AF17" s="434"/>
      <c r="AG17" s="495"/>
      <c r="AH17" s="495"/>
    </row>
    <row r="18" spans="1:34" ht="82.15" customHeight="1" thickBot="1" x14ac:dyDescent="0.4">
      <c r="A18" s="278">
        <v>3</v>
      </c>
      <c r="B18" s="812" t="s">
        <v>693</v>
      </c>
      <c r="C18" s="814" t="s">
        <v>710</v>
      </c>
      <c r="D18" s="278" t="s">
        <v>86</v>
      </c>
      <c r="E18" s="812" t="s">
        <v>627</v>
      </c>
      <c r="F18" s="812" t="s">
        <v>463</v>
      </c>
      <c r="G18" s="812" t="s">
        <v>970</v>
      </c>
      <c r="H18" s="812" t="s">
        <v>672</v>
      </c>
      <c r="I18" s="812" t="s">
        <v>673</v>
      </c>
      <c r="J18" s="820" t="s">
        <v>666</v>
      </c>
      <c r="K18" s="818" t="s">
        <v>674</v>
      </c>
      <c r="L18" s="820" t="s">
        <v>189</v>
      </c>
      <c r="M18" s="822">
        <v>45474</v>
      </c>
      <c r="N18" s="822">
        <v>45641</v>
      </c>
      <c r="O18" s="62" t="s">
        <v>94</v>
      </c>
      <c r="P18" s="53">
        <f>+(P19*Q18)</f>
        <v>0.2</v>
      </c>
      <c r="Q18" s="68">
        <f t="shared" si="1"/>
        <v>1</v>
      </c>
      <c r="R18" s="43"/>
      <c r="S18" s="43"/>
      <c r="T18" s="43"/>
      <c r="U18" s="43">
        <v>0.25</v>
      </c>
      <c r="V18" s="43"/>
      <c r="W18" s="43"/>
      <c r="X18" s="43">
        <v>0.25</v>
      </c>
      <c r="Y18" s="43"/>
      <c r="Z18" s="44"/>
      <c r="AA18" s="44">
        <v>0.25</v>
      </c>
      <c r="AB18" s="44"/>
      <c r="AC18" s="44"/>
      <c r="AD18" s="44">
        <v>0.25</v>
      </c>
      <c r="AE18" s="824" t="s">
        <v>677</v>
      </c>
      <c r="AF18" s="824" t="s">
        <v>678</v>
      </c>
      <c r="AG18" s="434" t="s">
        <v>679</v>
      </c>
      <c r="AH18" s="494" t="s">
        <v>680</v>
      </c>
    </row>
    <row r="19" spans="1:34" ht="37.4" customHeight="1" thickBot="1" x14ac:dyDescent="0.4">
      <c r="A19" s="279"/>
      <c r="B19" s="813"/>
      <c r="C19" s="815"/>
      <c r="D19" s="279" t="s">
        <v>86</v>
      </c>
      <c r="E19" s="813"/>
      <c r="F19" s="813"/>
      <c r="G19" s="813"/>
      <c r="H19" s="813"/>
      <c r="I19" s="813"/>
      <c r="J19" s="821"/>
      <c r="K19" s="819"/>
      <c r="L19" s="821"/>
      <c r="M19" s="823"/>
      <c r="N19" s="823"/>
      <c r="O19" s="62" t="s">
        <v>99</v>
      </c>
      <c r="P19" s="52">
        <f>100%/5</f>
        <v>0.2</v>
      </c>
      <c r="Q19" s="68">
        <f t="shared" si="1"/>
        <v>1</v>
      </c>
      <c r="R19" s="42"/>
      <c r="S19" s="42"/>
      <c r="T19" s="42"/>
      <c r="U19" s="42">
        <v>0.25</v>
      </c>
      <c r="V19" s="42"/>
      <c r="W19" s="42"/>
      <c r="X19" s="42">
        <v>0.25</v>
      </c>
      <c r="Y19" s="42"/>
      <c r="Z19" s="42"/>
      <c r="AA19" s="42">
        <v>0.25</v>
      </c>
      <c r="AB19" s="42"/>
      <c r="AC19" s="42"/>
      <c r="AD19" s="42">
        <v>0.25</v>
      </c>
      <c r="AE19" s="825"/>
      <c r="AF19" s="825"/>
      <c r="AG19" s="494"/>
      <c r="AH19" s="495"/>
    </row>
    <row r="20" spans="1:34" ht="105" customHeight="1" thickBot="1" x14ac:dyDescent="0.4">
      <c r="A20" s="278">
        <v>4</v>
      </c>
      <c r="B20" s="816" t="s">
        <v>693</v>
      </c>
      <c r="C20" s="814" t="s">
        <v>710</v>
      </c>
      <c r="D20" s="278" t="s">
        <v>86</v>
      </c>
      <c r="E20" s="816" t="s">
        <v>627</v>
      </c>
      <c r="F20" s="816" t="s">
        <v>463</v>
      </c>
      <c r="G20" s="816" t="s">
        <v>971</v>
      </c>
      <c r="H20" s="816" t="s">
        <v>675</v>
      </c>
      <c r="I20" s="816" t="s">
        <v>676</v>
      </c>
      <c r="J20" s="810" t="s">
        <v>666</v>
      </c>
      <c r="K20" s="818" t="s">
        <v>674</v>
      </c>
      <c r="L20" s="810" t="s">
        <v>93</v>
      </c>
      <c r="M20" s="808">
        <v>45292</v>
      </c>
      <c r="N20" s="808">
        <v>45657</v>
      </c>
      <c r="O20" s="62" t="s">
        <v>94</v>
      </c>
      <c r="P20" s="53">
        <f>+(P21*Q20)</f>
        <v>0.2</v>
      </c>
      <c r="Q20" s="68">
        <f t="shared" si="1"/>
        <v>1</v>
      </c>
      <c r="R20" s="43"/>
      <c r="S20" s="43"/>
      <c r="T20" s="43"/>
      <c r="U20" s="43"/>
      <c r="V20" s="43"/>
      <c r="W20" s="43"/>
      <c r="X20" s="43">
        <v>0.5</v>
      </c>
      <c r="Y20" s="43"/>
      <c r="Z20" s="44">
        <v>0.25</v>
      </c>
      <c r="AA20" s="44"/>
      <c r="AB20" s="44"/>
      <c r="AC20" s="44"/>
      <c r="AD20" s="44">
        <v>0.25</v>
      </c>
      <c r="AE20" s="548"/>
      <c r="AF20" s="434" t="s">
        <v>681</v>
      </c>
      <c r="AG20" s="434" t="s">
        <v>682</v>
      </c>
      <c r="AH20" s="434" t="s">
        <v>683</v>
      </c>
    </row>
    <row r="21" spans="1:34" ht="47.15" customHeight="1" x14ac:dyDescent="0.35">
      <c r="A21" s="279"/>
      <c r="B21" s="817"/>
      <c r="C21" s="815"/>
      <c r="D21" s="279" t="s">
        <v>86</v>
      </c>
      <c r="E21" s="817"/>
      <c r="F21" s="817"/>
      <c r="G21" s="817"/>
      <c r="H21" s="817"/>
      <c r="I21" s="817"/>
      <c r="J21" s="811"/>
      <c r="K21" s="819"/>
      <c r="L21" s="811"/>
      <c r="M21" s="809"/>
      <c r="N21" s="809"/>
      <c r="O21" s="62" t="s">
        <v>99</v>
      </c>
      <c r="P21" s="52">
        <f>100%/5</f>
        <v>0.2</v>
      </c>
      <c r="Q21" s="68">
        <f t="shared" si="1"/>
        <v>1</v>
      </c>
      <c r="R21" s="42"/>
      <c r="S21" s="42"/>
      <c r="T21" s="42"/>
      <c r="U21" s="42"/>
      <c r="V21" s="42"/>
      <c r="W21" s="42"/>
      <c r="X21" s="42">
        <v>0.5</v>
      </c>
      <c r="Y21" s="42"/>
      <c r="Z21" s="42"/>
      <c r="AA21" s="42">
        <v>0.25</v>
      </c>
      <c r="AB21" s="42"/>
      <c r="AC21" s="42"/>
      <c r="AD21" s="42">
        <v>0.25</v>
      </c>
      <c r="AE21" s="377"/>
      <c r="AF21" s="433"/>
      <c r="AG21" s="494"/>
      <c r="AH21" s="494"/>
    </row>
    <row r="23" spans="1:34" s="13" customFormat="1" ht="30" hidden="1" customHeight="1" x14ac:dyDescent="0.35">
      <c r="D23" s="371" t="s">
        <v>43</v>
      </c>
      <c r="E23" s="371"/>
      <c r="F23" s="21">
        <v>1</v>
      </c>
      <c r="H23" s="460" t="s">
        <v>134</v>
      </c>
      <c r="I23" s="22" t="s">
        <v>135</v>
      </c>
      <c r="J23" s="54" t="e">
        <f>SUM(N23:AC23)</f>
        <v>#REF!</v>
      </c>
      <c r="K23" s="33"/>
      <c r="L23" s="33"/>
      <c r="M23" s="33"/>
      <c r="N23" s="33" t="e">
        <f>+(V14*$P$15)+(V16*$P$17)+(V18*$P$19)+(V20*$P$21)+(#REF!*#REF!)+(#REF!*#REF!)+(#REF!*#REF!)+(#REF!*#REF!)+(#REF!*#REF!)+(#REF!*#REF!)+(#REF!*#REF!)+(#REF!*#REF!)+(#REF!*#REF!)</f>
        <v>#REF!</v>
      </c>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3"/>
    </row>
    <row r="24" spans="1:34" s="13" customFormat="1" ht="30" hidden="1" customHeight="1" x14ac:dyDescent="0.35">
      <c r="D24" s="371"/>
      <c r="E24" s="371"/>
      <c r="F24" s="21"/>
      <c r="H24" s="461"/>
      <c r="I24" s="15" t="s">
        <v>136</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4"/>
    </row>
    <row r="25" spans="1:34" s="13" customFormat="1" ht="30" hidden="1" customHeight="1" x14ac:dyDescent="0.35">
      <c r="H25" s="461"/>
      <c r="I25" s="15" t="s">
        <v>137</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4"/>
    </row>
    <row r="26" spans="1:34" s="13" customFormat="1" ht="30" hidden="1" customHeight="1" x14ac:dyDescent="0.35">
      <c r="H26" s="462"/>
      <c r="I26" s="18" t="s">
        <v>138</v>
      </c>
      <c r="J26" s="19"/>
      <c r="K26" s="35"/>
      <c r="L26" s="35"/>
      <c r="M26" s="35"/>
      <c r="N26" s="35"/>
      <c r="O26" s="35"/>
      <c r="P26" s="38"/>
      <c r="Q26" s="35"/>
      <c r="R26" s="35"/>
      <c r="S26" s="28"/>
      <c r="T26" s="29"/>
      <c r="U26" s="29"/>
      <c r="V26" s="29"/>
      <c r="W26" s="29"/>
      <c r="X26" s="29"/>
      <c r="Y26" s="29"/>
      <c r="Z26" s="29"/>
      <c r="AA26" s="29" t="e">
        <f>+O25+AA25</f>
        <v>#REF!</v>
      </c>
      <c r="AB26" s="40"/>
      <c r="AC26" s="29"/>
      <c r="AD26" s="64"/>
    </row>
    <row r="27" spans="1:34" s="13" customFormat="1" ht="30" hidden="1" customHeight="1" x14ac:dyDescent="0.35">
      <c r="H27" s="463" t="s">
        <v>139</v>
      </c>
      <c r="I27" s="15" t="s">
        <v>140</v>
      </c>
      <c r="J27" s="23" t="e">
        <f>SUM(N27:AC27)</f>
        <v>#REF!</v>
      </c>
      <c r="K27" s="34"/>
      <c r="L27" s="34"/>
      <c r="M27" s="34"/>
      <c r="N27" s="34" t="e">
        <f>+(V15*$P$15)+(V17*$P$17)+(V19*$P$19)+(V21*$P$21)+(#REF!*#REF!)+(#REF!*#REF!)+(#REF!*#REF!)+(#REF!*#REF!)+(#REF!*#REF!)+(#REF!*#REF!)+(#REF!*#REF!)+(#REF!*#REF!)+(#REF!*#REF!)</f>
        <v>#REF!</v>
      </c>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3"/>
    </row>
    <row r="28" spans="1:34" s="13" customFormat="1" ht="30" hidden="1" customHeight="1" x14ac:dyDescent="0.35">
      <c r="H28" s="461"/>
      <c r="I28" s="15" t="s">
        <v>141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3"/>
    </row>
    <row r="29" spans="1:34" s="13" customFormat="1" ht="30" hidden="1" customHeight="1" x14ac:dyDescent="0.35">
      <c r="H29" s="461"/>
      <c r="I29" s="15" t="s">
        <v>142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4"/>
    </row>
    <row r="30" spans="1:34" s="13" customFormat="1" ht="30" hidden="1" customHeight="1" x14ac:dyDescent="0.35">
      <c r="H30" s="462"/>
      <c r="I30" s="20" t="s">
        <v>143</v>
      </c>
      <c r="J30" s="19"/>
      <c r="K30" s="35"/>
      <c r="L30" s="35"/>
      <c r="M30" s="35"/>
      <c r="N30" s="35"/>
      <c r="O30" s="35"/>
      <c r="P30" s="38"/>
      <c r="Q30" s="35"/>
      <c r="R30" s="35"/>
      <c r="S30" s="28"/>
      <c r="T30" s="29"/>
      <c r="U30" s="29"/>
      <c r="V30" s="29"/>
      <c r="W30" s="29"/>
      <c r="X30" s="29"/>
      <c r="Y30" s="29"/>
      <c r="Z30" s="29"/>
      <c r="AA30" s="29" t="e">
        <f>+O29+AA29</f>
        <v>#REF!</v>
      </c>
      <c r="AB30" s="40"/>
      <c r="AC30" s="41"/>
      <c r="AD30" s="64"/>
    </row>
    <row r="31" spans="1:34" ht="30" hidden="1" customHeight="1" x14ac:dyDescent="0.35">
      <c r="H31" s="24"/>
      <c r="I31" s="372" t="s">
        <v>144</v>
      </c>
      <c r="J31" s="372"/>
      <c r="K31" s="46"/>
      <c r="L31" s="46"/>
      <c r="M31" s="46"/>
      <c r="N31" s="46" t="e">
        <f>+N23/N27</f>
        <v>#REF!</v>
      </c>
      <c r="O31" s="47" t="e">
        <f>+(N23+#REF!+#REF!+#REF!+#REF!+#REF!+#REF!+O23)/(N27+#REF!+#REF!+#REF!+#REF!+#REF!+#REF!+O27)</f>
        <v>#REF!</v>
      </c>
      <c r="P31" s="48" t="e">
        <f>+(N23+#REF!+#REF!+#REF!+#REF!+#REF!+#REF!+O23+P23)/(N27+#REF!+#REF!+#REF!+#REF!+#REF!+#REF!+O27+P27)</f>
        <v>#REF!</v>
      </c>
      <c r="Q31" s="46" t="e">
        <f>+(N23+#REF!+#REF!+#REF!+#REF!+#REF!+#REF!+O23+P23+Q23)/(N27+#REF!+#REF!+#REF!+#REF!+#REF!+#REF!+O27+P27+Q27)</f>
        <v>#REF!</v>
      </c>
      <c r="R31" s="46" t="e">
        <f>+(N23+#REF!+#REF!+#REF!+#REF!+#REF!+#REF!+O23+P23+Q23+R23)/(N27+#REF!+#REF!+#REF!+#REF!+#REF!+#REF!+O27+P27+Q27+R27)</f>
        <v>#REF!</v>
      </c>
      <c r="S31" s="47" t="e">
        <f>+(N23+#REF!+#REF!+#REF!+#REF!+#REF!+#REF!+O23+P23+Q23+R23+S23)/(N27+#REF!+#REF!+#REF!+#REF!+#REF!+#REF!+O27+P27+Q27+R27+S27)</f>
        <v>#REF!</v>
      </c>
      <c r="T31" s="46" t="e">
        <f>+(N23+#REF!+#REF!+#REF!+#REF!+#REF!+#REF!+O23+P23+Q23+R23+S23+T23)/(N27+#REF!+#REF!+#REF!+#REF!+#REF!+#REF!+O27+P27+Q27+R27+S27+T27)</f>
        <v>#REF!</v>
      </c>
      <c r="U31" s="46" t="e">
        <f>+(N23+#REF!+#REF!+#REF!+#REF!+#REF!+#REF!+O23+P23+Q23+R23+S23+T23+U23)/(N27+#REF!+#REF!+#REF!+#REF!+#REF!+#REF!+O27+P27+Q27+R27+S27+T27+U27)</f>
        <v>#REF!</v>
      </c>
      <c r="V31" s="46" t="e">
        <f>+(N23+#REF!+#REF!+#REF!+#REF!+#REF!+#REF!+O23+P23+Q23+R23+S23+T23+U23+V23)/(N27+#REF!+#REF!+#REF!+#REF!+#REF!+#REF!+O27+P27+Q27+R27+S27+T27+U27+V27)</f>
        <v>#REF!</v>
      </c>
      <c r="W31" s="47" t="e">
        <f>+(N23+#REF!+#REF!+#REF!+#REF!+#REF!+#REF!+O23+P23+Q23+R23+S23+T23+U23+V23+W23)/(N27+#REF!+#REF!+#REF!+#REF!+#REF!+#REF!+O27+P27+Q27+R27+S27+T27+U27+V27+W27)</f>
        <v>#REF!</v>
      </c>
      <c r="X31" s="46" t="e">
        <f>+(N23+#REF!+#REF!+#REF!+#REF!+#REF!+#REF!+O23+P23+Q23+R23+S23+T23+U23+V23+W23+X23)/(N27+#REF!+#REF!+#REF!+#REF!+#REF!+#REF!+O27+P27+Q27+R27+S27+T27+U27+V27+W27+X27)</f>
        <v>#REF!</v>
      </c>
      <c r="Y31" s="46" t="e">
        <f>+(N23+#REF!+#REF!+#REF!+#REF!+#REF!+#REF!+O23+P23+Q23+R23+S23+T23+U23+V23+W23+X23+Y23)/(N27+#REF!+#REF!+#REF!+#REF!+#REF!+#REF!+O27+P27+Q27+R27+S27+T27+U27+V27+W27+X27+Y27)</f>
        <v>#REF!</v>
      </c>
      <c r="Z31" s="46" t="e">
        <f>+(N23+#REF!+#REF!+#REF!+#REF!+#REF!+#REF!+O23+P23+Q23+R23+S23+T23+U23+V23+W23+X23+Y23+Z23)/(N27+#REF!+#REF!+#REF!+#REF!+#REF!+#REF!+O27+P27+Q27+R27+S27+T27+U27+V27+W27+X27+Y27+Z27)</f>
        <v>#REF!</v>
      </c>
      <c r="AA31" s="47" t="e">
        <f>+(N23+#REF!+#REF!+#REF!+#REF!+#REF!+#REF!+O23+P23+Q23+R23+S23+T23+U23+V23+W23+X23+Y23+Z23+AA23)/(N27+#REF!+#REF!+#REF!+#REF!+#REF!+#REF!+O27+P27+Q27+R27+S27+T27+U27+V27+W27+X27+Y27+Z27+AA27)</f>
        <v>#REF!</v>
      </c>
      <c r="AB31" s="48" t="e">
        <f>+(N23+#REF!+#REF!+#REF!+#REF!+#REF!+#REF!+O23+P23+Q23+R23+S23+T23+U23+V23+W23+X23+Y23+Z23+AA23+AB23)/(N27+#REF!+#REF!+#REF!+#REF!+#REF!+#REF!+O27+P27+Q27+R27+S27+T27+U27+V27+W27+X27+Y27+Z27+AA27+AB27)</f>
        <v>#REF!</v>
      </c>
      <c r="AC31" s="46" t="e">
        <f>+(N23+#REF!+#REF!+#REF!+#REF!+#REF!+#REF!+O23+P23+Q23+R23+S23+T23+U23+V23+W23+X23+Y23+Z23+AA23+AB23+AC23)/(N27+#REF!+#REF!+#REF!+#REF!+#REF!+#REF!+O27+P27+Q27+R27+S27+T27+U27+V27+W27+X27+Y27+Z27+AA27+AB27+AC27)</f>
        <v>#REF!</v>
      </c>
      <c r="AD31" s="65"/>
    </row>
    <row r="32" spans="1:34" ht="30" hidden="1" customHeight="1" x14ac:dyDescent="0.35">
      <c r="H32" s="24"/>
      <c r="I32" s="373" t="s">
        <v>145</v>
      </c>
      <c r="J32" s="373"/>
      <c r="K32" s="47"/>
      <c r="L32" s="47"/>
      <c r="M32" s="47"/>
      <c r="N32" s="47" t="e">
        <f>+N23/$F$23</f>
        <v>#REF!</v>
      </c>
      <c r="O32" s="47" t="e">
        <f>+(N23+#REF!+#REF!+#REF!+#REF!+#REF!+#REF!+O23)/$F$23</f>
        <v>#REF!</v>
      </c>
      <c r="P32" s="49" t="e">
        <f>+(N23+#REF!+#REF!+#REF!+#REF!+#REF!+#REF!+O23+P23)/$F$23</f>
        <v>#REF!</v>
      </c>
      <c r="Q32" s="47" t="e">
        <f>+(N23+#REF!+#REF!+#REF!+#REF!+#REF!+#REF!+O23+P23+Q23)/$F$23</f>
        <v>#REF!</v>
      </c>
      <c r="R32" s="47" t="e">
        <f>+(N23+#REF!+#REF!+#REF!+#REF!+#REF!+#REF!+O23+P23+Q23+R23)/$F$23</f>
        <v>#REF!</v>
      </c>
      <c r="S32" s="47" t="e">
        <f>+(N23+#REF!+#REF!+#REF!+#REF!+#REF!+#REF!+O23+P23+Q23+R23+S23)/$F$23</f>
        <v>#REF!</v>
      </c>
      <c r="T32" s="47" t="e">
        <f>+(N23+#REF!+#REF!+#REF!+#REF!+#REF!+#REF!+O23+P23+Q23+R23+S23+T23)/$F$23</f>
        <v>#REF!</v>
      </c>
      <c r="U32" s="47" t="e">
        <f>+(N23+#REF!+#REF!+#REF!+#REF!+#REF!+#REF!+O23+P23+Q23+R23+S23+T23+U23)/$F$23</f>
        <v>#REF!</v>
      </c>
      <c r="V32" s="47" t="e">
        <f>+(N23+#REF!+#REF!+#REF!+#REF!+#REF!+#REF!+O23+P23+Q23+R23+S23+T23+U23+V23)/$F$23</f>
        <v>#REF!</v>
      </c>
      <c r="W32" s="47" t="e">
        <f>+(N23+#REF!+#REF!+#REF!+#REF!+#REF!+#REF!+O23+P23+Q23+R23+S23+T23+U23+V23+W23)/$F$23</f>
        <v>#REF!</v>
      </c>
      <c r="X32" s="47" t="e">
        <f>+(N23+#REF!+#REF!+#REF!+#REF!+#REF!+#REF!+O23+P23+Q23+R23+S23+T23+U23+V23+W23+X23)/$F$23</f>
        <v>#REF!</v>
      </c>
      <c r="Y32" s="47" t="e">
        <f>+(N23+#REF!+#REF!+#REF!+#REF!+#REF!+#REF!+O23+P23+Q23+R23+S23+T23+U23+V23+W23+X23+Y23)/$F$23</f>
        <v>#REF!</v>
      </c>
      <c r="Z32" s="47" t="e">
        <f>+(N23+#REF!+#REF!+#REF!+#REF!+#REF!+#REF!+O23+P23+Q23+R23+S23+T23+U23+V23+W23+X23+Y23+Z23)/$F$23</f>
        <v>#REF!</v>
      </c>
      <c r="AA32" s="47" t="e">
        <f>+(N23+#REF!+#REF!+#REF!+#REF!+#REF!+#REF!+O23+P23+Q23+R23+S23+T23+U23+V23+W23+X23+Y23+Z23+AA23)/$F$23</f>
        <v>#REF!</v>
      </c>
      <c r="AB32" s="49" t="e">
        <f>+(N23+#REF!+#REF!+#REF!+#REF!+#REF!+#REF!+O23+P23+Q23+R23+S23+T23+U23+V23+W23+X23+Y23+Z23+AA23+AB23)/$F$23</f>
        <v>#REF!</v>
      </c>
      <c r="AC32" s="47" t="e">
        <f>+(N23+#REF!+#REF!+#REF!+#REF!+#REF!+#REF!+O23+P23+Q23+R23+S23+T23+U23+V23+W23+X23+Y23+Z23+AA23+AB23+AC23)/$F$23</f>
        <v>#REF!</v>
      </c>
      <c r="AD32" s="66"/>
    </row>
    <row r="33" spans="8:30" ht="30" hidden="1" customHeight="1" x14ac:dyDescent="0.35">
      <c r="I33" s="372" t="s">
        <v>146</v>
      </c>
      <c r="J33" s="372"/>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7"/>
    </row>
    <row r="34" spans="8:30" ht="30" hidden="1" customHeight="1" x14ac:dyDescent="0.35">
      <c r="I34" s="373" t="s">
        <v>147</v>
      </c>
      <c r="J34" s="373"/>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7"/>
    </row>
    <row r="35" spans="8:30" ht="30" hidden="1" customHeight="1" x14ac:dyDescent="0.35">
      <c r="I35" s="372" t="s">
        <v>148</v>
      </c>
      <c r="J35" s="372"/>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7"/>
    </row>
    <row r="36" spans="8:30" ht="30" hidden="1" customHeight="1" x14ac:dyDescent="0.35">
      <c r="I36" s="372" t="s">
        <v>149</v>
      </c>
      <c r="J36" s="372"/>
      <c r="K36" s="50"/>
      <c r="L36" s="50"/>
      <c r="M36" s="50"/>
      <c r="N36" s="50"/>
      <c r="O36" s="47" t="e">
        <f>+(#REF!+O24)/$F$23</f>
        <v>#REF!</v>
      </c>
      <c r="P36" s="51"/>
      <c r="Q36" s="50"/>
      <c r="R36" s="50"/>
      <c r="S36" s="50"/>
      <c r="T36" s="50"/>
      <c r="U36" s="50"/>
      <c r="V36" s="50"/>
      <c r="W36" s="50"/>
      <c r="X36" s="50"/>
      <c r="Y36" s="50"/>
      <c r="Z36" s="50"/>
      <c r="AA36" s="47" t="e">
        <f>+(+#REF!+O24+S24+W24+AA24)/$F$23</f>
        <v>#REF!</v>
      </c>
      <c r="AB36" s="51"/>
      <c r="AC36" s="50"/>
      <c r="AD36" s="67"/>
    </row>
    <row r="37" spans="8:30" ht="15" hidden="1" customHeight="1" x14ac:dyDescent="0.35"/>
    <row r="38" spans="8:30" ht="35.15" hidden="1" customHeight="1" x14ac:dyDescent="0.35">
      <c r="H38" s="432" t="s">
        <v>150</v>
      </c>
      <c r="I38" s="432"/>
      <c r="J38" s="30" t="e">
        <f>+#REF!</f>
        <v>#REF!</v>
      </c>
      <c r="K38" s="32"/>
      <c r="L38" s="32"/>
      <c r="M38" s="32"/>
      <c r="N38" s="32"/>
    </row>
    <row r="39" spans="8:30" ht="35.15" hidden="1" customHeight="1" x14ac:dyDescent="0.35">
      <c r="H39" s="432" t="s">
        <v>151</v>
      </c>
      <c r="I39" s="432"/>
      <c r="J39" s="25">
        <f>+F23</f>
        <v>1</v>
      </c>
      <c r="K39" s="32"/>
      <c r="L39" s="32"/>
      <c r="M39" s="32"/>
      <c r="N39" s="32"/>
    </row>
    <row r="40" spans="8:30" ht="35.15" hidden="1" customHeight="1" x14ac:dyDescent="0.35">
      <c r="H40" s="432" t="s">
        <v>152</v>
      </c>
      <c r="I40" s="432"/>
      <c r="J40" s="31" t="e">
        <f>+J38/J39</f>
        <v>#REF!</v>
      </c>
      <c r="K40" s="32"/>
      <c r="L40" s="32"/>
      <c r="M40" s="32"/>
      <c r="N40" s="32"/>
    </row>
    <row r="41" spans="8:30" ht="15" customHeight="1" x14ac:dyDescent="0.35">
      <c r="K41" s="32"/>
      <c r="L41" s="32"/>
      <c r="M41" s="32"/>
      <c r="N41" s="32"/>
    </row>
    <row r="42" spans="8:30" ht="15" customHeight="1" x14ac:dyDescent="0.35">
      <c r="K42" s="32"/>
      <c r="L42" s="32"/>
      <c r="M42" s="32"/>
      <c r="N42" s="32"/>
    </row>
    <row r="43" spans="8:30" ht="15" customHeight="1" x14ac:dyDescent="0.35">
      <c r="K43" s="32"/>
      <c r="L43" s="32"/>
      <c r="M43" s="32"/>
      <c r="N43" s="32"/>
    </row>
  </sheetData>
  <sheetProtection algorithmName="SHA-512" hashValue="WFEY/00FIuzqLXEDWOfFElkGBRhhJ+7qRaRtj4fEGfwFmLXMREkpSTjezVOuqeT4sf04+CnDpK+75pkgFMAxRA==" saltValue="djjq9bQK+daDUxzphRlw1Q==" spinCount="100000" sheet="1" formatCells="0" formatColumns="0" formatRows="0" insertColumns="0" insertRows="0" insertHyperlinks="0" deleteColumns="0" deleteRows="0" sort="0" autoFilter="0" pivotTables="0"/>
  <autoFilter ref="A13:AH21" xr:uid="{7723D7EE-A84F-4CE4-9847-98943A10A2B4}"/>
  <mergeCells count="143">
    <mergeCell ref="A1:C3"/>
    <mergeCell ref="D1:AH3"/>
    <mergeCell ref="A4:A5"/>
    <mergeCell ref="G4:G5"/>
    <mergeCell ref="A6:B10"/>
    <mergeCell ref="C6:D10"/>
    <mergeCell ref="E6:F10"/>
    <mergeCell ref="G6:G10"/>
    <mergeCell ref="H6:I10"/>
    <mergeCell ref="J6:J10"/>
    <mergeCell ref="Z6:AC10"/>
    <mergeCell ref="AD6:AE10"/>
    <mergeCell ref="AF6:AF10"/>
    <mergeCell ref="AG6:AG10"/>
    <mergeCell ref="T12:T13"/>
    <mergeCell ref="U12:U13"/>
    <mergeCell ref="V12:V13"/>
    <mergeCell ref="W12:W13"/>
    <mergeCell ref="A11:F11"/>
    <mergeCell ref="G11:N11"/>
    <mergeCell ref="O11:AD11"/>
    <mergeCell ref="AE11:AH11"/>
    <mergeCell ref="L6:L10"/>
    <mergeCell ref="M6:N10"/>
    <mergeCell ref="O6:Q10"/>
    <mergeCell ref="R6:U10"/>
    <mergeCell ref="V6:Y10"/>
    <mergeCell ref="K6:K10"/>
    <mergeCell ref="A12:A13"/>
    <mergeCell ref="B12:B13"/>
    <mergeCell ref="C12:C13"/>
    <mergeCell ref="D12:D13"/>
    <mergeCell ref="E12:E13"/>
    <mergeCell ref="F12:F13"/>
    <mergeCell ref="G12:G13"/>
    <mergeCell ref="R12:R13"/>
    <mergeCell ref="S12:S13"/>
    <mergeCell ref="M12:M13"/>
    <mergeCell ref="N12:N13"/>
    <mergeCell ref="O12:O13"/>
    <mergeCell ref="P12:P13"/>
    <mergeCell ref="Q12:Q13"/>
    <mergeCell ref="H12:H13"/>
    <mergeCell ref="I12:I13"/>
    <mergeCell ref="J12:J13"/>
    <mergeCell ref="K12:K13"/>
    <mergeCell ref="L12:L13"/>
    <mergeCell ref="AD12:AD13"/>
    <mergeCell ref="AE12:AE13"/>
    <mergeCell ref="AF12:AF13"/>
    <mergeCell ref="AG12:AG13"/>
    <mergeCell ref="AH12:AH13"/>
    <mergeCell ref="X12:X13"/>
    <mergeCell ref="Y12:Y13"/>
    <mergeCell ref="Z12:Z13"/>
    <mergeCell ref="AA12:AA13"/>
    <mergeCell ref="AB12:AB13"/>
    <mergeCell ref="AC12:AC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G14:G15"/>
    <mergeCell ref="H14:H15"/>
    <mergeCell ref="I14:I15"/>
    <mergeCell ref="J14:J15"/>
    <mergeCell ref="K14:K15"/>
    <mergeCell ref="AE16:AE17"/>
    <mergeCell ref="AF16:AF17"/>
    <mergeCell ref="AG16:AG17"/>
    <mergeCell ref="AH16:AH17"/>
    <mergeCell ref="AE20:AE21"/>
    <mergeCell ref="AF20:AF21"/>
    <mergeCell ref="AG20:AG21"/>
    <mergeCell ref="AH20:AH21"/>
    <mergeCell ref="I20:I21"/>
    <mergeCell ref="K20:K21"/>
    <mergeCell ref="L20:L21"/>
    <mergeCell ref="M20:M21"/>
    <mergeCell ref="AG18:AG19"/>
    <mergeCell ref="AH18:AH19"/>
    <mergeCell ref="L18:L19"/>
    <mergeCell ref="M18:M19"/>
    <mergeCell ref="N18:N19"/>
    <mergeCell ref="AE18:AE19"/>
    <mergeCell ref="AF18:AF19"/>
    <mergeCell ref="I18:I19"/>
    <mergeCell ref="J18:J19"/>
    <mergeCell ref="K18:K19"/>
    <mergeCell ref="J20:J21"/>
    <mergeCell ref="D23:E23"/>
    <mergeCell ref="H23:H26"/>
    <mergeCell ref="D24:E24"/>
    <mergeCell ref="H27:H30"/>
    <mergeCell ref="N20:N21"/>
    <mergeCell ref="A20:A21"/>
    <mergeCell ref="B20:B21"/>
    <mergeCell ref="C20:C21"/>
    <mergeCell ref="D20:D21"/>
    <mergeCell ref="E20:E21"/>
    <mergeCell ref="F20:F21"/>
    <mergeCell ref="G20:G21"/>
    <mergeCell ref="H20:H21"/>
    <mergeCell ref="H38:I38"/>
    <mergeCell ref="H39:I39"/>
    <mergeCell ref="H40:I40"/>
    <mergeCell ref="I31:J31"/>
    <mergeCell ref="I32:J32"/>
    <mergeCell ref="I33:J33"/>
    <mergeCell ref="I34:J34"/>
    <mergeCell ref="I35:J35"/>
    <mergeCell ref="I36:J36"/>
    <mergeCell ref="N16:N17"/>
    <mergeCell ref="M16:M17"/>
    <mergeCell ref="L16:L17"/>
    <mergeCell ref="E14:E15"/>
    <mergeCell ref="F18:F19"/>
    <mergeCell ref="G18:G19"/>
    <mergeCell ref="H18:H19"/>
    <mergeCell ref="A18:A19"/>
    <mergeCell ref="B18:B19"/>
    <mergeCell ref="C18:C19"/>
    <mergeCell ref="D18:D19"/>
    <mergeCell ref="E18:E19"/>
    <mergeCell ref="I16:I17"/>
    <mergeCell ref="J16:J17"/>
    <mergeCell ref="K16:K17"/>
    <mergeCell ref="F14:F15"/>
    <mergeCell ref="D14:D15"/>
    <mergeCell ref="C14:C15"/>
    <mergeCell ref="B14:B15"/>
    <mergeCell ref="A14:A15"/>
  </mergeCells>
  <conditionalFormatting sqref="I4">
    <cfRule type="cellIs" dxfId="18" priority="16" operator="lessThanOrEqual">
      <formula>$C$4</formula>
    </cfRule>
  </conditionalFormatting>
  <conditionalFormatting sqref="J6 Q14:Q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O6">
    <cfRule type="cellIs" dxfId="14" priority="13" operator="greaterThanOrEqual">
      <formula>$I$5</formula>
    </cfRule>
    <cfRule type="cellIs" dxfId="13" priority="14" operator="lessThanOrEqual">
      <formula>$I$4</formula>
    </cfRule>
    <cfRule type="cellIs" dxfId="12" priority="15" operator="between">
      <formula>$I$5</formula>
      <formula>$I$4</formula>
    </cfRule>
  </conditionalFormatting>
  <conditionalFormatting sqref="S31:S34 W31:W34 O31:O36 AA31:AA36 K32:N32 P32:R32 T32:V32 X32:Z32 AB32:AD32 J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V6">
    <cfRule type="cellIs" dxfId="8" priority="7" operator="greaterThanOrEqual">
      <formula>$I$5</formula>
    </cfRule>
    <cfRule type="cellIs" dxfId="7" priority="8" operator="lessThanOrEqual">
      <formula>$I$4</formula>
    </cfRule>
    <cfRule type="cellIs" dxfId="6" priority="9" operator="between">
      <formula>$I$5</formula>
      <formula>$I$4</formula>
    </cfRule>
  </conditionalFormatting>
  <conditionalFormatting sqref="AD6">
    <cfRule type="cellIs" dxfId="5" priority="4" operator="greaterThanOrEqual">
      <formula>$I$5</formula>
    </cfRule>
    <cfRule type="cellIs" dxfId="4" priority="5" operator="lessThanOrEqual">
      <formula>$I$4</formula>
    </cfRule>
    <cfRule type="cellIs" dxfId="3" priority="6" operator="between">
      <formula>$I$5</formula>
      <formula>$I$4</formula>
    </cfRule>
  </conditionalFormatting>
  <conditionalFormatting sqref="AG6">
    <cfRule type="cellIs" dxfId="2" priority="1" operator="greaterThanOrEqual">
      <formula>$I$5</formula>
    </cfRule>
    <cfRule type="cellIs" dxfId="1" priority="2" operator="lessThanOrEqual">
      <formula>$I$4</formula>
    </cfRule>
    <cfRule type="cellIs" dxfId="0" priority="3"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20 P16 P18" xr:uid="{3B8B5ED9-8025-4F76-8799-A17734ABD876}">
      <formula1>0</formula1>
      <formula2>1</formula2>
    </dataValidation>
    <dataValidation type="decimal" allowBlank="1" showInputMessage="1" showErrorMessage="1" prompt="campo calculado  - indica el % de avance  que aporta la activadad a todo el proyecto" sqref="P21 P17 P15 P19" xr:uid="{262DF8B3-B77E-4B14-BCC8-0855A759C7CB}">
      <formula1>0</formula1>
      <formula2>1</formula2>
    </dataValidation>
    <dataValidation type="decimal" allowBlank="1" showInputMessage="1" showErrorMessage="1" prompt="% de avance en la actividad - indique el % programado de avance durante esta semana_x000a_" sqref="R14:AD21" xr:uid="{45D94B7C-80F1-4224-B220-F5DC7D14C3A9}">
      <formula1>0</formula1>
      <formula2>1</formula2>
    </dataValidation>
    <dataValidation allowBlank="1" showErrorMessage="1" sqref="Q14:Q21" xr:uid="{05390F29-7F08-4563-96ED-AC268129708F}"/>
    <dataValidation type="list" allowBlank="1" showInputMessage="1" showErrorMessage="1" sqref="L14:L15" xr:uid="{156231FF-5027-403C-B57F-DEA5E7D08937}">
      <formula1>$L$44:$L$46</formula1>
    </dataValidation>
    <dataValidation type="list" allowBlank="1" showInputMessage="1" showErrorMessage="1" sqref="F14:F15" xr:uid="{0020B7E1-C8F7-485C-AB0B-26458C4AD6A2}">
      <formula1>$G$44:$G$103</formula1>
    </dataValidation>
    <dataValidation type="list" allowBlank="1" showInputMessage="1" showErrorMessage="1" sqref="E14:E15" xr:uid="{7E5D2376-68D1-4AAB-8C8F-05088413EA5A}">
      <formula1>$E$44:$E$62</formula1>
    </dataValidation>
    <dataValidation type="list" allowBlank="1" showInputMessage="1" showErrorMessage="1" sqref="D14:D21" xr:uid="{BF334B02-7764-465D-83F8-A93FE9D5864A}">
      <formula1>$D$44:$D$50</formula1>
    </dataValidation>
    <dataValidation type="list" allowBlank="1" showInputMessage="1" showErrorMessage="1" sqref="C14:C15" xr:uid="{F61F9BD4-EA34-445F-84DB-42C8FDF15C32}">
      <formula1>$C$44:$C$53</formula1>
    </dataValidation>
    <dataValidation type="list" allowBlank="1" showInputMessage="1" showErrorMessage="1" sqref="B14:B15" xr:uid="{607E1622-6A36-4525-8154-36D43AEEFDBE}">
      <formula1>$B$44:$B$51</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81640625" style="205"/>
    <col min="33" max="33" width="17.7265625" style="205" bestFit="1" customWidth="1"/>
    <col min="34" max="34" width="25.1796875" style="205" bestFit="1" customWidth="1"/>
    <col min="35" max="35" width="25.7265625" style="205" bestFit="1" customWidth="1"/>
    <col min="36" max="37" width="26.453125" style="205" bestFit="1" customWidth="1"/>
  </cols>
  <sheetData>
    <row r="1" spans="1:37" ht="14.5" customHeight="1" x14ac:dyDescent="0.35">
      <c r="A1" s="260" t="s">
        <v>684</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2"/>
      <c r="AF1" s="212" t="s">
        <v>7</v>
      </c>
      <c r="AG1" s="212" t="s">
        <v>8</v>
      </c>
      <c r="AH1" s="212" t="s">
        <v>9</v>
      </c>
      <c r="AI1" s="212" t="s">
        <v>10</v>
      </c>
      <c r="AJ1" s="212" t="s">
        <v>11</v>
      </c>
      <c r="AK1" s="212" t="s">
        <v>12</v>
      </c>
    </row>
    <row r="2" spans="1:37" ht="14.5" customHeight="1" x14ac:dyDescent="0.35">
      <c r="A2" s="260"/>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261"/>
      <c r="AD2" s="261"/>
      <c r="AE2" s="262"/>
      <c r="AF2" s="205" t="s">
        <v>13</v>
      </c>
      <c r="AG2" s="213" t="e">
        <f>AVERAGE(AG3:AG14)</f>
        <v>#REF!</v>
      </c>
      <c r="AH2" s="213" t="e">
        <f>AVERAGE(AH3:AH14)</f>
        <v>#REF!</v>
      </c>
      <c r="AI2" s="213" t="e">
        <f t="shared" ref="AI2:AJ2" si="0">AVERAGE(AI3:AI14)</f>
        <v>#REF!</v>
      </c>
      <c r="AJ2" s="213" t="e">
        <f t="shared" si="0"/>
        <v>#REF!</v>
      </c>
      <c r="AK2" s="213" t="e">
        <f>AVERAGE(AK3:AK14)</f>
        <v>#REF!</v>
      </c>
    </row>
    <row r="3" spans="1:37" x14ac:dyDescent="0.35">
      <c r="A3" s="263" t="s">
        <v>14</v>
      </c>
      <c r="B3" s="264"/>
      <c r="C3" s="264"/>
      <c r="D3" s="264"/>
      <c r="E3" s="264"/>
      <c r="F3" s="265"/>
      <c r="G3" s="263" t="s">
        <v>9</v>
      </c>
      <c r="H3" s="264"/>
      <c r="I3" s="264"/>
      <c r="J3" s="264"/>
      <c r="K3" s="264"/>
      <c r="L3" s="265"/>
      <c r="M3" s="263" t="s">
        <v>15</v>
      </c>
      <c r="N3" s="264"/>
      <c r="O3" s="264"/>
      <c r="P3" s="264"/>
      <c r="Q3" s="264"/>
      <c r="R3" s="265"/>
      <c r="S3" s="263" t="s">
        <v>16</v>
      </c>
      <c r="T3" s="264"/>
      <c r="U3" s="264"/>
      <c r="V3" s="264"/>
      <c r="W3" s="264"/>
      <c r="X3" s="265"/>
      <c r="Y3" s="267" t="s">
        <v>17</v>
      </c>
      <c r="Z3" s="268"/>
      <c r="AA3" s="268"/>
      <c r="AB3" s="268"/>
      <c r="AC3" s="268"/>
      <c r="AD3" s="268"/>
      <c r="AE3" s="268"/>
      <c r="AF3" s="205" t="s">
        <v>18</v>
      </c>
      <c r="AG3" s="213">
        <f>'01. SECTORIAL'!I6</f>
        <v>1.0526315789473684</v>
      </c>
      <c r="AH3" s="213">
        <f>'01. SECTORIAL'!O6</f>
        <v>1.0526315789473684</v>
      </c>
      <c r="AI3" s="213">
        <f>'01. SECTORIAL'!V6</f>
        <v>1.0526315789473684</v>
      </c>
      <c r="AJ3" s="213">
        <f>'01. SECTORIAL'!AD6</f>
        <v>1.0526315789473684</v>
      </c>
      <c r="AK3" s="213">
        <f>'01. SECTORIAL'!AG6</f>
        <v>1.0526315789473684</v>
      </c>
    </row>
    <row r="4" spans="1:37" x14ac:dyDescent="0.35">
      <c r="A4" s="266"/>
      <c r="B4" s="266"/>
      <c r="C4" s="266"/>
      <c r="D4" s="266"/>
      <c r="E4" s="266"/>
      <c r="F4" s="266"/>
      <c r="G4" s="266"/>
      <c r="H4" s="266"/>
      <c r="I4" s="266"/>
      <c r="J4" s="266"/>
      <c r="K4" s="266"/>
      <c r="L4" s="266"/>
      <c r="M4" s="266"/>
      <c r="N4" s="266"/>
      <c r="O4" s="266"/>
      <c r="P4" s="266"/>
      <c r="Q4" s="266"/>
      <c r="R4" s="266"/>
      <c r="S4" s="266"/>
      <c r="T4" s="266"/>
      <c r="U4" s="266"/>
      <c r="V4" s="266"/>
      <c r="W4" s="266"/>
      <c r="X4" s="266"/>
      <c r="Y4" s="269"/>
      <c r="Z4" s="270"/>
      <c r="AA4" s="270"/>
      <c r="AB4" s="270"/>
      <c r="AC4" s="270"/>
      <c r="AD4" s="270"/>
      <c r="AE4" s="270"/>
      <c r="AF4" s="205" t="s">
        <v>19</v>
      </c>
      <c r="AG4" s="213" t="e">
        <f>'01. INSTITUCIONAL'!K6</f>
        <v>#REF!</v>
      </c>
      <c r="AH4" s="213" t="e">
        <f>'01. INSTITUCIONAL'!Q6</f>
        <v>#REF!</v>
      </c>
      <c r="AI4" s="213" t="e">
        <f>'01. INSTITUCIONAL'!X6</f>
        <v>#REF!</v>
      </c>
      <c r="AJ4" s="213" t="e">
        <f>'01. INSTITUCIONAL'!AF6</f>
        <v>#REF!</v>
      </c>
      <c r="AK4" s="213" t="e">
        <f>'01. INSTITUCIONAL'!AI6</f>
        <v>#REF!</v>
      </c>
    </row>
    <row r="5" spans="1:37" x14ac:dyDescent="0.35">
      <c r="A5" s="266"/>
      <c r="B5" s="266"/>
      <c r="C5" s="266"/>
      <c r="D5" s="266"/>
      <c r="E5" s="266"/>
      <c r="F5" s="266"/>
      <c r="G5" s="266"/>
      <c r="H5" s="266"/>
      <c r="I5" s="266"/>
      <c r="J5" s="266"/>
      <c r="K5" s="266"/>
      <c r="L5" s="266"/>
      <c r="M5" s="266"/>
      <c r="N5" s="266"/>
      <c r="O5" s="266"/>
      <c r="P5" s="266"/>
      <c r="Q5" s="266"/>
      <c r="R5" s="266"/>
      <c r="S5" s="266"/>
      <c r="T5" s="266"/>
      <c r="U5" s="266"/>
      <c r="V5" s="266"/>
      <c r="W5" s="266"/>
      <c r="X5" s="266"/>
      <c r="Y5" s="269"/>
      <c r="Z5" s="270"/>
      <c r="AA5" s="270"/>
      <c r="AB5" s="270"/>
      <c r="AC5" s="270"/>
      <c r="AD5" s="270"/>
      <c r="AE5" s="270"/>
      <c r="AF5" s="205" t="s">
        <v>20</v>
      </c>
      <c r="AG5" s="213">
        <f>'02. PINAR'!J6</f>
        <v>1.7543859649122806E-2</v>
      </c>
      <c r="AH5" s="213" t="e">
        <f>'02. PINAR'!P6</f>
        <v>#DIV/0!</v>
      </c>
      <c r="AI5" s="213" t="e">
        <f>'02. PINAR'!W6</f>
        <v>#DIV/0!</v>
      </c>
      <c r="AJ5" s="213" t="e">
        <f>'02. PINAR'!AE6</f>
        <v>#DIV/0!</v>
      </c>
      <c r="AK5" s="213" t="e">
        <f>'02. PINAR'!AH6</f>
        <v>#DIV/0!</v>
      </c>
    </row>
    <row r="6" spans="1:37" x14ac:dyDescent="0.35">
      <c r="A6" s="266"/>
      <c r="B6" s="266"/>
      <c r="C6" s="266"/>
      <c r="D6" s="266"/>
      <c r="E6" s="266"/>
      <c r="F6" s="266"/>
      <c r="G6" s="266"/>
      <c r="H6" s="266"/>
      <c r="I6" s="266"/>
      <c r="J6" s="266"/>
      <c r="K6" s="266"/>
      <c r="L6" s="266"/>
      <c r="M6" s="266"/>
      <c r="N6" s="266"/>
      <c r="O6" s="266"/>
      <c r="P6" s="266"/>
      <c r="Q6" s="266"/>
      <c r="R6" s="266"/>
      <c r="S6" s="266"/>
      <c r="T6" s="266"/>
      <c r="U6" s="266"/>
      <c r="V6" s="266"/>
      <c r="W6" s="266"/>
      <c r="X6" s="266"/>
      <c r="Y6" s="269"/>
      <c r="Z6" s="270"/>
      <c r="AA6" s="270"/>
      <c r="AB6" s="270"/>
      <c r="AC6" s="270"/>
      <c r="AD6" s="270"/>
      <c r="AE6" s="270"/>
      <c r="AF6" s="205" t="s">
        <v>21</v>
      </c>
      <c r="AG6" s="214">
        <f>'06. PETH'!J6</f>
        <v>1</v>
      </c>
      <c r="AI6" s="213">
        <f>'06. PETH'!P6</f>
        <v>1.0526315789473684</v>
      </c>
      <c r="AK6" s="213">
        <f>'06. PETH'!V6</f>
        <v>1.0526315789473684</v>
      </c>
    </row>
    <row r="7" spans="1:37" x14ac:dyDescent="0.35">
      <c r="A7" s="266"/>
      <c r="B7" s="266"/>
      <c r="C7" s="266"/>
      <c r="D7" s="266"/>
      <c r="E7" s="266"/>
      <c r="F7" s="266"/>
      <c r="G7" s="266"/>
      <c r="H7" s="266"/>
      <c r="I7" s="266"/>
      <c r="J7" s="266"/>
      <c r="K7" s="266"/>
      <c r="L7" s="266"/>
      <c r="M7" s="266"/>
      <c r="N7" s="266"/>
      <c r="O7" s="266"/>
      <c r="P7" s="266"/>
      <c r="Q7" s="266"/>
      <c r="R7" s="266"/>
      <c r="S7" s="266"/>
      <c r="T7" s="266"/>
      <c r="U7" s="266"/>
      <c r="V7" s="266"/>
      <c r="W7" s="266"/>
      <c r="X7" s="266"/>
      <c r="Y7" s="269"/>
      <c r="Z7" s="270"/>
      <c r="AA7" s="270"/>
      <c r="AB7" s="270"/>
      <c r="AC7" s="270"/>
      <c r="AD7" s="270"/>
      <c r="AE7" s="270"/>
      <c r="AF7" s="205" t="s">
        <v>22</v>
      </c>
      <c r="AG7" s="213">
        <f>'03. PAA'!H6</f>
        <v>0.83174603174603179</v>
      </c>
      <c r="AH7" s="213">
        <f>'03. PAA'!N6</f>
        <v>0.49197860962566847</v>
      </c>
      <c r="AI7" s="213">
        <f>'03. PAA'!R6</f>
        <v>0.95336787564766834</v>
      </c>
      <c r="AJ7" s="213">
        <f>'03. PAA'!V6</f>
        <v>0.83</v>
      </c>
      <c r="AK7" s="213">
        <f>'03. PAA'!Z6</f>
        <v>0</v>
      </c>
    </row>
    <row r="8" spans="1:37" x14ac:dyDescent="0.35">
      <c r="A8" s="266"/>
      <c r="B8" s="266"/>
      <c r="C8" s="266"/>
      <c r="D8" s="266"/>
      <c r="E8" s="266"/>
      <c r="F8" s="266"/>
      <c r="G8" s="266"/>
      <c r="H8" s="266"/>
      <c r="I8" s="266"/>
      <c r="J8" s="266"/>
      <c r="K8" s="266"/>
      <c r="L8" s="266"/>
      <c r="M8" s="266"/>
      <c r="N8" s="266"/>
      <c r="O8" s="266"/>
      <c r="P8" s="266"/>
      <c r="Q8" s="266"/>
      <c r="R8" s="266"/>
      <c r="S8" s="266"/>
      <c r="T8" s="266"/>
      <c r="U8" s="266"/>
      <c r="V8" s="266"/>
      <c r="W8" s="266"/>
      <c r="X8" s="266"/>
      <c r="Y8" s="269"/>
      <c r="Z8" s="270"/>
      <c r="AA8" s="270"/>
      <c r="AB8" s="270"/>
      <c r="AC8" s="270"/>
      <c r="AD8" s="270"/>
      <c r="AE8" s="270"/>
      <c r="AF8" s="205" t="s">
        <v>23</v>
      </c>
      <c r="AG8" s="214">
        <f>'07. PIC'!J6</f>
        <v>1</v>
      </c>
      <c r="AI8" s="213">
        <f>'07. PIC'!P6</f>
        <v>0.78947368421052633</v>
      </c>
      <c r="AK8" s="213">
        <f>'07. PIC'!U6</f>
        <v>1.3157894736842106</v>
      </c>
    </row>
    <row r="9" spans="1:37" x14ac:dyDescent="0.35">
      <c r="A9" s="266"/>
      <c r="B9" s="266"/>
      <c r="C9" s="266"/>
      <c r="D9" s="266"/>
      <c r="E9" s="266"/>
      <c r="F9" s="266"/>
      <c r="G9" s="266"/>
      <c r="H9" s="266"/>
      <c r="I9" s="266"/>
      <c r="J9" s="266"/>
      <c r="K9" s="266"/>
      <c r="L9" s="266"/>
      <c r="M9" s="266"/>
      <c r="N9" s="266"/>
      <c r="O9" s="266"/>
      <c r="P9" s="266"/>
      <c r="Q9" s="266"/>
      <c r="R9" s="266"/>
      <c r="S9" s="266"/>
      <c r="T9" s="266"/>
      <c r="U9" s="266"/>
      <c r="V9" s="266"/>
      <c r="W9" s="266"/>
      <c r="X9" s="266"/>
      <c r="Y9" s="269"/>
      <c r="Z9" s="270"/>
      <c r="AA9" s="270"/>
      <c r="AB9" s="270"/>
      <c r="AC9" s="270"/>
      <c r="AD9" s="270"/>
      <c r="AE9" s="270"/>
      <c r="AF9" s="205" t="s">
        <v>24</v>
      </c>
      <c r="AG9" s="214" t="e">
        <f>'08. PII'!I6</f>
        <v>#REF!</v>
      </c>
      <c r="AI9" s="213" t="e">
        <f>'08. PII'!O6</f>
        <v>#REF!</v>
      </c>
      <c r="AK9" s="213" t="e">
        <f>'08. PII'!V6</f>
        <v>#REF!</v>
      </c>
    </row>
    <row r="10" spans="1:37" x14ac:dyDescent="0.35">
      <c r="A10" s="266"/>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9"/>
      <c r="Z10" s="270"/>
      <c r="AA10" s="270"/>
      <c r="AB10" s="270"/>
      <c r="AC10" s="270"/>
      <c r="AD10" s="270"/>
      <c r="AE10" s="270"/>
      <c r="AF10" s="205" t="s">
        <v>25</v>
      </c>
      <c r="AG10" s="214">
        <f>'09. PSST'!J6</f>
        <v>0.99755102040816401</v>
      </c>
      <c r="AH10" s="213">
        <f>'09. PSST'!R6</f>
        <v>1.0526315789473681</v>
      </c>
      <c r="AI10" s="213">
        <f>'09. PSST'!Y6</f>
        <v>1.0526315789473688</v>
      </c>
      <c r="AJ10" s="213">
        <f>'09. PSST'!AG6</f>
        <v>1.0368421052631578</v>
      </c>
      <c r="AK10" s="213">
        <f>'09. PSST'!AJ6</f>
        <v>1.0424342105263156</v>
      </c>
    </row>
    <row r="11" spans="1:37" x14ac:dyDescent="0.35">
      <c r="A11" s="266"/>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9"/>
      <c r="Z11" s="270"/>
      <c r="AA11" s="270"/>
      <c r="AB11" s="270"/>
      <c r="AC11" s="270"/>
      <c r="AD11" s="270"/>
      <c r="AE11" s="270"/>
      <c r="AF11" s="205" t="s">
        <v>26</v>
      </c>
      <c r="AG11" s="214">
        <f>'10 PAAC'!AO92</f>
        <v>0.98940840984173561</v>
      </c>
      <c r="AI11" s="214">
        <f>'10 PAAC'!AJ92</f>
        <v>1.0005913535660733</v>
      </c>
      <c r="AJ11" s="214">
        <f>'10 PAAC'!AL92</f>
        <v>1.0003560981813557</v>
      </c>
      <c r="AK11" s="214">
        <f>'10 PAAC'!AN92</f>
        <v>0.96727777777777779</v>
      </c>
    </row>
    <row r="12" spans="1:37" x14ac:dyDescent="0.35">
      <c r="A12" s="266"/>
      <c r="B12" s="266"/>
      <c r="C12" s="266"/>
      <c r="D12" s="266"/>
      <c r="E12" s="266"/>
      <c r="F12" s="266"/>
      <c r="G12" s="266"/>
      <c r="H12" s="266"/>
      <c r="I12" s="266"/>
      <c r="J12" s="266"/>
      <c r="K12" s="266"/>
      <c r="L12" s="266"/>
      <c r="M12" s="266"/>
      <c r="N12" s="266"/>
      <c r="O12" s="266"/>
      <c r="P12" s="266"/>
      <c r="Q12" s="266"/>
      <c r="R12" s="266"/>
      <c r="S12" s="266"/>
      <c r="T12" s="266"/>
      <c r="U12" s="266"/>
      <c r="V12" s="266"/>
      <c r="W12" s="266"/>
      <c r="X12" s="266"/>
      <c r="Y12" s="269"/>
      <c r="Z12" s="270"/>
      <c r="AA12" s="270"/>
      <c r="AB12" s="270"/>
      <c r="AC12" s="270"/>
      <c r="AD12" s="270"/>
      <c r="AE12" s="270"/>
      <c r="AF12" s="205" t="s">
        <v>27</v>
      </c>
      <c r="AG12" s="214" t="e">
        <f>'11.PETI'!J6</f>
        <v>#REF!</v>
      </c>
      <c r="AH12" s="213" t="e">
        <f>'11.PETI'!Q6</f>
        <v>#REF!</v>
      </c>
      <c r="AI12" s="213" t="e">
        <f>'11.PETI'!X6</f>
        <v>#REF!</v>
      </c>
      <c r="AJ12" s="213" t="e">
        <f>'11.PETI'!AF6</f>
        <v>#REF!</v>
      </c>
      <c r="AK12" s="213" t="e">
        <f>'11.PETI'!AI6</f>
        <v>#REF!</v>
      </c>
    </row>
    <row r="13" spans="1:37" x14ac:dyDescent="0.35">
      <c r="A13" s="266"/>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9"/>
      <c r="Z13" s="270"/>
      <c r="AA13" s="270"/>
      <c r="AB13" s="270"/>
      <c r="AC13" s="270"/>
      <c r="AD13" s="270"/>
      <c r="AE13" s="270"/>
      <c r="AF13" s="205" t="s">
        <v>28</v>
      </c>
      <c r="AG13" s="214">
        <f>'12. PTRSPI'!J6</f>
        <v>1</v>
      </c>
      <c r="AK13" s="213">
        <f>'12. PTRSPI'!P6</f>
        <v>1.0526315789473684</v>
      </c>
    </row>
    <row r="14" spans="1:37" x14ac:dyDescent="0.35">
      <c r="A14" s="266"/>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9"/>
      <c r="Z14" s="270"/>
      <c r="AA14" s="270"/>
      <c r="AB14" s="270"/>
      <c r="AC14" s="270"/>
      <c r="AD14" s="270"/>
      <c r="AE14" s="270"/>
      <c r="AF14" s="205" t="s">
        <v>29</v>
      </c>
      <c r="AG14" s="214" t="e">
        <f>'13.PSPI'!J6</f>
        <v>#REF!</v>
      </c>
      <c r="AH14" s="213" t="e">
        <f>'13.PSPI'!O6</f>
        <v>#REF!</v>
      </c>
      <c r="AI14" s="213" t="e">
        <f>'13.PSPI'!V6</f>
        <v>#REF!</v>
      </c>
      <c r="AJ14" s="213" t="e">
        <f>'13.PSPI'!AD6</f>
        <v>#REF!</v>
      </c>
      <c r="AK14" s="213" t="e">
        <f>'13.PSPI'!AG6</f>
        <v>#REF!</v>
      </c>
    </row>
    <row r="15" spans="1:37" x14ac:dyDescent="0.35">
      <c r="A15" s="266"/>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9"/>
      <c r="Z15" s="270"/>
      <c r="AA15" s="270"/>
      <c r="AB15" s="270"/>
      <c r="AC15" s="270"/>
      <c r="AD15" s="270"/>
      <c r="AE15" s="270"/>
    </row>
    <row r="16" spans="1:37" x14ac:dyDescent="0.35">
      <c r="A16" s="266"/>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9"/>
      <c r="Z16" s="270"/>
      <c r="AA16" s="270"/>
      <c r="AB16" s="270"/>
      <c r="AC16" s="270"/>
      <c r="AD16" s="270"/>
      <c r="AE16" s="270"/>
    </row>
    <row r="17" spans="1:31" x14ac:dyDescent="0.35">
      <c r="A17" s="266"/>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9"/>
      <c r="Z17" s="270"/>
      <c r="AA17" s="270"/>
      <c r="AB17" s="270"/>
      <c r="AC17" s="270"/>
      <c r="AD17" s="270"/>
      <c r="AE17" s="270"/>
    </row>
    <row r="18" spans="1:31" x14ac:dyDescent="0.35">
      <c r="A18" s="266"/>
      <c r="B18" s="266"/>
      <c r="C18" s="266"/>
      <c r="D18" s="266"/>
      <c r="E18" s="266"/>
      <c r="F18" s="266"/>
      <c r="G18" s="266"/>
      <c r="H18" s="266"/>
      <c r="I18" s="266"/>
      <c r="J18" s="266"/>
      <c r="K18" s="266"/>
      <c r="L18" s="266"/>
      <c r="M18" s="266"/>
      <c r="N18" s="266"/>
      <c r="O18" s="266"/>
      <c r="P18" s="266"/>
      <c r="Q18" s="266"/>
      <c r="R18" s="266"/>
      <c r="S18" s="266"/>
      <c r="T18" s="266"/>
      <c r="U18" s="266"/>
      <c r="V18" s="266"/>
      <c r="W18" s="266"/>
      <c r="X18" s="266"/>
      <c r="Y18" s="269"/>
      <c r="Z18" s="270"/>
      <c r="AA18" s="270"/>
      <c r="AB18" s="270"/>
      <c r="AC18" s="270"/>
      <c r="AD18" s="270"/>
      <c r="AE18" s="270"/>
    </row>
    <row r="19" spans="1:31" x14ac:dyDescent="0.35">
      <c r="A19" s="266"/>
      <c r="B19" s="266"/>
      <c r="C19" s="266"/>
      <c r="D19" s="266"/>
      <c r="E19" s="266"/>
      <c r="F19" s="266"/>
      <c r="G19" s="266"/>
      <c r="H19" s="266"/>
      <c r="I19" s="266"/>
      <c r="J19" s="266"/>
      <c r="K19" s="266"/>
      <c r="L19" s="266"/>
      <c r="M19" s="266"/>
      <c r="N19" s="266"/>
      <c r="O19" s="266"/>
      <c r="P19" s="266"/>
      <c r="Q19" s="266"/>
      <c r="R19" s="266"/>
      <c r="S19" s="266"/>
      <c r="T19" s="266"/>
      <c r="U19" s="266"/>
      <c r="V19" s="266"/>
      <c r="W19" s="266"/>
      <c r="X19" s="266"/>
      <c r="Y19" s="269"/>
      <c r="Z19" s="270"/>
      <c r="AA19" s="270"/>
      <c r="AB19" s="270"/>
      <c r="AC19" s="270"/>
      <c r="AD19" s="270"/>
      <c r="AE19" s="270"/>
    </row>
    <row r="20" spans="1:31" x14ac:dyDescent="0.35">
      <c r="A20" s="266"/>
      <c r="B20" s="266"/>
      <c r="C20" s="266"/>
      <c r="D20" s="266"/>
      <c r="E20" s="266"/>
      <c r="F20" s="266"/>
      <c r="G20" s="266"/>
      <c r="H20" s="266"/>
      <c r="I20" s="266"/>
      <c r="J20" s="266"/>
      <c r="K20" s="266"/>
      <c r="L20" s="266"/>
      <c r="M20" s="266"/>
      <c r="N20" s="266"/>
      <c r="O20" s="266"/>
      <c r="P20" s="266"/>
      <c r="Q20" s="266"/>
      <c r="R20" s="266"/>
      <c r="S20" s="266"/>
      <c r="T20" s="266"/>
      <c r="U20" s="266"/>
      <c r="V20" s="266"/>
      <c r="W20" s="266"/>
      <c r="X20" s="266"/>
      <c r="Y20" s="269"/>
      <c r="Z20" s="270"/>
      <c r="AA20" s="270"/>
      <c r="AB20" s="270"/>
      <c r="AC20" s="270"/>
      <c r="AD20" s="270"/>
      <c r="AE20" s="270"/>
    </row>
    <row r="21" spans="1:31" x14ac:dyDescent="0.35">
      <c r="A21" s="266"/>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9"/>
      <c r="Z21" s="270"/>
      <c r="AA21" s="270"/>
      <c r="AB21" s="270"/>
      <c r="AC21" s="270"/>
      <c r="AD21" s="270"/>
      <c r="AE21" s="270"/>
    </row>
    <row r="22" spans="1:31" x14ac:dyDescent="0.35">
      <c r="A22" s="266"/>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9"/>
      <c r="Z22" s="270"/>
      <c r="AA22" s="270"/>
      <c r="AB22" s="270"/>
      <c r="AC22" s="270"/>
      <c r="AD22" s="270"/>
      <c r="AE22" s="270"/>
    </row>
    <row r="24" spans="1:31" x14ac:dyDescent="0.35">
      <c r="A24" s="206"/>
      <c r="B24" s="206"/>
      <c r="C24" s="206"/>
      <c r="D24" s="206"/>
      <c r="E24" s="206"/>
      <c r="F24" s="206"/>
    </row>
    <row r="25" spans="1:31" x14ac:dyDescent="0.35">
      <c r="A25" s="206"/>
      <c r="B25" s="206"/>
      <c r="C25" s="206"/>
      <c r="D25" s="206"/>
      <c r="E25" s="206"/>
      <c r="F25" s="206"/>
    </row>
    <row r="26" spans="1:31" x14ac:dyDescent="0.35">
      <c r="A26" s="206"/>
      <c r="B26" s="206"/>
      <c r="C26" s="206"/>
      <c r="D26" s="206"/>
      <c r="E26" s="206"/>
      <c r="F26" s="206"/>
    </row>
    <row r="27" spans="1:31" x14ac:dyDescent="0.35">
      <c r="A27" s="206"/>
      <c r="B27" s="206"/>
      <c r="C27" s="206"/>
      <c r="D27" s="206"/>
      <c r="E27" s="206"/>
      <c r="F27" s="206"/>
    </row>
    <row r="28" spans="1:31" x14ac:dyDescent="0.35">
      <c r="A28" s="206"/>
      <c r="B28" s="206"/>
      <c r="C28" s="206"/>
      <c r="D28" s="206"/>
      <c r="E28" s="206"/>
      <c r="F28" s="206"/>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70" customWidth="1"/>
    <col min="16" max="16" width="35.26953125" style="70" customWidth="1"/>
    <col min="17" max="4945" width="0" style="70" hidden="1" customWidth="1"/>
    <col min="4946" max="15759" width="11.453125" style="70" hidden="1"/>
    <col min="15760" max="16382" width="0" style="70" hidden="1"/>
    <col min="16383" max="16383" width="24" style="70" hidden="1" customWidth="1"/>
    <col min="16384" max="16384" width="18.7265625" style="70" hidden="1" customWidth="1"/>
  </cols>
  <sheetData>
    <row r="1" spans="1:35 16383:16384" ht="4.5" customHeight="1" x14ac:dyDescent="0.35"/>
    <row r="2" spans="1:35 16383:16384" s="58" customFormat="1" ht="14.15" customHeight="1" x14ac:dyDescent="0.35">
      <c r="A2" s="273"/>
      <c r="B2" s="273"/>
      <c r="C2" s="273"/>
      <c r="D2" s="271" t="s">
        <v>30</v>
      </c>
      <c r="E2" s="271"/>
      <c r="F2" s="271"/>
      <c r="G2" s="271"/>
      <c r="H2" s="271"/>
      <c r="I2" s="271"/>
      <c r="J2" s="271"/>
      <c r="K2" s="271"/>
      <c r="L2" s="271"/>
      <c r="M2" s="271"/>
      <c r="N2" s="271"/>
      <c r="O2" s="271"/>
      <c r="P2" s="271"/>
      <c r="Q2" s="90"/>
      <c r="R2" s="90"/>
      <c r="S2" s="90"/>
      <c r="T2" s="90"/>
      <c r="U2" s="90"/>
      <c r="V2" s="90"/>
      <c r="W2" s="90"/>
      <c r="X2" s="90"/>
      <c r="Y2" s="90"/>
      <c r="Z2" s="90"/>
      <c r="AA2" s="90"/>
      <c r="AB2" s="90"/>
      <c r="AC2" s="90"/>
      <c r="AD2" s="90"/>
      <c r="AE2" s="90"/>
      <c r="AF2" s="90"/>
      <c r="AG2" s="90"/>
      <c r="AH2" s="90"/>
      <c r="AI2" s="90"/>
    </row>
    <row r="3" spans="1:35 16383:16384" s="58" customFormat="1" ht="20.149999999999999" customHeight="1" x14ac:dyDescent="0.35">
      <c r="A3" s="273"/>
      <c r="B3" s="273"/>
      <c r="C3" s="273"/>
      <c r="D3" s="271"/>
      <c r="E3" s="271"/>
      <c r="F3" s="271"/>
      <c r="G3" s="271"/>
      <c r="H3" s="271"/>
      <c r="I3" s="271"/>
      <c r="J3" s="271"/>
      <c r="K3" s="271"/>
      <c r="L3" s="271"/>
      <c r="M3" s="271"/>
      <c r="N3" s="271"/>
      <c r="O3" s="271"/>
      <c r="P3" s="271"/>
      <c r="Q3" s="90"/>
      <c r="R3" s="90"/>
      <c r="S3" s="90"/>
      <c r="T3" s="90"/>
      <c r="U3" s="90"/>
      <c r="V3" s="90"/>
      <c r="W3" s="90"/>
      <c r="X3" s="90"/>
      <c r="Y3" s="90"/>
      <c r="Z3" s="90"/>
      <c r="AA3" s="90"/>
      <c r="AB3" s="90"/>
      <c r="AC3" s="90"/>
      <c r="AD3" s="90"/>
      <c r="AE3" s="90"/>
      <c r="AF3" s="90"/>
      <c r="AG3" s="90"/>
      <c r="AH3" s="90"/>
      <c r="AI3" s="90"/>
    </row>
    <row r="4" spans="1:35 16383:16384" s="58" customFormat="1" ht="20.149999999999999" customHeight="1" x14ac:dyDescent="0.35">
      <c r="A4" s="273"/>
      <c r="B4" s="273"/>
      <c r="C4" s="273"/>
      <c r="D4" s="271"/>
      <c r="E4" s="271"/>
      <c r="F4" s="271"/>
      <c r="G4" s="271"/>
      <c r="H4" s="271"/>
      <c r="I4" s="271"/>
      <c r="J4" s="271"/>
      <c r="K4" s="271"/>
      <c r="L4" s="271"/>
      <c r="M4" s="271"/>
      <c r="N4" s="271"/>
      <c r="O4" s="271"/>
      <c r="P4" s="271"/>
      <c r="Q4" s="90"/>
      <c r="R4" s="90"/>
      <c r="S4" s="90"/>
      <c r="T4" s="90"/>
      <c r="U4" s="90"/>
      <c r="V4" s="90"/>
      <c r="W4" s="90"/>
      <c r="X4" s="90"/>
      <c r="Y4" s="90"/>
      <c r="Z4" s="90"/>
      <c r="AA4" s="90"/>
      <c r="AB4" s="90"/>
      <c r="AC4" s="90"/>
      <c r="AD4" s="90"/>
      <c r="AE4" s="90"/>
      <c r="AF4" s="90"/>
      <c r="AG4" s="90"/>
      <c r="AH4" s="90"/>
      <c r="AI4" s="90"/>
    </row>
    <row r="5" spans="1:35 16383:16384" s="58" customFormat="1" ht="20.149999999999999" customHeight="1" x14ac:dyDescent="0.35">
      <c r="A5" s="273"/>
      <c r="B5" s="273"/>
      <c r="C5" s="273"/>
      <c r="D5" s="271"/>
      <c r="E5" s="271"/>
      <c r="F5" s="271"/>
      <c r="G5" s="271"/>
      <c r="H5" s="271"/>
      <c r="I5" s="271"/>
      <c r="J5" s="271"/>
      <c r="K5" s="271"/>
      <c r="L5" s="271"/>
      <c r="M5" s="271"/>
      <c r="N5" s="271"/>
      <c r="O5" s="271"/>
      <c r="P5" s="271"/>
      <c r="Q5" s="90"/>
      <c r="R5" s="90"/>
      <c r="S5" s="90"/>
      <c r="T5" s="90"/>
      <c r="U5" s="90"/>
      <c r="V5" s="90"/>
      <c r="W5" s="90"/>
      <c r="X5" s="90"/>
      <c r="Y5" s="90"/>
      <c r="Z5" s="90"/>
      <c r="AA5" s="90"/>
      <c r="AB5" s="90"/>
      <c r="AC5" s="90"/>
      <c r="AD5" s="90"/>
      <c r="AE5" s="90"/>
      <c r="AF5" s="90"/>
      <c r="AG5" s="90"/>
      <c r="AH5" s="90"/>
      <c r="AI5" s="90"/>
    </row>
    <row r="6" spans="1:35 16383:16384" s="58" customFormat="1" ht="20.149999999999999" customHeight="1" x14ac:dyDescent="0.35">
      <c r="A6" s="273"/>
      <c r="B6" s="273"/>
      <c r="C6" s="273"/>
      <c r="D6" s="271"/>
      <c r="E6" s="271"/>
      <c r="F6" s="271"/>
      <c r="G6" s="271"/>
      <c r="H6" s="271"/>
      <c r="I6" s="271"/>
      <c r="J6" s="271"/>
      <c r="K6" s="271"/>
      <c r="L6" s="271"/>
      <c r="M6" s="271"/>
      <c r="N6" s="271"/>
      <c r="O6" s="271"/>
      <c r="P6" s="271"/>
      <c r="Q6" s="90"/>
      <c r="R6" s="90"/>
      <c r="S6" s="90"/>
      <c r="T6" s="90"/>
      <c r="U6" s="90"/>
      <c r="V6" s="90"/>
      <c r="W6" s="90"/>
      <c r="X6" s="90"/>
      <c r="Y6" s="90"/>
      <c r="Z6" s="90"/>
      <c r="AA6" s="90"/>
      <c r="AB6" s="90"/>
      <c r="AC6" s="90"/>
      <c r="AD6" s="90"/>
      <c r="AE6" s="90"/>
      <c r="AF6" s="90"/>
      <c r="AG6" s="90"/>
      <c r="AH6" s="90"/>
      <c r="AI6" s="90"/>
    </row>
    <row r="7" spans="1:35 16383:16384" s="58" customFormat="1" ht="60" customHeight="1" x14ac:dyDescent="0.35">
      <c r="D7" s="272"/>
      <c r="E7" s="272"/>
      <c r="F7" s="272"/>
      <c r="G7" s="272"/>
      <c r="H7" s="272"/>
      <c r="I7" s="272"/>
      <c r="J7" s="272"/>
      <c r="K7" s="272"/>
      <c r="L7" s="272"/>
      <c r="M7" s="272"/>
      <c r="N7" s="272"/>
      <c r="O7" s="272"/>
      <c r="P7" s="272"/>
      <c r="Q7" s="91"/>
      <c r="R7" s="90"/>
      <c r="S7" s="90"/>
      <c r="T7" s="90"/>
      <c r="U7" s="90"/>
      <c r="V7" s="90"/>
      <c r="W7" s="90"/>
      <c r="X7" s="90"/>
      <c r="Y7" s="90"/>
      <c r="Z7" s="90"/>
      <c r="AA7" s="90"/>
      <c r="AB7" s="90"/>
      <c r="AC7" s="90"/>
      <c r="AD7" s="90"/>
      <c r="AE7" s="90"/>
      <c r="AF7" s="90"/>
      <c r="AG7" s="90"/>
      <c r="AH7" s="90"/>
      <c r="AI7" s="90"/>
    </row>
    <row r="8" spans="1:35 16383:16384" x14ac:dyDescent="0.35">
      <c r="XFC8" s="211" t="s">
        <v>31</v>
      </c>
      <c r="XFD8" s="211" t="s">
        <v>32</v>
      </c>
    </row>
    <row r="9" spans="1:35 16383:16384" x14ac:dyDescent="0.35">
      <c r="XFC9" s="211" t="s">
        <v>33</v>
      </c>
      <c r="XFD9" s="98">
        <f>'01. SECTORIAL'!O6</f>
        <v>1.0526315789473684</v>
      </c>
    </row>
    <row r="10" spans="1:35 16383:16384" x14ac:dyDescent="0.35">
      <c r="XFC10" s="211" t="s">
        <v>34</v>
      </c>
      <c r="XFD10" s="97">
        <v>0.75</v>
      </c>
    </row>
    <row r="11" spans="1:35 16383:16384" x14ac:dyDescent="0.35">
      <c r="XFC11" s="211" t="s">
        <v>20</v>
      </c>
      <c r="XFD11" s="97">
        <v>1.05</v>
      </c>
    </row>
    <row r="12" spans="1:35 16383:16384" x14ac:dyDescent="0.35">
      <c r="XFC12" s="211" t="s">
        <v>22</v>
      </c>
      <c r="XFD12" s="97">
        <v>0.49</v>
      </c>
    </row>
    <row r="13" spans="1:35 16383:16384" x14ac:dyDescent="0.35">
      <c r="XFC13" s="211" t="s">
        <v>21</v>
      </c>
    </row>
    <row r="14" spans="1:35 16383:16384" x14ac:dyDescent="0.35">
      <c r="XFC14" s="211" t="s">
        <v>23</v>
      </c>
    </row>
    <row r="15" spans="1:35 16383:16384" x14ac:dyDescent="0.35">
      <c r="XFC15" s="211" t="s">
        <v>24</v>
      </c>
    </row>
    <row r="16" spans="1:35 16383:16384" x14ac:dyDescent="0.35">
      <c r="XFC16" s="211" t="s">
        <v>26</v>
      </c>
    </row>
    <row r="17" spans="8:8 16383:16384" x14ac:dyDescent="0.35">
      <c r="XFC17" s="211" t="s">
        <v>25</v>
      </c>
      <c r="XFD17" s="97">
        <v>0.94</v>
      </c>
    </row>
    <row r="18" spans="8:8 16383:16384" x14ac:dyDescent="0.35">
      <c r="XFC18" s="211" t="s">
        <v>27</v>
      </c>
      <c r="XFD18" s="97">
        <v>0.1</v>
      </c>
    </row>
    <row r="19" spans="8:8 16383:16384" x14ac:dyDescent="0.35">
      <c r="XFC19" s="211" t="s">
        <v>28</v>
      </c>
      <c r="XFD19" s="97">
        <v>1.05</v>
      </c>
    </row>
    <row r="20" spans="8:8 16383:16384" x14ac:dyDescent="0.35">
      <c r="XFC20" s="211" t="s">
        <v>29</v>
      </c>
      <c r="XFD20" s="97">
        <v>1.05</v>
      </c>
    </row>
    <row r="21" spans="8:8 16383:16384" ht="21" x14ac:dyDescent="0.5">
      <c r="H21" s="86"/>
    </row>
    <row r="44" spans="1:11" x14ac:dyDescent="0.35">
      <c r="A44" s="87"/>
      <c r="B44" s="87"/>
      <c r="C44" s="87"/>
      <c r="D44" s="87"/>
      <c r="E44" s="87"/>
      <c r="F44" s="87"/>
      <c r="G44" s="87"/>
      <c r="H44" s="87"/>
      <c r="I44" s="87"/>
      <c r="J44" s="87"/>
      <c r="K44" s="87"/>
    </row>
    <row r="45" spans="1:11" x14ac:dyDescent="0.35">
      <c r="A45" s="87"/>
      <c r="B45" s="87"/>
      <c r="C45" s="87"/>
      <c r="D45" s="87"/>
      <c r="E45" s="87"/>
      <c r="F45" s="87"/>
      <c r="G45" s="87"/>
      <c r="H45" s="87"/>
      <c r="I45" s="87"/>
      <c r="J45" s="87"/>
      <c r="K45" s="87"/>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view="pageBreakPreview" zoomScale="70" zoomScaleNormal="10" zoomScaleSheetLayoutView="70" zoomScalePageLayoutView="48" workbookViewId="0">
      <selection activeCell="E16" sqref="E16:E17"/>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26953125" style="1" customWidth="1"/>
    <col min="15" max="17" width="13.7265625" style="1" hidden="1" customWidth="1"/>
    <col min="18" max="30" width="9.54296875" style="1" hidden="1" customWidth="1"/>
    <col min="31" max="31" width="35.7265625" style="1" hidden="1" customWidth="1"/>
    <col min="32" max="32" width="48.7265625" style="1" hidden="1" customWidth="1"/>
    <col min="33" max="34" width="42.54296875" style="1" hidden="1" customWidth="1"/>
    <col min="35" max="16384" width="12.54296875" style="1"/>
  </cols>
  <sheetData>
    <row r="1" spans="1:34" s="58" customFormat="1" ht="14.15" customHeight="1" x14ac:dyDescent="0.35">
      <c r="A1" s="338"/>
      <c r="B1" s="339"/>
      <c r="C1" s="340"/>
      <c r="D1" s="284" t="s">
        <v>685</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row>
    <row r="2" spans="1:34"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row>
    <row r="3" spans="1:34" s="58" customFormat="1" ht="60" customHeight="1" thickBot="1" x14ac:dyDescent="0.4">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row>
    <row r="4" spans="1:34" s="58" customFormat="1" ht="60" hidden="1" customHeight="1" thickBot="1" x14ac:dyDescent="0.4">
      <c r="A4" s="337" t="s">
        <v>35</v>
      </c>
      <c r="B4" s="8" t="s">
        <v>36</v>
      </c>
      <c r="C4" s="10">
        <v>0.7</v>
      </c>
      <c r="D4" s="10"/>
      <c r="E4" s="10"/>
      <c r="F4" s="9"/>
      <c r="G4" s="337" t="s">
        <v>37</v>
      </c>
      <c r="H4" s="10">
        <v>0.7</v>
      </c>
      <c r="I4" s="59"/>
      <c r="J4" s="60"/>
      <c r="K4" s="60"/>
      <c r="L4" s="60"/>
      <c r="M4" s="60"/>
      <c r="N4" s="60"/>
      <c r="O4" s="60"/>
      <c r="P4" s="60"/>
      <c r="Q4" s="60"/>
      <c r="R4" s="60"/>
      <c r="S4" s="60"/>
      <c r="T4" s="60"/>
      <c r="U4" s="60"/>
      <c r="V4" s="60"/>
      <c r="W4" s="60"/>
      <c r="X4" s="60"/>
      <c r="Y4" s="60"/>
      <c r="Z4" s="60"/>
      <c r="AA4" s="60"/>
      <c r="AB4" s="60"/>
      <c r="AC4" s="60"/>
      <c r="AD4" s="60"/>
      <c r="AE4" s="60"/>
      <c r="AF4" s="60"/>
    </row>
    <row r="5" spans="1:34" s="58" customFormat="1" ht="60" hidden="1" customHeight="1" x14ac:dyDescent="0.35">
      <c r="A5" s="337"/>
      <c r="B5" s="8" t="s">
        <v>38</v>
      </c>
      <c r="C5" s="11">
        <v>0.9</v>
      </c>
      <c r="D5" s="11"/>
      <c r="E5" s="11"/>
      <c r="F5" s="11">
        <v>1</v>
      </c>
      <c r="G5" s="337"/>
      <c r="H5" s="11">
        <v>0.95</v>
      </c>
      <c r="I5" s="59"/>
      <c r="J5" s="60"/>
      <c r="K5" s="60"/>
      <c r="L5" s="60"/>
      <c r="M5" s="60"/>
      <c r="N5" s="60"/>
      <c r="O5" s="60"/>
      <c r="P5" s="60"/>
      <c r="Q5" s="60"/>
      <c r="R5" s="60"/>
      <c r="S5" s="60"/>
      <c r="T5" s="60"/>
      <c r="U5" s="60"/>
      <c r="V5" s="60"/>
      <c r="W5" s="60"/>
      <c r="X5" s="60"/>
      <c r="Y5" s="60"/>
      <c r="Z5" s="60"/>
      <c r="AA5" s="60"/>
      <c r="AB5" s="60"/>
      <c r="AC5" s="60"/>
      <c r="AD5" s="60"/>
      <c r="AE5" s="60"/>
      <c r="AF5" s="60"/>
    </row>
    <row r="6" spans="1:34" ht="20.149999999999999" hidden="1" customHeight="1" x14ac:dyDescent="0.35">
      <c r="A6" s="330" t="s">
        <v>39</v>
      </c>
      <c r="B6" s="330"/>
      <c r="C6" s="347" t="s">
        <v>40</v>
      </c>
      <c r="D6" s="347"/>
      <c r="E6" s="330" t="s">
        <v>41</v>
      </c>
      <c r="F6" s="330"/>
      <c r="G6" s="327">
        <f>+P15+P17+P19+P21+P25+P27+P29+P31</f>
        <v>1</v>
      </c>
      <c r="H6" s="330"/>
      <c r="I6" s="331">
        <f>(P14+P16+P18+P20+P24+P26+P28+P31)/L6</f>
        <v>1.0526315789473684</v>
      </c>
      <c r="J6" s="330" t="s">
        <v>43</v>
      </c>
      <c r="K6" s="330"/>
      <c r="L6" s="334">
        <v>0.95</v>
      </c>
      <c r="M6" s="330" t="s">
        <v>44</v>
      </c>
      <c r="N6" s="330"/>
      <c r="O6" s="285">
        <f>(SUM(R14:U14,R16:U16,R18:U18,R20:U20,R24:U24,R26:U26,R28:U28)/SUM(R15:U15,R17:U17,R19:U19,R21:U21,R25:U25,R27:U27))/L6</f>
        <v>1.0526315789473684</v>
      </c>
      <c r="P6" s="324"/>
      <c r="Q6" s="286"/>
      <c r="R6" s="291" t="s">
        <v>45</v>
      </c>
      <c r="S6" s="318"/>
      <c r="T6" s="318"/>
      <c r="U6" s="319"/>
      <c r="V6" s="285">
        <f>SUM(V14:X14,V16:X16,V18:X18,V20:X20,V24:X24,V26:X26,V28:X28)/SUM(V15:X15,V17:X17,V19:X19,V21:X21,V25:X25,V27:X27,V29:X29)/L6</f>
        <v>1.0526315789473684</v>
      </c>
      <c r="W6" s="324"/>
      <c r="X6" s="324"/>
      <c r="Y6" s="286"/>
      <c r="Z6" s="291" t="s">
        <v>46</v>
      </c>
      <c r="AA6" s="318"/>
      <c r="AB6" s="318"/>
      <c r="AC6" s="319"/>
      <c r="AD6" s="285">
        <f>SUM(AA14,AA16,AA18,Z20:AA20,AA24,AA26)/SUM(AA15,AA17,AA19,AA21,AA25,AA27)/L6</f>
        <v>1.0526315789473684</v>
      </c>
      <c r="AE6" s="286"/>
      <c r="AF6" s="291" t="s">
        <v>47</v>
      </c>
      <c r="AG6" s="285">
        <f>SUM(AC14:AD14,AC16:AD16,AC18:AD18,AC20:AD20,AD24,AC26:AD26,AC28:AD28,AC30)/SUM(AD15,AD17,AB19:AD19,AD21,AD25,AD27,AD29,AC31)/L6</f>
        <v>1.0526315789473684</v>
      </c>
    </row>
    <row r="7" spans="1:34" ht="15" hidden="1" customHeight="1" x14ac:dyDescent="0.35">
      <c r="A7" s="330"/>
      <c r="B7" s="330"/>
      <c r="C7" s="347"/>
      <c r="D7" s="347"/>
      <c r="E7" s="330"/>
      <c r="F7" s="330"/>
      <c r="G7" s="328"/>
      <c r="H7" s="330"/>
      <c r="I7" s="332"/>
      <c r="J7" s="330"/>
      <c r="K7" s="330"/>
      <c r="L7" s="335"/>
      <c r="M7" s="330"/>
      <c r="N7" s="330"/>
      <c r="O7" s="287"/>
      <c r="P7" s="325"/>
      <c r="Q7" s="288"/>
      <c r="R7" s="292"/>
      <c r="S7" s="320"/>
      <c r="T7" s="320"/>
      <c r="U7" s="321"/>
      <c r="V7" s="287"/>
      <c r="W7" s="325"/>
      <c r="X7" s="325"/>
      <c r="Y7" s="288"/>
      <c r="Z7" s="292"/>
      <c r="AA7" s="320"/>
      <c r="AB7" s="320"/>
      <c r="AC7" s="321"/>
      <c r="AD7" s="287"/>
      <c r="AE7" s="288"/>
      <c r="AF7" s="292"/>
      <c r="AG7" s="287"/>
    </row>
    <row r="8" spans="1:34" ht="25.4" hidden="1" customHeight="1" x14ac:dyDescent="0.35">
      <c r="A8" s="330"/>
      <c r="B8" s="330"/>
      <c r="C8" s="347"/>
      <c r="D8" s="347"/>
      <c r="E8" s="330"/>
      <c r="F8" s="330"/>
      <c r="G8" s="328"/>
      <c r="H8" s="330"/>
      <c r="I8" s="332"/>
      <c r="J8" s="330"/>
      <c r="K8" s="330"/>
      <c r="L8" s="335"/>
      <c r="M8" s="330"/>
      <c r="N8" s="330"/>
      <c r="O8" s="287"/>
      <c r="P8" s="325"/>
      <c r="Q8" s="288"/>
      <c r="R8" s="292"/>
      <c r="S8" s="320"/>
      <c r="T8" s="320"/>
      <c r="U8" s="321"/>
      <c r="V8" s="287"/>
      <c r="W8" s="325"/>
      <c r="X8" s="325"/>
      <c r="Y8" s="288"/>
      <c r="Z8" s="292"/>
      <c r="AA8" s="320"/>
      <c r="AB8" s="320"/>
      <c r="AC8" s="321"/>
      <c r="AD8" s="287"/>
      <c r="AE8" s="288"/>
      <c r="AF8" s="292"/>
      <c r="AG8" s="287"/>
    </row>
    <row r="9" spans="1:34" ht="25.4" hidden="1" customHeight="1" thickBot="1" x14ac:dyDescent="0.4">
      <c r="A9" s="330"/>
      <c r="B9" s="330"/>
      <c r="C9" s="347"/>
      <c r="D9" s="347"/>
      <c r="E9" s="330"/>
      <c r="F9" s="330"/>
      <c r="G9" s="328"/>
      <c r="H9" s="330"/>
      <c r="I9" s="332"/>
      <c r="J9" s="330"/>
      <c r="K9" s="330"/>
      <c r="L9" s="335"/>
      <c r="M9" s="330"/>
      <c r="N9" s="330"/>
      <c r="O9" s="287"/>
      <c r="P9" s="325"/>
      <c r="Q9" s="288"/>
      <c r="R9" s="292"/>
      <c r="S9" s="320"/>
      <c r="T9" s="320"/>
      <c r="U9" s="321"/>
      <c r="V9" s="287"/>
      <c r="W9" s="325"/>
      <c r="X9" s="325"/>
      <c r="Y9" s="288"/>
      <c r="Z9" s="292"/>
      <c r="AA9" s="320"/>
      <c r="AB9" s="320"/>
      <c r="AC9" s="321"/>
      <c r="AD9" s="287"/>
      <c r="AE9" s="288"/>
      <c r="AF9" s="292"/>
      <c r="AG9" s="287"/>
    </row>
    <row r="10" spans="1:34" ht="15" hidden="1" customHeight="1" thickBot="1" x14ac:dyDescent="0.4">
      <c r="A10" s="330"/>
      <c r="B10" s="330"/>
      <c r="C10" s="347"/>
      <c r="D10" s="347"/>
      <c r="E10" s="330"/>
      <c r="F10" s="330"/>
      <c r="G10" s="329"/>
      <c r="H10" s="330"/>
      <c r="I10" s="333"/>
      <c r="J10" s="330"/>
      <c r="K10" s="330"/>
      <c r="L10" s="336"/>
      <c r="M10" s="330"/>
      <c r="N10" s="330"/>
      <c r="O10" s="289"/>
      <c r="P10" s="326"/>
      <c r="Q10" s="290"/>
      <c r="R10" s="293"/>
      <c r="S10" s="322"/>
      <c r="T10" s="322"/>
      <c r="U10" s="323"/>
      <c r="V10" s="289"/>
      <c r="W10" s="326"/>
      <c r="X10" s="326"/>
      <c r="Y10" s="290"/>
      <c r="Z10" s="293"/>
      <c r="AA10" s="322"/>
      <c r="AB10" s="322"/>
      <c r="AC10" s="323"/>
      <c r="AD10" s="289"/>
      <c r="AE10" s="290"/>
      <c r="AF10" s="293"/>
      <c r="AG10" s="289"/>
    </row>
    <row r="11" spans="1:34" s="12" customFormat="1" ht="40.4" customHeight="1" thickBot="1" x14ac:dyDescent="0.4">
      <c r="A11" s="359" t="s">
        <v>48</v>
      </c>
      <c r="B11" s="359"/>
      <c r="C11" s="359"/>
      <c r="D11" s="359"/>
      <c r="E11" s="359"/>
      <c r="F11" s="360"/>
      <c r="G11" s="361" t="s">
        <v>790</v>
      </c>
      <c r="H11" s="362"/>
      <c r="I11" s="362"/>
      <c r="J11" s="362"/>
      <c r="K11" s="362"/>
      <c r="L11" s="362"/>
      <c r="M11" s="362"/>
      <c r="N11" s="363"/>
      <c r="O11" s="304" t="s">
        <v>50</v>
      </c>
      <c r="P11" s="305"/>
      <c r="Q11" s="305"/>
      <c r="R11" s="305"/>
      <c r="S11" s="305"/>
      <c r="T11" s="305"/>
      <c r="U11" s="305"/>
      <c r="V11" s="305"/>
      <c r="W11" s="305"/>
      <c r="X11" s="305"/>
      <c r="Y11" s="305"/>
      <c r="Z11" s="305"/>
      <c r="AA11" s="305"/>
      <c r="AB11" s="305"/>
      <c r="AC11" s="305"/>
      <c r="AD11" s="306"/>
      <c r="AE11" s="307" t="s">
        <v>51</v>
      </c>
      <c r="AF11" s="308"/>
      <c r="AG11" s="308"/>
      <c r="AH11" s="308"/>
    </row>
    <row r="12" spans="1:34" ht="39" customHeight="1" x14ac:dyDescent="0.35">
      <c r="A12" s="364" t="s">
        <v>52</v>
      </c>
      <c r="B12" s="366" t="s">
        <v>53</v>
      </c>
      <c r="C12" s="366" t="s">
        <v>54</v>
      </c>
      <c r="D12" s="366" t="s">
        <v>55</v>
      </c>
      <c r="E12" s="366" t="s">
        <v>56</v>
      </c>
      <c r="F12" s="366" t="s">
        <v>31</v>
      </c>
      <c r="G12" s="366" t="s">
        <v>57</v>
      </c>
      <c r="H12" s="364" t="s">
        <v>59</v>
      </c>
      <c r="I12" s="364" t="s">
        <v>60</v>
      </c>
      <c r="J12" s="364" t="s">
        <v>61</v>
      </c>
      <c r="K12" s="364" t="s">
        <v>62</v>
      </c>
      <c r="L12" s="364" t="s">
        <v>63</v>
      </c>
      <c r="M12" s="364" t="s">
        <v>64</v>
      </c>
      <c r="N12" s="366" t="s">
        <v>65</v>
      </c>
      <c r="O12" s="315" t="s">
        <v>66</v>
      </c>
      <c r="P12" s="316" t="s">
        <v>67</v>
      </c>
      <c r="Q12" s="317" t="s">
        <v>68</v>
      </c>
      <c r="R12" s="313" t="s">
        <v>69</v>
      </c>
      <c r="S12" s="313" t="s">
        <v>70</v>
      </c>
      <c r="T12" s="313" t="s">
        <v>71</v>
      </c>
      <c r="U12" s="313" t="s">
        <v>72</v>
      </c>
      <c r="V12" s="313" t="s">
        <v>73</v>
      </c>
      <c r="W12" s="313" t="s">
        <v>74</v>
      </c>
      <c r="X12" s="313" t="s">
        <v>75</v>
      </c>
      <c r="Y12" s="313" t="s">
        <v>76</v>
      </c>
      <c r="Z12" s="313" t="s">
        <v>77</v>
      </c>
      <c r="AA12" s="313" t="s">
        <v>78</v>
      </c>
      <c r="AB12" s="313" t="s">
        <v>79</v>
      </c>
      <c r="AC12" s="313" t="s">
        <v>80</v>
      </c>
      <c r="AD12" s="309" t="s">
        <v>81</v>
      </c>
      <c r="AE12" s="311" t="s">
        <v>82</v>
      </c>
      <c r="AF12" s="300" t="s">
        <v>83</v>
      </c>
      <c r="AG12" s="300" t="s">
        <v>84</v>
      </c>
      <c r="AH12" s="302" t="s">
        <v>85</v>
      </c>
    </row>
    <row r="13" spans="1:34" ht="60" customHeight="1" thickBot="1" x14ac:dyDescent="0.4">
      <c r="A13" s="365"/>
      <c r="B13" s="365"/>
      <c r="C13" s="365"/>
      <c r="D13" s="365"/>
      <c r="E13" s="365"/>
      <c r="F13" s="365"/>
      <c r="G13" s="365"/>
      <c r="H13" s="365"/>
      <c r="I13" s="365"/>
      <c r="J13" s="365"/>
      <c r="K13" s="365"/>
      <c r="L13" s="365"/>
      <c r="M13" s="365"/>
      <c r="N13" s="365"/>
      <c r="O13" s="315"/>
      <c r="P13" s="316"/>
      <c r="Q13" s="317"/>
      <c r="R13" s="314"/>
      <c r="S13" s="314"/>
      <c r="T13" s="314"/>
      <c r="U13" s="314"/>
      <c r="V13" s="314"/>
      <c r="W13" s="314"/>
      <c r="X13" s="314"/>
      <c r="Y13" s="314"/>
      <c r="Z13" s="314"/>
      <c r="AA13" s="314"/>
      <c r="AB13" s="314"/>
      <c r="AC13" s="314"/>
      <c r="AD13" s="310"/>
      <c r="AE13" s="312"/>
      <c r="AF13" s="301"/>
      <c r="AG13" s="301"/>
      <c r="AH13" s="303"/>
    </row>
    <row r="14" spans="1:34" ht="40.4" customHeight="1" thickBot="1" x14ac:dyDescent="0.4">
      <c r="A14" s="278">
        <v>1</v>
      </c>
      <c r="B14" s="278" t="s">
        <v>699</v>
      </c>
      <c r="C14" s="278" t="s">
        <v>728</v>
      </c>
      <c r="D14" s="278" t="s">
        <v>86</v>
      </c>
      <c r="E14" s="278" t="s">
        <v>163</v>
      </c>
      <c r="F14" s="354"/>
      <c r="G14" s="278" t="s">
        <v>89</v>
      </c>
      <c r="H14" s="278" t="s">
        <v>90</v>
      </c>
      <c r="I14" s="278" t="s">
        <v>101</v>
      </c>
      <c r="J14" s="348" t="s">
        <v>91</v>
      </c>
      <c r="K14" s="348" t="s">
        <v>92</v>
      </c>
      <c r="L14" s="348" t="s">
        <v>698</v>
      </c>
      <c r="M14" s="351">
        <v>45293</v>
      </c>
      <c r="N14" s="351">
        <v>45657</v>
      </c>
      <c r="O14" s="62" t="s">
        <v>94</v>
      </c>
      <c r="P14" s="53">
        <f>+(P15*Q14)</f>
        <v>0.125</v>
      </c>
      <c r="Q14" s="68">
        <f>SUM(R14:AD14)</f>
        <v>1</v>
      </c>
      <c r="R14" s="43">
        <v>0.25</v>
      </c>
      <c r="S14" s="43"/>
      <c r="T14" s="43"/>
      <c r="U14" s="43"/>
      <c r="V14" s="43"/>
      <c r="W14" s="43"/>
      <c r="X14" s="43">
        <v>0.25</v>
      </c>
      <c r="Y14" s="43"/>
      <c r="Z14" s="44"/>
      <c r="AA14" s="43">
        <v>0.25</v>
      </c>
      <c r="AB14" s="44"/>
      <c r="AC14" s="44">
        <v>0.25</v>
      </c>
      <c r="AD14" s="198"/>
      <c r="AE14" s="295" t="s">
        <v>95</v>
      </c>
      <c r="AF14" s="367" t="s">
        <v>96</v>
      </c>
      <c r="AG14" s="294" t="s">
        <v>97</v>
      </c>
      <c r="AH14" s="276" t="s">
        <v>98</v>
      </c>
    </row>
    <row r="15" spans="1:34" ht="53.65" customHeight="1" thickBot="1" x14ac:dyDescent="0.4">
      <c r="A15" s="353"/>
      <c r="B15" s="353"/>
      <c r="C15" s="353"/>
      <c r="D15" s="353"/>
      <c r="E15" s="353"/>
      <c r="F15" s="358"/>
      <c r="G15" s="353"/>
      <c r="H15" s="353"/>
      <c r="I15" s="279"/>
      <c r="J15" s="350"/>
      <c r="K15" s="350"/>
      <c r="L15" s="350"/>
      <c r="M15" s="352"/>
      <c r="N15" s="352"/>
      <c r="O15" s="62" t="s">
        <v>99</v>
      </c>
      <c r="P15" s="52">
        <f>100%/8</f>
        <v>0.125</v>
      </c>
      <c r="Q15" s="68">
        <f>SUM(R15:AD15)</f>
        <v>1</v>
      </c>
      <c r="R15" s="42"/>
      <c r="S15" s="42"/>
      <c r="T15" s="42"/>
      <c r="U15" s="42">
        <v>0.25</v>
      </c>
      <c r="V15" s="42"/>
      <c r="W15" s="42"/>
      <c r="X15" s="42">
        <v>0.25</v>
      </c>
      <c r="Y15" s="42"/>
      <c r="Z15" s="42"/>
      <c r="AA15" s="42">
        <v>0.25</v>
      </c>
      <c r="AB15" s="42"/>
      <c r="AC15" s="42"/>
      <c r="AD15" s="199">
        <v>0.25</v>
      </c>
      <c r="AE15" s="296"/>
      <c r="AF15" s="298"/>
      <c r="AG15" s="276"/>
      <c r="AH15" s="277"/>
    </row>
    <row r="16" spans="1:34" ht="37.4" customHeight="1" thickBot="1" x14ac:dyDescent="0.4">
      <c r="A16" s="278">
        <v>2</v>
      </c>
      <c r="B16" s="278" t="s">
        <v>688</v>
      </c>
      <c r="C16" s="278" t="s">
        <v>728</v>
      </c>
      <c r="D16" s="278" t="s">
        <v>711</v>
      </c>
      <c r="E16" s="278" t="s">
        <v>738</v>
      </c>
      <c r="F16" s="354"/>
      <c r="G16" s="278" t="s">
        <v>100</v>
      </c>
      <c r="H16" s="278" t="s">
        <v>782</v>
      </c>
      <c r="I16" s="278" t="s">
        <v>101</v>
      </c>
      <c r="J16" s="348" t="s">
        <v>102</v>
      </c>
      <c r="K16" s="348" t="s">
        <v>92</v>
      </c>
      <c r="L16" s="348" t="s">
        <v>698</v>
      </c>
      <c r="M16" s="351">
        <v>45293</v>
      </c>
      <c r="N16" s="351">
        <v>45657</v>
      </c>
      <c r="O16" s="62" t="s">
        <v>94</v>
      </c>
      <c r="P16" s="53">
        <f>+(P17*Q16)</f>
        <v>0.125</v>
      </c>
      <c r="Q16" s="68">
        <f t="shared" ref="Q16:Q29" si="0">SUM(R16:AD16)</f>
        <v>1</v>
      </c>
      <c r="R16" s="43"/>
      <c r="S16" s="43"/>
      <c r="T16" s="43">
        <v>0.25</v>
      </c>
      <c r="U16" s="43"/>
      <c r="V16" s="43"/>
      <c r="W16" s="43">
        <v>0.25</v>
      </c>
      <c r="X16" s="43"/>
      <c r="Y16" s="43"/>
      <c r="Z16" s="44"/>
      <c r="AA16" s="44">
        <v>0.25</v>
      </c>
      <c r="AB16" s="44"/>
      <c r="AC16" s="44">
        <v>0.25</v>
      </c>
      <c r="AD16" s="198"/>
      <c r="AE16" s="296" t="s">
        <v>103</v>
      </c>
      <c r="AF16" s="276" t="s">
        <v>104</v>
      </c>
      <c r="AG16" s="276" t="s">
        <v>105</v>
      </c>
      <c r="AH16" s="276" t="s">
        <v>106</v>
      </c>
    </row>
    <row r="17" spans="1:34" ht="63.65" customHeight="1" thickBot="1" x14ac:dyDescent="0.4">
      <c r="A17" s="353"/>
      <c r="B17" s="353"/>
      <c r="C17" s="279"/>
      <c r="D17" s="279"/>
      <c r="E17" s="279"/>
      <c r="F17" s="355"/>
      <c r="G17" s="279"/>
      <c r="H17" s="279"/>
      <c r="I17" s="279"/>
      <c r="J17" s="349"/>
      <c r="K17" s="349"/>
      <c r="L17" s="350"/>
      <c r="M17" s="352"/>
      <c r="N17" s="352"/>
      <c r="O17" s="62" t="s">
        <v>99</v>
      </c>
      <c r="P17" s="52">
        <f>100%/8</f>
        <v>0.125</v>
      </c>
      <c r="Q17" s="68">
        <f t="shared" si="0"/>
        <v>1</v>
      </c>
      <c r="R17" s="42"/>
      <c r="S17" s="42"/>
      <c r="T17" s="42"/>
      <c r="U17" s="42">
        <v>0.25</v>
      </c>
      <c r="V17" s="42"/>
      <c r="W17" s="42"/>
      <c r="X17" s="42">
        <v>0.25</v>
      </c>
      <c r="Y17" s="42"/>
      <c r="Z17" s="42"/>
      <c r="AA17" s="42">
        <v>0.25</v>
      </c>
      <c r="AB17" s="42"/>
      <c r="AC17" s="42"/>
      <c r="AD17" s="199">
        <v>0.25</v>
      </c>
      <c r="AE17" s="296"/>
      <c r="AF17" s="276"/>
      <c r="AG17" s="276"/>
      <c r="AH17" s="276"/>
    </row>
    <row r="18" spans="1:34" ht="46.5" customHeight="1" thickBot="1" x14ac:dyDescent="0.4">
      <c r="A18" s="278">
        <v>3</v>
      </c>
      <c r="B18" s="278" t="s">
        <v>704</v>
      </c>
      <c r="C18" s="278" t="s">
        <v>700</v>
      </c>
      <c r="D18" s="278" t="s">
        <v>717</v>
      </c>
      <c r="E18" s="278" t="s">
        <v>743</v>
      </c>
      <c r="F18" s="354"/>
      <c r="G18" s="278" t="s">
        <v>40</v>
      </c>
      <c r="H18" s="278" t="s">
        <v>783</v>
      </c>
      <c r="I18" s="278" t="s">
        <v>101</v>
      </c>
      <c r="J18" s="348" t="s">
        <v>91</v>
      </c>
      <c r="K18" s="348" t="s">
        <v>92</v>
      </c>
      <c r="L18" s="348" t="s">
        <v>698</v>
      </c>
      <c r="M18" s="351">
        <v>45293</v>
      </c>
      <c r="N18" s="351">
        <v>45657</v>
      </c>
      <c r="O18" s="62" t="s">
        <v>94</v>
      </c>
      <c r="P18" s="53">
        <f>+(P19*Q18)</f>
        <v>0.125</v>
      </c>
      <c r="Q18" s="68">
        <f t="shared" si="0"/>
        <v>1</v>
      </c>
      <c r="R18" s="43"/>
      <c r="S18" s="43"/>
      <c r="T18" s="43">
        <v>0.25</v>
      </c>
      <c r="U18" s="43"/>
      <c r="V18" s="43"/>
      <c r="W18" s="43">
        <v>0.25</v>
      </c>
      <c r="X18" s="43"/>
      <c r="Y18" s="44"/>
      <c r="Z18" s="44"/>
      <c r="AA18" s="44"/>
      <c r="AB18" s="44"/>
      <c r="AC18" s="44">
        <v>0.5</v>
      </c>
      <c r="AD18" s="198"/>
      <c r="AE18" s="296" t="s">
        <v>107</v>
      </c>
      <c r="AF18" s="298" t="s">
        <v>107</v>
      </c>
      <c r="AG18" s="276" t="s">
        <v>107</v>
      </c>
      <c r="AH18" s="299" t="s">
        <v>108</v>
      </c>
    </row>
    <row r="19" spans="1:34" ht="91.5" customHeight="1" thickBot="1" x14ac:dyDescent="0.4">
      <c r="A19" s="353"/>
      <c r="B19" s="353"/>
      <c r="C19" s="279"/>
      <c r="D19" s="279"/>
      <c r="E19" s="279"/>
      <c r="F19" s="355"/>
      <c r="G19" s="279"/>
      <c r="H19" s="279"/>
      <c r="I19" s="279"/>
      <c r="J19" s="349"/>
      <c r="K19" s="349"/>
      <c r="L19" s="350"/>
      <c r="M19" s="352"/>
      <c r="N19" s="352"/>
      <c r="O19" s="62" t="s">
        <v>99</v>
      </c>
      <c r="P19" s="52">
        <f>100%/8</f>
        <v>0.125</v>
      </c>
      <c r="Q19" s="68">
        <f t="shared" si="0"/>
        <v>1</v>
      </c>
      <c r="R19" s="42"/>
      <c r="S19" s="42"/>
      <c r="T19" s="42"/>
      <c r="U19" s="42">
        <v>0.25</v>
      </c>
      <c r="V19" s="42"/>
      <c r="W19" s="42"/>
      <c r="X19" s="42">
        <v>0.25</v>
      </c>
      <c r="Y19" s="42"/>
      <c r="Z19" s="42"/>
      <c r="AA19" s="42"/>
      <c r="AB19" s="42">
        <v>0.5</v>
      </c>
      <c r="AC19" s="42"/>
      <c r="AD19" s="199"/>
      <c r="AE19" s="296"/>
      <c r="AF19" s="298"/>
      <c r="AG19" s="276"/>
      <c r="AH19" s="299"/>
    </row>
    <row r="20" spans="1:34" ht="56.9" customHeight="1" thickBot="1" x14ac:dyDescent="0.4">
      <c r="A20" s="278">
        <v>4</v>
      </c>
      <c r="B20" s="278" t="s">
        <v>709</v>
      </c>
      <c r="C20" s="278" t="s">
        <v>705</v>
      </c>
      <c r="D20" s="278" t="s">
        <v>86</v>
      </c>
      <c r="E20" s="278" t="s">
        <v>115</v>
      </c>
      <c r="F20" s="354"/>
      <c r="G20" s="278" t="s">
        <v>776</v>
      </c>
      <c r="H20" s="278" t="s">
        <v>787</v>
      </c>
      <c r="I20" s="278" t="s">
        <v>101</v>
      </c>
      <c r="J20" s="348" t="s">
        <v>91</v>
      </c>
      <c r="K20" s="348" t="s">
        <v>92</v>
      </c>
      <c r="L20" s="348" t="s">
        <v>698</v>
      </c>
      <c r="M20" s="351">
        <v>45293</v>
      </c>
      <c r="N20" s="351">
        <v>45657</v>
      </c>
      <c r="O20" s="62" t="s">
        <v>94</v>
      </c>
      <c r="P20" s="53">
        <f>+(P21*Q20)</f>
        <v>0.125</v>
      </c>
      <c r="Q20" s="68">
        <f>SUM(R20:AD20)</f>
        <v>1</v>
      </c>
      <c r="R20" s="43"/>
      <c r="S20" s="43"/>
      <c r="T20" s="43"/>
      <c r="U20" s="43">
        <v>0.25</v>
      </c>
      <c r="V20" s="43"/>
      <c r="W20" s="43"/>
      <c r="X20" s="43">
        <v>0.25</v>
      </c>
      <c r="Y20" s="43"/>
      <c r="Z20" s="202">
        <v>0.25</v>
      </c>
      <c r="AA20" s="44"/>
      <c r="AB20" s="44"/>
      <c r="AC20" s="44">
        <v>0.25</v>
      </c>
      <c r="AD20" s="198"/>
      <c r="AE20" s="296" t="s">
        <v>112</v>
      </c>
      <c r="AF20" s="276" t="s">
        <v>113</v>
      </c>
      <c r="AG20" s="276" t="s">
        <v>114</v>
      </c>
      <c r="AH20" s="276" t="s">
        <v>98</v>
      </c>
    </row>
    <row r="21" spans="1:34" ht="37.4" customHeight="1" thickBot="1" x14ac:dyDescent="0.4">
      <c r="A21" s="353"/>
      <c r="B21" s="353"/>
      <c r="C21" s="279"/>
      <c r="D21" s="279"/>
      <c r="E21" s="279"/>
      <c r="F21" s="355"/>
      <c r="G21" s="279"/>
      <c r="H21" s="279"/>
      <c r="I21" s="279"/>
      <c r="J21" s="349"/>
      <c r="K21" s="349"/>
      <c r="L21" s="350"/>
      <c r="M21" s="352"/>
      <c r="N21" s="352"/>
      <c r="O21" s="62" t="s">
        <v>99</v>
      </c>
      <c r="P21" s="52">
        <f>100%/8</f>
        <v>0.125</v>
      </c>
      <c r="Q21" s="68">
        <f t="shared" si="0"/>
        <v>1</v>
      </c>
      <c r="R21" s="42"/>
      <c r="S21" s="42"/>
      <c r="T21" s="42"/>
      <c r="U21" s="42">
        <v>0.25</v>
      </c>
      <c r="V21" s="42"/>
      <c r="W21" s="42"/>
      <c r="X21" s="42">
        <v>0.25</v>
      </c>
      <c r="Y21" s="42"/>
      <c r="Z21" s="42"/>
      <c r="AA21" s="42">
        <v>0.25</v>
      </c>
      <c r="AB21" s="42"/>
      <c r="AC21" s="42"/>
      <c r="AD21" s="199">
        <v>0.25</v>
      </c>
      <c r="AE21" s="296"/>
      <c r="AF21" s="276"/>
      <c r="AG21" s="276"/>
      <c r="AH21" s="277"/>
    </row>
    <row r="22" spans="1:34" ht="56.9" customHeight="1" thickBot="1" x14ac:dyDescent="0.4">
      <c r="A22" s="278">
        <v>5</v>
      </c>
      <c r="B22" s="278" t="s">
        <v>709</v>
      </c>
      <c r="C22" s="278" t="s">
        <v>705</v>
      </c>
      <c r="D22" s="278" t="s">
        <v>86</v>
      </c>
      <c r="E22" s="278" t="s">
        <v>627</v>
      </c>
      <c r="F22" s="354"/>
      <c r="G22" s="278" t="s">
        <v>463</v>
      </c>
      <c r="H22" s="278" t="s">
        <v>788</v>
      </c>
      <c r="I22" s="278" t="s">
        <v>101</v>
      </c>
      <c r="J22" s="348" t="s">
        <v>91</v>
      </c>
      <c r="K22" s="348" t="s">
        <v>92</v>
      </c>
      <c r="L22" s="348" t="s">
        <v>698</v>
      </c>
      <c r="M22" s="351">
        <v>45293</v>
      </c>
      <c r="N22" s="351">
        <v>45657</v>
      </c>
      <c r="O22" s="62" t="s">
        <v>94</v>
      </c>
      <c r="P22" s="53">
        <f>+(P23*Q22)</f>
        <v>0.125</v>
      </c>
      <c r="Q22" s="68">
        <f>SUM(R22:AD22)</f>
        <v>1</v>
      </c>
      <c r="R22" s="43"/>
      <c r="S22" s="43"/>
      <c r="T22" s="43"/>
      <c r="U22" s="43">
        <v>0.25</v>
      </c>
      <c r="V22" s="43"/>
      <c r="W22" s="43"/>
      <c r="X22" s="43">
        <v>0.25</v>
      </c>
      <c r="Y22" s="43"/>
      <c r="Z22" s="202">
        <v>0.25</v>
      </c>
      <c r="AA22" s="44"/>
      <c r="AB22" s="44"/>
      <c r="AC22" s="44">
        <v>0.25</v>
      </c>
      <c r="AD22" s="198"/>
      <c r="AE22" s="296" t="s">
        <v>112</v>
      </c>
      <c r="AF22" s="276" t="s">
        <v>113</v>
      </c>
      <c r="AG22" s="276" t="s">
        <v>114</v>
      </c>
      <c r="AH22" s="276" t="s">
        <v>98</v>
      </c>
    </row>
    <row r="23" spans="1:34" ht="37.4" customHeight="1" thickBot="1" x14ac:dyDescent="0.4">
      <c r="A23" s="353"/>
      <c r="B23" s="353"/>
      <c r="C23" s="279"/>
      <c r="D23" s="279"/>
      <c r="E23" s="279"/>
      <c r="F23" s="355"/>
      <c r="G23" s="279"/>
      <c r="H23" s="279"/>
      <c r="I23" s="279"/>
      <c r="J23" s="349"/>
      <c r="K23" s="349"/>
      <c r="L23" s="350"/>
      <c r="M23" s="352"/>
      <c r="N23" s="352"/>
      <c r="O23" s="62" t="s">
        <v>99</v>
      </c>
      <c r="P23" s="52">
        <f>100%/8</f>
        <v>0.125</v>
      </c>
      <c r="Q23" s="68">
        <f t="shared" ref="Q23" si="1">SUM(R23:AD23)</f>
        <v>1</v>
      </c>
      <c r="R23" s="42"/>
      <c r="S23" s="42"/>
      <c r="T23" s="42"/>
      <c r="U23" s="42">
        <v>0.25</v>
      </c>
      <c r="V23" s="42"/>
      <c r="W23" s="42"/>
      <c r="X23" s="42">
        <v>0.25</v>
      </c>
      <c r="Y23" s="42"/>
      <c r="Z23" s="42"/>
      <c r="AA23" s="42">
        <v>0.25</v>
      </c>
      <c r="AB23" s="42"/>
      <c r="AC23" s="42"/>
      <c r="AD23" s="199">
        <v>0.25</v>
      </c>
      <c r="AE23" s="296"/>
      <c r="AF23" s="276"/>
      <c r="AG23" s="276"/>
      <c r="AH23" s="277"/>
    </row>
    <row r="24" spans="1:34" ht="143.15" customHeight="1" thickBot="1" x14ac:dyDescent="0.4">
      <c r="A24" s="278">
        <v>6</v>
      </c>
      <c r="B24" s="278" t="s">
        <v>688</v>
      </c>
      <c r="C24" s="278" t="s">
        <v>694</v>
      </c>
      <c r="D24" s="278" t="s">
        <v>121</v>
      </c>
      <c r="E24" s="278" t="s">
        <v>122</v>
      </c>
      <c r="F24" s="354"/>
      <c r="G24" s="356" t="s">
        <v>123</v>
      </c>
      <c r="H24" s="278" t="s">
        <v>784</v>
      </c>
      <c r="I24" s="278" t="s">
        <v>101</v>
      </c>
      <c r="J24" s="348" t="s">
        <v>91</v>
      </c>
      <c r="K24" s="348" t="s">
        <v>92</v>
      </c>
      <c r="L24" s="348" t="s">
        <v>698</v>
      </c>
      <c r="M24" s="351">
        <v>45293</v>
      </c>
      <c r="N24" s="351">
        <v>45657</v>
      </c>
      <c r="O24" s="62" t="s">
        <v>94</v>
      </c>
      <c r="P24" s="53">
        <f>+(P25*Q24)</f>
        <v>0.125</v>
      </c>
      <c r="Q24" s="68">
        <f t="shared" si="0"/>
        <v>1</v>
      </c>
      <c r="R24" s="45"/>
      <c r="S24" s="45"/>
      <c r="T24" s="45"/>
      <c r="U24" s="43">
        <v>0.25</v>
      </c>
      <c r="V24" s="43"/>
      <c r="W24" s="43"/>
      <c r="X24" s="43">
        <v>0.25</v>
      </c>
      <c r="Y24" s="43"/>
      <c r="Z24" s="44"/>
      <c r="AA24" s="44">
        <v>0.25</v>
      </c>
      <c r="AB24" s="44"/>
      <c r="AC24" s="44"/>
      <c r="AD24" s="198">
        <v>0.25</v>
      </c>
      <c r="AE24" s="296" t="s">
        <v>116</v>
      </c>
      <c r="AF24" s="276" t="s">
        <v>117</v>
      </c>
      <c r="AG24" s="276" t="s">
        <v>118</v>
      </c>
      <c r="AH24" s="299" t="s">
        <v>119</v>
      </c>
    </row>
    <row r="25" spans="1:34" ht="36.65" customHeight="1" thickBot="1" x14ac:dyDescent="0.4">
      <c r="A25" s="353"/>
      <c r="B25" s="353"/>
      <c r="C25" s="279"/>
      <c r="D25" s="279"/>
      <c r="E25" s="279"/>
      <c r="F25" s="355"/>
      <c r="G25" s="357"/>
      <c r="H25" s="279"/>
      <c r="I25" s="279"/>
      <c r="J25" s="349"/>
      <c r="K25" s="349"/>
      <c r="L25" s="350"/>
      <c r="M25" s="352"/>
      <c r="N25" s="352"/>
      <c r="O25" s="62" t="s">
        <v>99</v>
      </c>
      <c r="P25" s="52">
        <f>100%/8</f>
        <v>0.125</v>
      </c>
      <c r="Q25" s="68">
        <f t="shared" si="0"/>
        <v>1</v>
      </c>
      <c r="R25" s="42"/>
      <c r="S25" s="42"/>
      <c r="T25" s="42"/>
      <c r="U25" s="42">
        <v>0.25</v>
      </c>
      <c r="V25" s="42"/>
      <c r="W25" s="42"/>
      <c r="X25" s="42">
        <v>0.25</v>
      </c>
      <c r="Y25" s="42"/>
      <c r="Z25" s="42"/>
      <c r="AA25" s="42">
        <v>0.25</v>
      </c>
      <c r="AB25" s="42"/>
      <c r="AC25" s="42"/>
      <c r="AD25" s="199">
        <v>0.25</v>
      </c>
      <c r="AE25" s="296"/>
      <c r="AF25" s="276"/>
      <c r="AG25" s="276"/>
      <c r="AH25" s="299"/>
    </row>
    <row r="26" spans="1:34" ht="37.4" customHeight="1" thickBot="1" x14ac:dyDescent="0.4">
      <c r="A26" s="278">
        <v>7</v>
      </c>
      <c r="B26" s="278" t="s">
        <v>693</v>
      </c>
      <c r="C26" s="278" t="s">
        <v>728</v>
      </c>
      <c r="D26" s="278" t="s">
        <v>86</v>
      </c>
      <c r="E26" s="278" t="s">
        <v>126</v>
      </c>
      <c r="F26" s="354"/>
      <c r="G26" s="278" t="s">
        <v>761</v>
      </c>
      <c r="H26" s="278" t="s">
        <v>128</v>
      </c>
      <c r="I26" s="278" t="s">
        <v>101</v>
      </c>
      <c r="J26" s="348" t="s">
        <v>91</v>
      </c>
      <c r="K26" s="348" t="s">
        <v>92</v>
      </c>
      <c r="L26" s="348" t="s">
        <v>698</v>
      </c>
      <c r="M26" s="351">
        <v>45293</v>
      </c>
      <c r="N26" s="351">
        <v>45657</v>
      </c>
      <c r="O26" s="62" t="s">
        <v>94</v>
      </c>
      <c r="P26" s="53">
        <f>+(P27*Q26)</f>
        <v>0.125</v>
      </c>
      <c r="Q26" s="68">
        <f t="shared" si="0"/>
        <v>1</v>
      </c>
      <c r="R26" s="61"/>
      <c r="S26" s="61"/>
      <c r="T26" s="96">
        <v>0.25</v>
      </c>
      <c r="U26" s="43"/>
      <c r="V26" s="43"/>
      <c r="W26" s="43"/>
      <c r="X26" s="43">
        <v>0.25</v>
      </c>
      <c r="Y26" s="43"/>
      <c r="Z26" s="44"/>
      <c r="AA26" s="44">
        <v>0.25</v>
      </c>
      <c r="AB26" s="44"/>
      <c r="AC26" s="44">
        <v>0.25</v>
      </c>
      <c r="AD26" s="198"/>
      <c r="AE26" s="297"/>
      <c r="AF26" s="276" t="s">
        <v>124</v>
      </c>
      <c r="AG26" s="276" t="s">
        <v>125</v>
      </c>
      <c r="AH26" s="276" t="s">
        <v>98</v>
      </c>
    </row>
    <row r="27" spans="1:34" ht="93.65" customHeight="1" thickBot="1" x14ac:dyDescent="0.4">
      <c r="A27" s="353"/>
      <c r="B27" s="353"/>
      <c r="C27" s="279"/>
      <c r="D27" s="279"/>
      <c r="E27" s="279"/>
      <c r="F27" s="355"/>
      <c r="G27" s="279"/>
      <c r="H27" s="279"/>
      <c r="I27" s="279"/>
      <c r="J27" s="349"/>
      <c r="K27" s="349"/>
      <c r="L27" s="350"/>
      <c r="M27" s="352"/>
      <c r="N27" s="352"/>
      <c r="O27" s="62" t="s">
        <v>99</v>
      </c>
      <c r="P27" s="52">
        <f>100%/8</f>
        <v>0.125</v>
      </c>
      <c r="Q27" s="68">
        <f t="shared" si="0"/>
        <v>1</v>
      </c>
      <c r="R27" s="42"/>
      <c r="S27" s="42"/>
      <c r="T27" s="42"/>
      <c r="U27" s="42">
        <v>0.25</v>
      </c>
      <c r="V27" s="42"/>
      <c r="W27" s="42"/>
      <c r="X27" s="42">
        <v>0.25</v>
      </c>
      <c r="Y27" s="42"/>
      <c r="Z27" s="42"/>
      <c r="AA27" s="42">
        <v>0.25</v>
      </c>
      <c r="AB27" s="42"/>
      <c r="AC27" s="42"/>
      <c r="AD27" s="199">
        <v>0.25</v>
      </c>
      <c r="AE27" s="297"/>
      <c r="AF27" s="276"/>
      <c r="AG27" s="276"/>
      <c r="AH27" s="277"/>
    </row>
    <row r="28" spans="1:34" ht="74.900000000000006" customHeight="1" thickBot="1" x14ac:dyDescent="0.4">
      <c r="A28" s="278">
        <v>8</v>
      </c>
      <c r="B28" s="278" t="s">
        <v>693</v>
      </c>
      <c r="C28" s="274" t="s">
        <v>710</v>
      </c>
      <c r="D28" s="274" t="s">
        <v>711</v>
      </c>
      <c r="E28" s="274" t="s">
        <v>110</v>
      </c>
      <c r="F28" s="275"/>
      <c r="G28" s="274" t="s">
        <v>111</v>
      </c>
      <c r="H28" s="274" t="s">
        <v>785</v>
      </c>
      <c r="I28" s="278" t="s">
        <v>101</v>
      </c>
      <c r="J28" s="280" t="s">
        <v>91</v>
      </c>
      <c r="K28" s="280" t="s">
        <v>92</v>
      </c>
      <c r="L28" s="348" t="s">
        <v>698</v>
      </c>
      <c r="M28" s="351">
        <v>45293</v>
      </c>
      <c r="N28" s="351">
        <v>45657</v>
      </c>
      <c r="O28" s="62" t="s">
        <v>94</v>
      </c>
      <c r="P28" s="53">
        <f>+(P29*Q28)</f>
        <v>0.125</v>
      </c>
      <c r="Q28" s="68">
        <f t="shared" si="0"/>
        <v>1</v>
      </c>
      <c r="R28" s="45"/>
      <c r="S28" s="45"/>
      <c r="T28" s="45"/>
      <c r="U28" s="45"/>
      <c r="V28" s="45"/>
      <c r="W28" s="45"/>
      <c r="X28" s="45">
        <v>0.5</v>
      </c>
      <c r="Y28" s="45"/>
      <c r="Z28" s="45"/>
      <c r="AA28" s="45"/>
      <c r="AB28" s="45"/>
      <c r="AC28" s="45">
        <v>0.5</v>
      </c>
      <c r="AD28" s="200"/>
      <c r="AE28" s="282" t="s">
        <v>130</v>
      </c>
      <c r="AF28" s="276" t="s">
        <v>131</v>
      </c>
      <c r="AG28" s="276" t="s">
        <v>132</v>
      </c>
      <c r="AH28" s="276" t="s">
        <v>98</v>
      </c>
    </row>
    <row r="29" spans="1:34" ht="37.4" customHeight="1" thickBot="1" x14ac:dyDescent="0.4">
      <c r="A29" s="353"/>
      <c r="B29" s="353"/>
      <c r="C29" s="274"/>
      <c r="D29" s="274"/>
      <c r="E29" s="274"/>
      <c r="F29" s="275"/>
      <c r="G29" s="274"/>
      <c r="H29" s="274"/>
      <c r="I29" s="279"/>
      <c r="J29" s="280"/>
      <c r="K29" s="280"/>
      <c r="L29" s="350"/>
      <c r="M29" s="352"/>
      <c r="N29" s="352"/>
      <c r="O29" s="62" t="s">
        <v>99</v>
      </c>
      <c r="P29" s="52">
        <f>100%/8</f>
        <v>0.125</v>
      </c>
      <c r="Q29" s="68">
        <f t="shared" si="0"/>
        <v>1</v>
      </c>
      <c r="R29" s="42"/>
      <c r="S29" s="42"/>
      <c r="T29" s="42"/>
      <c r="U29" s="42"/>
      <c r="V29" s="42"/>
      <c r="W29" s="42"/>
      <c r="X29" s="42">
        <v>0.5</v>
      </c>
      <c r="Y29" s="42"/>
      <c r="Z29" s="42"/>
      <c r="AA29" s="42"/>
      <c r="AB29" s="42"/>
      <c r="AC29" s="42"/>
      <c r="AD29" s="199">
        <v>0.5</v>
      </c>
      <c r="AE29" s="283"/>
      <c r="AF29" s="277"/>
      <c r="AG29" s="277"/>
      <c r="AH29" s="277"/>
    </row>
    <row r="30" spans="1:34" ht="37.4" customHeight="1" thickBot="1" x14ac:dyDescent="0.4">
      <c r="A30" s="274">
        <v>9</v>
      </c>
      <c r="B30" s="274" t="s">
        <v>693</v>
      </c>
      <c r="C30" s="274" t="s">
        <v>726</v>
      </c>
      <c r="D30" s="274" t="s">
        <v>86</v>
      </c>
      <c r="E30" s="274" t="s">
        <v>154</v>
      </c>
      <c r="F30" s="275"/>
      <c r="G30" s="274" t="s">
        <v>571</v>
      </c>
      <c r="H30" s="274" t="s">
        <v>786</v>
      </c>
      <c r="I30" s="278" t="s">
        <v>101</v>
      </c>
      <c r="J30" s="280" t="s">
        <v>91</v>
      </c>
      <c r="K30" s="280" t="s">
        <v>92</v>
      </c>
      <c r="L30" s="280" t="s">
        <v>698</v>
      </c>
      <c r="M30" s="281">
        <v>45293</v>
      </c>
      <c r="N30" s="281">
        <v>45657</v>
      </c>
      <c r="O30" s="62" t="s">
        <v>94</v>
      </c>
      <c r="P30" s="53">
        <f>+(P31*Q30)</f>
        <v>0.125</v>
      </c>
      <c r="Q30" s="68">
        <f>SUM(R30:AD30)</f>
        <v>1</v>
      </c>
      <c r="R30" s="45"/>
      <c r="S30" s="45"/>
      <c r="T30" s="45"/>
      <c r="U30" s="45"/>
      <c r="V30" s="45"/>
      <c r="W30" s="45"/>
      <c r="X30" s="45"/>
      <c r="Y30" s="45"/>
      <c r="Z30" s="45"/>
      <c r="AA30" s="45"/>
      <c r="AB30" s="45"/>
      <c r="AC30" s="45">
        <v>1</v>
      </c>
      <c r="AD30" s="200"/>
      <c r="AE30" s="282" t="s">
        <v>133</v>
      </c>
      <c r="AF30" s="282" t="s">
        <v>133</v>
      </c>
      <c r="AG30" s="282" t="s">
        <v>133</v>
      </c>
      <c r="AH30" s="276" t="s">
        <v>98</v>
      </c>
    </row>
    <row r="31" spans="1:34" ht="64" customHeight="1" thickBot="1" x14ac:dyDescent="0.4">
      <c r="A31" s="274"/>
      <c r="B31" s="274"/>
      <c r="C31" s="274"/>
      <c r="D31" s="274"/>
      <c r="E31" s="274"/>
      <c r="F31" s="275"/>
      <c r="G31" s="274"/>
      <c r="H31" s="274"/>
      <c r="I31" s="279"/>
      <c r="J31" s="280"/>
      <c r="K31" s="280"/>
      <c r="L31" s="280"/>
      <c r="M31" s="281"/>
      <c r="N31" s="281"/>
      <c r="O31" s="62" t="s">
        <v>99</v>
      </c>
      <c r="P31" s="52">
        <f>100%/8</f>
        <v>0.125</v>
      </c>
      <c r="Q31" s="68">
        <f>SUM(R31:AD31)</f>
        <v>1</v>
      </c>
      <c r="R31" s="42"/>
      <c r="S31" s="42"/>
      <c r="T31" s="42"/>
      <c r="U31" s="42"/>
      <c r="V31" s="42"/>
      <c r="W31" s="42"/>
      <c r="X31" s="42"/>
      <c r="Y31" s="42"/>
      <c r="Z31" s="42"/>
      <c r="AA31" s="42"/>
      <c r="AB31" s="42"/>
      <c r="AC31" s="42">
        <v>1</v>
      </c>
      <c r="AD31" s="199"/>
      <c r="AE31" s="283"/>
      <c r="AF31" s="283"/>
      <c r="AG31" s="283"/>
      <c r="AH31" s="277"/>
    </row>
    <row r="33" spans="4:30" s="13" customFormat="1" ht="30" hidden="1" customHeight="1" thickBot="1" x14ac:dyDescent="0.4">
      <c r="D33" s="371" t="s">
        <v>43</v>
      </c>
      <c r="E33" s="371"/>
      <c r="F33" s="21">
        <v>1</v>
      </c>
      <c r="H33" s="22" t="s">
        <v>135</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3"/>
    </row>
    <row r="34" spans="4:30" s="13" customFormat="1" ht="30" hidden="1" customHeight="1" x14ac:dyDescent="0.35">
      <c r="D34" s="371"/>
      <c r="E34" s="371"/>
      <c r="F34" s="21"/>
      <c r="H34" s="15" t="s">
        <v>136</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4"/>
    </row>
    <row r="35" spans="4:30" s="13" customFormat="1" ht="30" hidden="1" customHeight="1" x14ac:dyDescent="0.35">
      <c r="H35" s="15" t="s">
        <v>137</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4"/>
    </row>
    <row r="36" spans="4:30" s="13" customFormat="1" ht="30" hidden="1" customHeight="1" x14ac:dyDescent="0.35">
      <c r="H36" s="18" t="s">
        <v>138</v>
      </c>
      <c r="I36" s="19"/>
      <c r="J36" s="35"/>
      <c r="K36" s="35"/>
      <c r="L36" s="35"/>
      <c r="M36" s="35"/>
      <c r="N36" s="35"/>
      <c r="O36" s="35"/>
      <c r="P36" s="38"/>
      <c r="Q36" s="35"/>
      <c r="R36" s="35"/>
      <c r="S36" s="28"/>
      <c r="T36" s="29"/>
      <c r="U36" s="29"/>
      <c r="V36" s="29"/>
      <c r="W36" s="29"/>
      <c r="X36" s="29"/>
      <c r="Y36" s="29"/>
      <c r="Z36" s="29"/>
      <c r="AA36" s="29" t="e">
        <f>+O35+AA35</f>
        <v>#REF!</v>
      </c>
      <c r="AB36" s="40"/>
      <c r="AC36" s="29"/>
      <c r="AD36" s="64"/>
    </row>
    <row r="37" spans="4:30" s="13" customFormat="1" ht="30" hidden="1" customHeight="1" x14ac:dyDescent="0.35">
      <c r="H37" s="15" t="s">
        <v>140</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3"/>
    </row>
    <row r="38" spans="4:30" s="13" customFormat="1" ht="30" hidden="1" customHeight="1" x14ac:dyDescent="0.35">
      <c r="H38" s="15" t="s">
        <v>141</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3"/>
    </row>
    <row r="39" spans="4:30" s="13" customFormat="1" ht="30" hidden="1" customHeight="1" x14ac:dyDescent="0.35">
      <c r="H39" s="15" t="s">
        <v>142</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4"/>
    </row>
    <row r="40" spans="4:30" s="13" customFormat="1" ht="30" hidden="1" customHeight="1" x14ac:dyDescent="0.35">
      <c r="H40" s="20" t="s">
        <v>143</v>
      </c>
      <c r="I40" s="19"/>
      <c r="J40" s="35"/>
      <c r="K40" s="35"/>
      <c r="L40" s="35"/>
      <c r="M40" s="35"/>
      <c r="N40" s="35"/>
      <c r="O40" s="35"/>
      <c r="P40" s="38"/>
      <c r="Q40" s="35"/>
      <c r="R40" s="35"/>
      <c r="S40" s="28"/>
      <c r="T40" s="29"/>
      <c r="U40" s="29"/>
      <c r="V40" s="29"/>
      <c r="W40" s="29"/>
      <c r="X40" s="29"/>
      <c r="Y40" s="29"/>
      <c r="Z40" s="29"/>
      <c r="AA40" s="29" t="e">
        <f>+O39+AA39</f>
        <v>#REF!</v>
      </c>
      <c r="AB40" s="40"/>
      <c r="AC40" s="41"/>
      <c r="AD40" s="64"/>
    </row>
    <row r="41" spans="4:30" ht="30" hidden="1" customHeight="1" x14ac:dyDescent="0.35">
      <c r="H41" s="372" t="s">
        <v>144</v>
      </c>
      <c r="I41" s="372"/>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5"/>
    </row>
    <row r="42" spans="4:30" ht="30" hidden="1" customHeight="1" x14ac:dyDescent="0.35">
      <c r="H42" s="373" t="s">
        <v>145</v>
      </c>
      <c r="I42" s="373"/>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6"/>
    </row>
    <row r="43" spans="4:30" ht="30" hidden="1" customHeight="1" x14ac:dyDescent="0.35">
      <c r="H43" s="372" t="s">
        <v>146</v>
      </c>
      <c r="I43" s="372"/>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7"/>
    </row>
    <row r="44" spans="4:30" ht="30" hidden="1" customHeight="1" x14ac:dyDescent="0.35">
      <c r="H44" s="373" t="s">
        <v>147</v>
      </c>
      <c r="I44" s="373"/>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7"/>
    </row>
    <row r="45" spans="4:30" ht="30" hidden="1" customHeight="1" x14ac:dyDescent="0.35">
      <c r="H45" s="372" t="s">
        <v>148</v>
      </c>
      <c r="I45" s="372"/>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7"/>
    </row>
    <row r="46" spans="4:30" ht="30" hidden="1" customHeight="1" x14ac:dyDescent="0.35">
      <c r="H46" s="372" t="s">
        <v>149</v>
      </c>
      <c r="I46" s="372"/>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7"/>
    </row>
    <row r="47" spans="4:30" ht="15" hidden="1" customHeight="1" x14ac:dyDescent="0.35"/>
    <row r="48" spans="4:30" ht="35.15" hidden="1" customHeight="1" x14ac:dyDescent="0.35">
      <c r="H48" s="215"/>
      <c r="I48" s="30" t="e">
        <f>+#REF!</f>
        <v>#REF!</v>
      </c>
      <c r="J48" s="32"/>
      <c r="K48" s="32"/>
      <c r="L48" s="32"/>
      <c r="M48" s="32"/>
      <c r="N48" s="32"/>
    </row>
    <row r="49" spans="2:14" ht="35.15" hidden="1" customHeight="1" x14ac:dyDescent="0.35">
      <c r="H49" s="215"/>
      <c r="I49" s="25">
        <f>+F33</f>
        <v>1</v>
      </c>
      <c r="J49" s="32"/>
      <c r="K49" s="32"/>
      <c r="L49" s="32"/>
      <c r="M49" s="32"/>
      <c r="N49" s="32"/>
    </row>
    <row r="50" spans="2:14" ht="35.15" hidden="1" customHeight="1" x14ac:dyDescent="0.35">
      <c r="H50" s="215"/>
      <c r="I50" s="31" t="e">
        <f>+I48/I49</f>
        <v>#REF!</v>
      </c>
      <c r="J50" s="32"/>
      <c r="K50" s="32"/>
      <c r="L50" s="32"/>
      <c r="M50" s="32"/>
      <c r="N50" s="32"/>
    </row>
    <row r="51" spans="2:14" ht="15" customHeight="1" x14ac:dyDescent="0.35">
      <c r="J51" s="32"/>
      <c r="K51" s="32"/>
      <c r="L51" s="32"/>
      <c r="M51" s="32"/>
      <c r="N51" s="32"/>
    </row>
    <row r="52" spans="2:14" ht="15" hidden="1" customHeight="1" x14ac:dyDescent="0.35">
      <c r="B52" s="368" t="s">
        <v>53</v>
      </c>
      <c r="C52" s="368" t="s">
        <v>54</v>
      </c>
      <c r="D52" s="368" t="s">
        <v>55</v>
      </c>
      <c r="E52" s="368" t="s">
        <v>56</v>
      </c>
      <c r="F52" s="368" t="s">
        <v>31</v>
      </c>
      <c r="G52" s="370" t="s">
        <v>57</v>
      </c>
      <c r="M52" s="370" t="s">
        <v>687</v>
      </c>
    </row>
    <row r="53" spans="2:14" ht="15" hidden="1" customHeight="1" x14ac:dyDescent="0.35">
      <c r="B53" s="369"/>
      <c r="C53" s="369"/>
      <c r="D53" s="369"/>
      <c r="E53" s="369"/>
      <c r="F53" s="369"/>
      <c r="G53" s="369"/>
      <c r="M53" s="369"/>
    </row>
    <row r="54" spans="2:14" ht="15" hidden="1" customHeight="1" x14ac:dyDescent="0.35">
      <c r="B54" s="1" t="s">
        <v>688</v>
      </c>
      <c r="C54" s="1" t="s">
        <v>689</v>
      </c>
      <c r="D54" s="1" t="s">
        <v>121</v>
      </c>
      <c r="E54" s="1" t="s">
        <v>122</v>
      </c>
      <c r="F54" s="1" t="s">
        <v>690</v>
      </c>
      <c r="G54" s="1" t="s">
        <v>691</v>
      </c>
      <c r="M54" s="13" t="s">
        <v>692</v>
      </c>
    </row>
    <row r="55" spans="2:14" ht="15" hidden="1" customHeight="1" x14ac:dyDescent="0.35">
      <c r="B55" s="1" t="s">
        <v>693</v>
      </c>
      <c r="C55" s="1" t="s">
        <v>694</v>
      </c>
      <c r="D55" s="1" t="s">
        <v>300</v>
      </c>
      <c r="E55" s="1" t="s">
        <v>695</v>
      </c>
      <c r="F55" s="1" t="s">
        <v>696</v>
      </c>
      <c r="G55" s="1" t="s">
        <v>697</v>
      </c>
      <c r="M55" s="13" t="s">
        <v>698</v>
      </c>
    </row>
    <row r="56" spans="2:14" ht="15" hidden="1" customHeight="1" x14ac:dyDescent="0.35">
      <c r="B56" s="1" t="s">
        <v>699</v>
      </c>
      <c r="C56" s="1" t="s">
        <v>700</v>
      </c>
      <c r="D56" s="1" t="s">
        <v>86</v>
      </c>
      <c r="E56" s="1" t="s">
        <v>301</v>
      </c>
      <c r="F56" s="1" t="s">
        <v>701</v>
      </c>
      <c r="G56" s="1" t="s">
        <v>702</v>
      </c>
      <c r="M56" s="13" t="s">
        <v>703</v>
      </c>
    </row>
    <row r="57" spans="2:14" ht="15" hidden="1" customHeight="1" x14ac:dyDescent="0.35">
      <c r="B57" s="1" t="s">
        <v>704</v>
      </c>
      <c r="C57" s="1" t="s">
        <v>705</v>
      </c>
      <c r="D57" s="1" t="s">
        <v>168</v>
      </c>
      <c r="E57" s="1" t="s">
        <v>706</v>
      </c>
      <c r="F57" s="1" t="s">
        <v>707</v>
      </c>
      <c r="G57" s="1" t="s">
        <v>708</v>
      </c>
    </row>
    <row r="58" spans="2:14" ht="15" hidden="1" customHeight="1" x14ac:dyDescent="0.35">
      <c r="B58" s="1" t="s">
        <v>709</v>
      </c>
      <c r="C58" s="1" t="s">
        <v>710</v>
      </c>
      <c r="D58" s="1" t="s">
        <v>711</v>
      </c>
      <c r="E58" s="1" t="s">
        <v>712</v>
      </c>
      <c r="F58" s="1" t="s">
        <v>713</v>
      </c>
      <c r="G58" s="1" t="s">
        <v>714</v>
      </c>
    </row>
    <row r="59" spans="2:14" ht="15" hidden="1" customHeight="1" x14ac:dyDescent="0.35">
      <c r="B59" s="1" t="s">
        <v>715</v>
      </c>
      <c r="C59" s="1" t="s">
        <v>716</v>
      </c>
      <c r="D59" s="1" t="s">
        <v>717</v>
      </c>
      <c r="E59" s="1" t="s">
        <v>154</v>
      </c>
      <c r="F59" s="1" t="s">
        <v>290</v>
      </c>
      <c r="G59" s="1" t="s">
        <v>463</v>
      </c>
    </row>
    <row r="60" spans="2:14" ht="15" hidden="1" customHeight="1" x14ac:dyDescent="0.35">
      <c r="B60" s="1" t="s">
        <v>718</v>
      </c>
      <c r="C60" s="1" t="s">
        <v>719</v>
      </c>
      <c r="D60" s="1" t="s">
        <v>720</v>
      </c>
      <c r="E60" s="1" t="s">
        <v>115</v>
      </c>
      <c r="F60" s="1" t="s">
        <v>721</v>
      </c>
      <c r="G60" s="1" t="s">
        <v>722</v>
      </c>
    </row>
    <row r="61" spans="2:14" ht="15" hidden="1" customHeight="1" x14ac:dyDescent="0.35">
      <c r="B61" s="1" t="s">
        <v>723</v>
      </c>
      <c r="C61" s="1" t="s">
        <v>724</v>
      </c>
      <c r="E61" s="1" t="s">
        <v>627</v>
      </c>
      <c r="F61" s="1" t="s">
        <v>725</v>
      </c>
      <c r="G61" s="1" t="s">
        <v>571</v>
      </c>
    </row>
    <row r="62" spans="2:14" ht="15" hidden="1" customHeight="1" x14ac:dyDescent="0.35">
      <c r="C62" s="1" t="s">
        <v>726</v>
      </c>
      <c r="E62" s="1" t="s">
        <v>126</v>
      </c>
      <c r="F62" s="1" t="s">
        <v>727</v>
      </c>
      <c r="G62" s="1" t="s">
        <v>100</v>
      </c>
    </row>
    <row r="63" spans="2:14" ht="15" hidden="1" customHeight="1" x14ac:dyDescent="0.35">
      <c r="C63" s="1" t="s">
        <v>728</v>
      </c>
      <c r="E63" s="1" t="s">
        <v>729</v>
      </c>
      <c r="F63" s="1" t="s">
        <v>730</v>
      </c>
      <c r="G63" s="1" t="s">
        <v>123</v>
      </c>
    </row>
    <row r="64" spans="2:14" ht="15" hidden="1" customHeight="1" x14ac:dyDescent="0.35">
      <c r="E64" s="1" t="s">
        <v>87</v>
      </c>
      <c r="F64" s="1" t="s">
        <v>731</v>
      </c>
      <c r="G64" s="1" t="s">
        <v>111</v>
      </c>
    </row>
    <row r="65" spans="5:7" ht="15" hidden="1" customHeight="1" x14ac:dyDescent="0.35">
      <c r="E65" s="1" t="s">
        <v>732</v>
      </c>
      <c r="F65" s="1" t="s">
        <v>733</v>
      </c>
      <c r="G65" s="1" t="s">
        <v>734</v>
      </c>
    </row>
    <row r="66" spans="5:7" ht="15" hidden="1" customHeight="1" x14ac:dyDescent="0.35">
      <c r="E66" s="1" t="s">
        <v>163</v>
      </c>
      <c r="G66" s="1" t="s">
        <v>735</v>
      </c>
    </row>
    <row r="67" spans="5:7" ht="15" hidden="1" customHeight="1" x14ac:dyDescent="0.35">
      <c r="E67" s="1" t="s">
        <v>736</v>
      </c>
      <c r="G67" s="1" t="s">
        <v>737</v>
      </c>
    </row>
    <row r="68" spans="5:7" ht="15" hidden="1" customHeight="1" x14ac:dyDescent="0.35">
      <c r="E68" s="1" t="s">
        <v>738</v>
      </c>
      <c r="G68" s="1" t="s">
        <v>739</v>
      </c>
    </row>
    <row r="69" spans="5:7" ht="15" hidden="1" customHeight="1" x14ac:dyDescent="0.35">
      <c r="E69" s="1" t="s">
        <v>110</v>
      </c>
      <c r="G69" s="1" t="s">
        <v>740</v>
      </c>
    </row>
    <row r="70" spans="5:7" ht="15" hidden="1" customHeight="1" x14ac:dyDescent="0.35">
      <c r="E70" s="1" t="s">
        <v>741</v>
      </c>
      <c r="G70" s="1" t="s">
        <v>742</v>
      </c>
    </row>
    <row r="71" spans="5:7" ht="15" hidden="1" customHeight="1" x14ac:dyDescent="0.35">
      <c r="E71" s="1" t="s">
        <v>743</v>
      </c>
      <c r="G71" s="1" t="s">
        <v>744</v>
      </c>
    </row>
    <row r="72" spans="5:7" ht="15" hidden="1" customHeight="1" x14ac:dyDescent="0.35">
      <c r="E72" s="1" t="s">
        <v>745</v>
      </c>
      <c r="G72" s="1" t="s">
        <v>746</v>
      </c>
    </row>
    <row r="73" spans="5:7" ht="15" hidden="1" customHeight="1" x14ac:dyDescent="0.35">
      <c r="G73" s="1" t="s">
        <v>747</v>
      </c>
    </row>
    <row r="74" spans="5:7" ht="15" hidden="1" customHeight="1" x14ac:dyDescent="0.35">
      <c r="G74" s="1" t="s">
        <v>748</v>
      </c>
    </row>
    <row r="75" spans="5:7" ht="15" hidden="1" customHeight="1" x14ac:dyDescent="0.35">
      <c r="G75" s="1" t="s">
        <v>749</v>
      </c>
    </row>
    <row r="76" spans="5:7" ht="15" hidden="1" customHeight="1" x14ac:dyDescent="0.35">
      <c r="G76" s="1" t="s">
        <v>750</v>
      </c>
    </row>
    <row r="77" spans="5:7" ht="15" hidden="1" customHeight="1" x14ac:dyDescent="0.35">
      <c r="G77" s="1" t="s">
        <v>751</v>
      </c>
    </row>
    <row r="78" spans="5:7" ht="15" hidden="1" customHeight="1" x14ac:dyDescent="0.35">
      <c r="G78" s="1" t="s">
        <v>752</v>
      </c>
    </row>
    <row r="79" spans="5:7" ht="15" hidden="1" customHeight="1" x14ac:dyDescent="0.35">
      <c r="G79" s="1" t="s">
        <v>753</v>
      </c>
    </row>
    <row r="80" spans="5:7" ht="15" hidden="1" customHeight="1" x14ac:dyDescent="0.35">
      <c r="G80" s="1" t="s">
        <v>754</v>
      </c>
    </row>
    <row r="81" spans="7:7" ht="15" hidden="1" customHeight="1" x14ac:dyDescent="0.35">
      <c r="G81" s="1" t="s">
        <v>755</v>
      </c>
    </row>
    <row r="82" spans="7:7" ht="15" hidden="1" customHeight="1" x14ac:dyDescent="0.35">
      <c r="G82" s="1" t="s">
        <v>756</v>
      </c>
    </row>
    <row r="83" spans="7:7" ht="15" hidden="1" customHeight="1" x14ac:dyDescent="0.35">
      <c r="G83" s="1" t="s">
        <v>757</v>
      </c>
    </row>
    <row r="84" spans="7:7" ht="15" hidden="1" customHeight="1" x14ac:dyDescent="0.35">
      <c r="G84" s="1" t="s">
        <v>758</v>
      </c>
    </row>
    <row r="85" spans="7:7" ht="15" hidden="1" customHeight="1" x14ac:dyDescent="0.35">
      <c r="G85" s="1" t="s">
        <v>759</v>
      </c>
    </row>
    <row r="86" spans="7:7" ht="15" hidden="1" customHeight="1" x14ac:dyDescent="0.35">
      <c r="G86" s="1" t="s">
        <v>760</v>
      </c>
    </row>
    <row r="87" spans="7:7" ht="15" hidden="1" customHeight="1" x14ac:dyDescent="0.35">
      <c r="G87" s="1" t="s">
        <v>127</v>
      </c>
    </row>
    <row r="88" spans="7:7" ht="15" hidden="1" customHeight="1" x14ac:dyDescent="0.35">
      <c r="G88" s="1" t="s">
        <v>761</v>
      </c>
    </row>
    <row r="89" spans="7:7" ht="15" hidden="1" customHeight="1" x14ac:dyDescent="0.35">
      <c r="G89" s="1" t="s">
        <v>762</v>
      </c>
    </row>
    <row r="90" spans="7:7" ht="15" hidden="1" customHeight="1" x14ac:dyDescent="0.35">
      <c r="G90" s="1" t="s">
        <v>763</v>
      </c>
    </row>
    <row r="91" spans="7:7" ht="15" hidden="1" customHeight="1" x14ac:dyDescent="0.35">
      <c r="G91" s="1" t="s">
        <v>764</v>
      </c>
    </row>
    <row r="92" spans="7:7" ht="15" hidden="1" customHeight="1" x14ac:dyDescent="0.35">
      <c r="G92" s="1" t="s">
        <v>89</v>
      </c>
    </row>
    <row r="93" spans="7:7" ht="15" hidden="1" customHeight="1" x14ac:dyDescent="0.35">
      <c r="G93" s="1" t="s">
        <v>765</v>
      </c>
    </row>
    <row r="94" spans="7:7" ht="15" hidden="1" customHeight="1" x14ac:dyDescent="0.35">
      <c r="G94" s="1" t="s">
        <v>766</v>
      </c>
    </row>
    <row r="95" spans="7:7" ht="15" hidden="1" customHeight="1" x14ac:dyDescent="0.35">
      <c r="G95" s="1" t="s">
        <v>307</v>
      </c>
    </row>
    <row r="96" spans="7:7" ht="15" hidden="1" customHeight="1" x14ac:dyDescent="0.35">
      <c r="G96" s="1" t="s">
        <v>767</v>
      </c>
    </row>
    <row r="97" spans="7:7" ht="15" hidden="1" customHeight="1" x14ac:dyDescent="0.35">
      <c r="G97" s="1" t="s">
        <v>768</v>
      </c>
    </row>
    <row r="98" spans="7:7" ht="15" hidden="1" customHeight="1" x14ac:dyDescent="0.35">
      <c r="G98" s="1" t="s">
        <v>769</v>
      </c>
    </row>
    <row r="99" spans="7:7" ht="15" hidden="1" customHeight="1" x14ac:dyDescent="0.35">
      <c r="G99" s="1" t="s">
        <v>770</v>
      </c>
    </row>
    <row r="100" spans="7:7" ht="15" hidden="1" customHeight="1" x14ac:dyDescent="0.35">
      <c r="G100" s="1" t="s">
        <v>771</v>
      </c>
    </row>
    <row r="101" spans="7:7" ht="15" hidden="1" customHeight="1" x14ac:dyDescent="0.35">
      <c r="G101" s="1" t="s">
        <v>772</v>
      </c>
    </row>
    <row r="102" spans="7:7" ht="15" hidden="1" customHeight="1" x14ac:dyDescent="0.35">
      <c r="G102" s="1" t="s">
        <v>773</v>
      </c>
    </row>
    <row r="103" spans="7:7" ht="15" hidden="1" customHeight="1" x14ac:dyDescent="0.35">
      <c r="G103" s="1" t="s">
        <v>774</v>
      </c>
    </row>
    <row r="104" spans="7:7" ht="15" hidden="1" customHeight="1" x14ac:dyDescent="0.35">
      <c r="G104" s="1" t="s">
        <v>775</v>
      </c>
    </row>
    <row r="105" spans="7:7" ht="15" hidden="1" customHeight="1" x14ac:dyDescent="0.35">
      <c r="G105" s="1" t="s">
        <v>305</v>
      </c>
    </row>
    <row r="106" spans="7:7" ht="15" hidden="1" customHeight="1" x14ac:dyDescent="0.35">
      <c r="G106" s="1" t="s">
        <v>40</v>
      </c>
    </row>
    <row r="107" spans="7:7" ht="15" hidden="1" customHeight="1" x14ac:dyDescent="0.35">
      <c r="G107" s="1" t="s">
        <v>157</v>
      </c>
    </row>
    <row r="108" spans="7:7" ht="15" hidden="1" customHeight="1" x14ac:dyDescent="0.35">
      <c r="G108" s="1" t="s">
        <v>776</v>
      </c>
    </row>
    <row r="109" spans="7:7" ht="15" hidden="1" customHeight="1" x14ac:dyDescent="0.35">
      <c r="G109" s="1" t="s">
        <v>777</v>
      </c>
    </row>
    <row r="110" spans="7:7" ht="15" hidden="1" customHeight="1" x14ac:dyDescent="0.35">
      <c r="G110" s="1" t="s">
        <v>778</v>
      </c>
    </row>
    <row r="111" spans="7:7" ht="15" hidden="1" customHeight="1" x14ac:dyDescent="0.35">
      <c r="G111" s="1" t="s">
        <v>779</v>
      </c>
    </row>
    <row r="112" spans="7:7" ht="15" hidden="1" customHeight="1" x14ac:dyDescent="0.35">
      <c r="G112" s="1" t="s">
        <v>780</v>
      </c>
    </row>
    <row r="113" spans="7:7" ht="15" hidden="1" customHeight="1" x14ac:dyDescent="0.35">
      <c r="G113" s="1" t="s">
        <v>781</v>
      </c>
    </row>
  </sheetData>
  <sheetProtection algorithmName="SHA-512" hashValue="AZEilyFcgKIJo0Y/ME0BLrQSVDK9dhWD9+SAr6gT4bMJWi7nUj5nxcXGEXSmQkVBkZw/3oVh1Ay07zbwj9HFAg==" saltValue="exQrcHjFAB1FRcOz8BjHPQ==" spinCount="100000" sheet="1" formatCells="0" formatColumns="0" formatRows="0" insertColumns="0" insertRows="0" insertHyperlinks="0" deleteColumns="0" deleteRows="0" sort="0" autoFilter="0" pivotTables="0"/>
  <autoFilter ref="A12:AH29" xr:uid="{00000000-0001-0000-0100-000000000000}"/>
  <mergeCells count="235">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D14:D15"/>
    <mergeCell ref="E14:E15"/>
    <mergeCell ref="F14:F15"/>
    <mergeCell ref="G14:G15"/>
    <mergeCell ref="H14:H15"/>
    <mergeCell ref="A16:A17"/>
    <mergeCell ref="B16:B17"/>
    <mergeCell ref="C16:C17"/>
    <mergeCell ref="D16:D17"/>
    <mergeCell ref="A18:A19"/>
    <mergeCell ref="B18:B19"/>
    <mergeCell ref="C18:C19"/>
    <mergeCell ref="D18:D19"/>
    <mergeCell ref="E18:E19"/>
    <mergeCell ref="F18:F19"/>
    <mergeCell ref="G18:G19"/>
    <mergeCell ref="H18:H19"/>
    <mergeCell ref="L18:L1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W12:W13"/>
    <mergeCell ref="R6:U10"/>
    <mergeCell ref="V6:Y10"/>
    <mergeCell ref="Z6:AC10"/>
    <mergeCell ref="G6:G10"/>
    <mergeCell ref="H6:H10"/>
    <mergeCell ref="I6:I10"/>
    <mergeCell ref="L6:L10"/>
    <mergeCell ref="O6:Q10"/>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s>
  <phoneticPr fontId="14" type="noConversion"/>
  <conditionalFormatting sqref="H4">
    <cfRule type="cellIs" dxfId="187" priority="97" operator="lessThanOrEqual">
      <formula>$C$4</formula>
    </cfRule>
  </conditionalFormatting>
  <conditionalFormatting sqref="I6">
    <cfRule type="cellIs" dxfId="186" priority="105" operator="greaterThanOrEqual">
      <formula>$C$5</formula>
    </cfRule>
    <cfRule type="cellIs" dxfId="185" priority="106" operator="lessThanOrEqual">
      <formula>$C$4</formula>
    </cfRule>
    <cfRule type="cellIs" dxfId="184" priority="107" operator="between">
      <formula>$C$5</formula>
      <formula>$C$4</formula>
    </cfRule>
  </conditionalFormatting>
  <conditionalFormatting sqref="O6">
    <cfRule type="cellIs" dxfId="183" priority="93" operator="greaterThanOrEqual">
      <formula>$H$5</formula>
    </cfRule>
    <cfRule type="cellIs" dxfId="182" priority="94" operator="lessThanOrEqual">
      <formula>$H$4</formula>
    </cfRule>
    <cfRule type="cellIs" dxfId="181" priority="95" operator="between">
      <formula>$H$5</formula>
      <formula>$H$4</formula>
    </cfRule>
  </conditionalFormatting>
  <conditionalFormatting sqref="Q14:Q31">
    <cfRule type="cellIs" dxfId="180" priority="10" operator="greaterThanOrEqual">
      <formula>$C$5</formula>
    </cfRule>
    <cfRule type="cellIs" dxfId="179" priority="11" operator="lessThanOrEqual">
      <formula>$C$4</formula>
    </cfRule>
    <cfRule type="cellIs" dxfId="178" priority="12" operator="between">
      <formula>$C$5</formula>
      <formula>$C$4</formula>
    </cfRule>
  </conditionalFormatting>
  <conditionalFormatting sqref="S41:S44 W41:W44 O41:O46 AA41:AA46 J42:AD42 I50">
    <cfRule type="cellIs" dxfId="177" priority="619" operator="greaterThanOrEqual">
      <formula>$D$9</formula>
    </cfRule>
    <cfRule type="cellIs" dxfId="176" priority="620" operator="lessThanOrEqual">
      <formula>$C$6</formula>
    </cfRule>
    <cfRule type="cellIs" dxfId="175" priority="621" operator="between">
      <formula>$C$6</formula>
      <formula>$D$9</formula>
    </cfRule>
  </conditionalFormatting>
  <conditionalFormatting sqref="V6">
    <cfRule type="cellIs" dxfId="174" priority="7" operator="greaterThanOrEqual">
      <formula>$H$5</formula>
    </cfRule>
    <cfRule type="cellIs" dxfId="173" priority="8" operator="lessThanOrEqual">
      <formula>$H$4</formula>
    </cfRule>
    <cfRule type="cellIs" dxfId="172" priority="9" operator="between">
      <formula>$H$5</formula>
      <formula>$H$4</formula>
    </cfRule>
  </conditionalFormatting>
  <conditionalFormatting sqref="AD6">
    <cfRule type="cellIs" dxfId="171" priority="4" operator="greaterThanOrEqual">
      <formula>$H$5</formula>
    </cfRule>
    <cfRule type="cellIs" dxfId="170" priority="5" operator="lessThanOrEqual">
      <formula>$H$4</formula>
    </cfRule>
    <cfRule type="cellIs" dxfId="169" priority="6" operator="between">
      <formula>$H$5</formula>
      <formula>$H$4</formula>
    </cfRule>
  </conditionalFormatting>
  <conditionalFormatting sqref="AG6">
    <cfRule type="cellIs" dxfId="168" priority="1" operator="greaterThanOrEqual">
      <formula>$H$5</formula>
    </cfRule>
    <cfRule type="cellIs" dxfId="167" priority="2" operator="lessThanOrEqual">
      <formula>$H$4</formula>
    </cfRule>
    <cfRule type="cellIs" dxfId="166"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dimension ref="A1:AL114"/>
  <sheetViews>
    <sheetView showGridLines="0" view="pageBreakPreview" zoomScale="67" zoomScaleNormal="53" zoomScaleSheetLayoutView="67" zoomScalePageLayoutView="48" workbookViewId="0">
      <selection activeCell="G14" sqref="G14:G15"/>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1" width="28.54296875" style="1" customWidth="1"/>
    <col min="12" max="13" width="19.54296875" style="1" customWidth="1"/>
    <col min="14" max="14" width="28.54296875" style="1" customWidth="1"/>
    <col min="15" max="16" width="18.26953125" style="1" customWidth="1"/>
    <col min="17" max="17" width="17.6328125" style="1" hidden="1" customWidth="1"/>
    <col min="18" max="19" width="13.7265625" style="1" hidden="1" customWidth="1"/>
    <col min="20" max="32" width="9.54296875" style="1" hidden="1" customWidth="1"/>
    <col min="33" max="36" width="56.54296875" style="1" hidden="1" customWidth="1"/>
    <col min="37" max="37" width="2.54296875" style="1" customWidth="1"/>
    <col min="38" max="16384" width="12.54296875" style="1"/>
  </cols>
  <sheetData>
    <row r="1" spans="1:36" s="58" customFormat="1" ht="15" customHeight="1" x14ac:dyDescent="0.35">
      <c r="A1" s="338"/>
      <c r="B1" s="339"/>
      <c r="C1" s="340"/>
      <c r="D1" s="284" t="s">
        <v>686</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row>
    <row r="2" spans="1:36"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row>
    <row r="3" spans="1:36" s="58" customFormat="1" ht="60" customHeight="1" thickBot="1" x14ac:dyDescent="0.4">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row>
    <row r="4" spans="1:36" s="58" customFormat="1" ht="60" hidden="1" customHeight="1" x14ac:dyDescent="0.35">
      <c r="A4" s="337" t="s">
        <v>35</v>
      </c>
      <c r="B4" s="8" t="s">
        <v>36</v>
      </c>
      <c r="C4" s="10">
        <v>0.7</v>
      </c>
      <c r="D4" s="10"/>
      <c r="E4" s="10"/>
      <c r="F4" s="9"/>
      <c r="G4" s="337" t="s">
        <v>37</v>
      </c>
      <c r="H4" s="217"/>
      <c r="I4" s="8" t="s">
        <v>36</v>
      </c>
      <c r="J4" s="10">
        <v>0.7</v>
      </c>
      <c r="K4" s="59"/>
      <c r="L4" s="60"/>
      <c r="M4" s="60"/>
      <c r="N4" s="60"/>
      <c r="O4" s="60"/>
      <c r="P4" s="60"/>
      <c r="Q4" s="60"/>
      <c r="R4" s="60"/>
      <c r="S4" s="60"/>
      <c r="T4" s="60"/>
      <c r="U4" s="60"/>
      <c r="V4" s="60"/>
      <c r="W4" s="60"/>
      <c r="X4" s="60"/>
      <c r="Y4" s="60"/>
      <c r="Z4" s="60"/>
      <c r="AA4" s="60"/>
      <c r="AB4" s="60"/>
      <c r="AC4" s="60"/>
      <c r="AD4" s="60"/>
      <c r="AE4" s="60"/>
      <c r="AF4" s="60"/>
      <c r="AG4" s="60"/>
      <c r="AH4" s="60"/>
    </row>
    <row r="5" spans="1:36" s="58" customFormat="1" ht="60" hidden="1" customHeight="1" thickBot="1" x14ac:dyDescent="0.4">
      <c r="A5" s="337"/>
      <c r="B5" s="8" t="s">
        <v>38</v>
      </c>
      <c r="C5" s="11">
        <v>0.9</v>
      </c>
      <c r="D5" s="11"/>
      <c r="E5" s="11"/>
      <c r="F5" s="11">
        <v>1</v>
      </c>
      <c r="G5" s="337"/>
      <c r="H5" s="217"/>
      <c r="I5" s="8" t="s">
        <v>38</v>
      </c>
      <c r="J5" s="11">
        <v>0.95</v>
      </c>
      <c r="K5" s="59"/>
      <c r="L5" s="60"/>
      <c r="M5" s="60"/>
      <c r="N5" s="60"/>
      <c r="O5" s="60"/>
      <c r="P5" s="60"/>
      <c r="Q5" s="60"/>
      <c r="R5" s="60"/>
      <c r="S5" s="60"/>
      <c r="T5" s="60"/>
      <c r="U5" s="60"/>
      <c r="V5" s="60"/>
      <c r="W5" s="60"/>
      <c r="X5" s="60"/>
      <c r="Y5" s="60"/>
      <c r="Z5" s="60"/>
      <c r="AA5" s="60"/>
      <c r="AB5" s="60"/>
      <c r="AC5" s="60"/>
      <c r="AD5" s="60"/>
      <c r="AE5" s="60"/>
      <c r="AF5" s="60"/>
      <c r="AG5" s="60"/>
      <c r="AH5" s="60"/>
    </row>
    <row r="6" spans="1:36" ht="20.149999999999999" hidden="1" customHeight="1" x14ac:dyDescent="0.35">
      <c r="A6" s="330" t="s">
        <v>39</v>
      </c>
      <c r="B6" s="330"/>
      <c r="C6" s="406" t="s">
        <v>153</v>
      </c>
      <c r="D6" s="407"/>
      <c r="E6" s="408" t="s">
        <v>41</v>
      </c>
      <c r="F6" s="408"/>
      <c r="G6" s="409" t="e">
        <f>+R15+R19+R21+R23+#REF!+#REF!+R51+#REF!+#REF!+#REF!+#REF!</f>
        <v>#REF!</v>
      </c>
      <c r="H6" s="218"/>
      <c r="I6" s="408" t="s">
        <v>42</v>
      </c>
      <c r="J6" s="408"/>
      <c r="K6" s="331" t="e">
        <f>(R14+R18+R20+R22+#REF!+#REF!+R50+#REF!+#REF!+#REF!+#REF!)/N6</f>
        <v>#REF!</v>
      </c>
      <c r="L6" s="396" t="s">
        <v>43</v>
      </c>
      <c r="M6" s="397"/>
      <c r="N6" s="334">
        <v>0.95</v>
      </c>
      <c r="O6" s="330" t="s">
        <v>44</v>
      </c>
      <c r="P6" s="330"/>
      <c r="Q6" s="285" t="e">
        <f>(SUM(W14,W18,W20,W22,#REF!,#REF!,#REF!,#REF!)/SUM(W15,W19,W21,W23,#REF!,#REF!,#REF!,#REF!))/N6</f>
        <v>#REF!</v>
      </c>
      <c r="R6" s="324"/>
      <c r="S6" s="286"/>
      <c r="T6" s="291" t="s">
        <v>45</v>
      </c>
      <c r="U6" s="318"/>
      <c r="V6" s="318"/>
      <c r="W6" s="319"/>
      <c r="X6" s="285" t="e">
        <f>SUM(X14:Z14,X18:Z18,X20:Z20,X22:Z22,#REF!,#REF!,X50:Z50,#REF!,#REF!,#REF!,#REF!)/SUM(X15:Z15,X19:Z19,W21:Z21,X23:Z23,#REF!,#REF!,X51:Z51,#REF!,#REF!,#REF!,#REF!)/N6</f>
        <v>#REF!</v>
      </c>
      <c r="Y6" s="324"/>
      <c r="Z6" s="324"/>
      <c r="AA6" s="286"/>
      <c r="AB6" s="291" t="s">
        <v>46</v>
      </c>
      <c r="AC6" s="318"/>
      <c r="AD6" s="318"/>
      <c r="AE6" s="319"/>
      <c r="AF6" s="285" t="e">
        <f>SUM(AC14,AC18,AC20,AC22,#REF!,#REF!,#REF!,#REF!,#REF!)/SUM(AC15,AC19,AC21,AC23,#REF!,#REF!,#REF!,#REF!,#REF!)/N6</f>
        <v>#REF!</v>
      </c>
      <c r="AG6" s="286"/>
      <c r="AH6" s="291" t="s">
        <v>47</v>
      </c>
      <c r="AI6" s="285" t="e">
        <f>SUM(AF14,AF18,AF20,AF22,#REF!,#REF!,#REF!,#REF!,#REF!,AF50,#REF!)/SUM(AF15,AF19,AF21,AF23,#REF!,#REF!,#REF!,#REF!,#REF!,AF51,#REF!)/N6</f>
        <v>#REF!</v>
      </c>
    </row>
    <row r="7" spans="1:36" ht="15" hidden="1" customHeight="1" x14ac:dyDescent="0.35">
      <c r="A7" s="330"/>
      <c r="B7" s="330"/>
      <c r="C7" s="407"/>
      <c r="D7" s="407"/>
      <c r="E7" s="408"/>
      <c r="F7" s="408"/>
      <c r="G7" s="410"/>
      <c r="H7" s="219"/>
      <c r="I7" s="408"/>
      <c r="J7" s="408"/>
      <c r="K7" s="332"/>
      <c r="L7" s="398"/>
      <c r="M7" s="399"/>
      <c r="N7" s="335"/>
      <c r="O7" s="330"/>
      <c r="P7" s="330"/>
      <c r="Q7" s="287"/>
      <c r="R7" s="325"/>
      <c r="S7" s="288"/>
      <c r="T7" s="292"/>
      <c r="U7" s="320"/>
      <c r="V7" s="320"/>
      <c r="W7" s="321"/>
      <c r="X7" s="287"/>
      <c r="Y7" s="325"/>
      <c r="Z7" s="325"/>
      <c r="AA7" s="288"/>
      <c r="AB7" s="292"/>
      <c r="AC7" s="320"/>
      <c r="AD7" s="320"/>
      <c r="AE7" s="321"/>
      <c r="AF7" s="287"/>
      <c r="AG7" s="288"/>
      <c r="AH7" s="292"/>
      <c r="AI7" s="287"/>
    </row>
    <row r="8" spans="1:36" ht="25.4" hidden="1" customHeight="1" x14ac:dyDescent="0.35">
      <c r="A8" s="330"/>
      <c r="B8" s="330"/>
      <c r="C8" s="407"/>
      <c r="D8" s="407"/>
      <c r="E8" s="408"/>
      <c r="F8" s="408"/>
      <c r="G8" s="410"/>
      <c r="H8" s="219"/>
      <c r="I8" s="408"/>
      <c r="J8" s="408"/>
      <c r="K8" s="332"/>
      <c r="L8" s="398"/>
      <c r="M8" s="399"/>
      <c r="N8" s="335"/>
      <c r="O8" s="330"/>
      <c r="P8" s="330"/>
      <c r="Q8" s="287"/>
      <c r="R8" s="325"/>
      <c r="S8" s="288"/>
      <c r="T8" s="292"/>
      <c r="U8" s="320"/>
      <c r="V8" s="320"/>
      <c r="W8" s="321"/>
      <c r="X8" s="287"/>
      <c r="Y8" s="325"/>
      <c r="Z8" s="325"/>
      <c r="AA8" s="288"/>
      <c r="AB8" s="292"/>
      <c r="AC8" s="320"/>
      <c r="AD8" s="320"/>
      <c r="AE8" s="321"/>
      <c r="AF8" s="287"/>
      <c r="AG8" s="288"/>
      <c r="AH8" s="292"/>
      <c r="AI8" s="287"/>
    </row>
    <row r="9" spans="1:36" ht="25.4" hidden="1" customHeight="1" x14ac:dyDescent="0.35">
      <c r="A9" s="330"/>
      <c r="B9" s="330"/>
      <c r="C9" s="407"/>
      <c r="D9" s="407"/>
      <c r="E9" s="408"/>
      <c r="F9" s="408"/>
      <c r="G9" s="410"/>
      <c r="H9" s="219"/>
      <c r="I9" s="408"/>
      <c r="J9" s="408"/>
      <c r="K9" s="332"/>
      <c r="L9" s="398"/>
      <c r="M9" s="399"/>
      <c r="N9" s="335"/>
      <c r="O9" s="330"/>
      <c r="P9" s="330"/>
      <c r="Q9" s="287"/>
      <c r="R9" s="325"/>
      <c r="S9" s="288"/>
      <c r="T9" s="292"/>
      <c r="U9" s="320"/>
      <c r="V9" s="320"/>
      <c r="W9" s="321"/>
      <c r="X9" s="287"/>
      <c r="Y9" s="325"/>
      <c r="Z9" s="325"/>
      <c r="AA9" s="288"/>
      <c r="AB9" s="292"/>
      <c r="AC9" s="320"/>
      <c r="AD9" s="320"/>
      <c r="AE9" s="321"/>
      <c r="AF9" s="287"/>
      <c r="AG9" s="288"/>
      <c r="AH9" s="292"/>
      <c r="AI9" s="287"/>
    </row>
    <row r="10" spans="1:36" ht="15" hidden="1" customHeight="1" thickBot="1" x14ac:dyDescent="0.4">
      <c r="A10" s="330"/>
      <c r="B10" s="330"/>
      <c r="C10" s="407"/>
      <c r="D10" s="407"/>
      <c r="E10" s="408"/>
      <c r="F10" s="408"/>
      <c r="G10" s="410"/>
      <c r="H10" s="219"/>
      <c r="I10" s="411"/>
      <c r="J10" s="411"/>
      <c r="K10" s="333"/>
      <c r="L10" s="398"/>
      <c r="M10" s="399"/>
      <c r="N10" s="335"/>
      <c r="O10" s="414"/>
      <c r="P10" s="414"/>
      <c r="Q10" s="412"/>
      <c r="R10" s="415"/>
      <c r="S10" s="413"/>
      <c r="T10" s="292"/>
      <c r="U10" s="320"/>
      <c r="V10" s="320"/>
      <c r="W10" s="321"/>
      <c r="X10" s="412"/>
      <c r="Y10" s="415"/>
      <c r="Z10" s="415"/>
      <c r="AA10" s="413"/>
      <c r="AB10" s="292"/>
      <c r="AC10" s="320"/>
      <c r="AD10" s="320"/>
      <c r="AE10" s="321"/>
      <c r="AF10" s="412"/>
      <c r="AG10" s="413"/>
      <c r="AH10" s="292"/>
      <c r="AI10" s="412"/>
    </row>
    <row r="11" spans="1:36" s="12" customFormat="1" ht="40.4" customHeight="1" thickBot="1" x14ac:dyDescent="0.4">
      <c r="A11" s="422" t="s">
        <v>48</v>
      </c>
      <c r="B11" s="422"/>
      <c r="C11" s="422"/>
      <c r="D11" s="422"/>
      <c r="E11" s="422"/>
      <c r="F11" s="422"/>
      <c r="G11" s="393" t="s">
        <v>790</v>
      </c>
      <c r="H11" s="394"/>
      <c r="I11" s="394"/>
      <c r="J11" s="394"/>
      <c r="K11" s="394"/>
      <c r="L11" s="394"/>
      <c r="M11" s="394"/>
      <c r="N11" s="394"/>
      <c r="O11" s="423"/>
      <c r="P11" s="424"/>
      <c r="Q11" s="393" t="s">
        <v>50</v>
      </c>
      <c r="R11" s="394"/>
      <c r="S11" s="394"/>
      <c r="T11" s="394"/>
      <c r="U11" s="394"/>
      <c r="V11" s="394"/>
      <c r="W11" s="394"/>
      <c r="X11" s="394"/>
      <c r="Y11" s="394"/>
      <c r="Z11" s="394"/>
      <c r="AA11" s="394"/>
      <c r="AB11" s="394"/>
      <c r="AC11" s="394"/>
      <c r="AD11" s="394"/>
      <c r="AE11" s="394"/>
      <c r="AF11" s="395"/>
      <c r="AG11" s="393" t="s">
        <v>51</v>
      </c>
      <c r="AH11" s="394"/>
      <c r="AI11" s="394"/>
      <c r="AJ11" s="395"/>
    </row>
    <row r="12" spans="1:36" ht="39" customHeight="1" x14ac:dyDescent="0.35">
      <c r="A12" s="389" t="s">
        <v>52</v>
      </c>
      <c r="B12" s="391" t="s">
        <v>53</v>
      </c>
      <c r="C12" s="391" t="s">
        <v>54</v>
      </c>
      <c r="D12" s="391" t="s">
        <v>55</v>
      </c>
      <c r="E12" s="391" t="s">
        <v>56</v>
      </c>
      <c r="F12" s="391" t="s">
        <v>31</v>
      </c>
      <c r="G12" s="404" t="s">
        <v>57</v>
      </c>
      <c r="H12" s="389" t="s">
        <v>789</v>
      </c>
      <c r="I12" s="390" t="s">
        <v>58</v>
      </c>
      <c r="J12" s="404" t="s">
        <v>59</v>
      </c>
      <c r="K12" s="404" t="s">
        <v>60</v>
      </c>
      <c r="L12" s="404" t="s">
        <v>61</v>
      </c>
      <c r="M12" s="404" t="s">
        <v>62</v>
      </c>
      <c r="N12" s="404" t="s">
        <v>63</v>
      </c>
      <c r="O12" s="405" t="s">
        <v>64</v>
      </c>
      <c r="P12" s="405" t="s">
        <v>65</v>
      </c>
      <c r="Q12" s="416" t="s">
        <v>66</v>
      </c>
      <c r="R12" s="418" t="s">
        <v>67</v>
      </c>
      <c r="S12" s="420" t="s">
        <v>68</v>
      </c>
      <c r="T12" s="402" t="s">
        <v>69</v>
      </c>
      <c r="U12" s="402" t="s">
        <v>70</v>
      </c>
      <c r="V12" s="402" t="s">
        <v>71</v>
      </c>
      <c r="W12" s="402" t="s">
        <v>72</v>
      </c>
      <c r="X12" s="402" t="s">
        <v>73</v>
      </c>
      <c r="Y12" s="402" t="s">
        <v>74</v>
      </c>
      <c r="Z12" s="402" t="s">
        <v>75</v>
      </c>
      <c r="AA12" s="402" t="s">
        <v>76</v>
      </c>
      <c r="AB12" s="402" t="s">
        <v>77</v>
      </c>
      <c r="AC12" s="402" t="s">
        <v>78</v>
      </c>
      <c r="AD12" s="402" t="s">
        <v>79</v>
      </c>
      <c r="AE12" s="402" t="s">
        <v>80</v>
      </c>
      <c r="AF12" s="425" t="s">
        <v>81</v>
      </c>
      <c r="AG12" s="427" t="s">
        <v>82</v>
      </c>
      <c r="AH12" s="400" t="s">
        <v>83</v>
      </c>
      <c r="AI12" s="400" t="s">
        <v>84</v>
      </c>
      <c r="AJ12" s="400" t="s">
        <v>85</v>
      </c>
    </row>
    <row r="13" spans="1:36" ht="60" customHeight="1" x14ac:dyDescent="0.35">
      <c r="A13" s="390"/>
      <c r="B13" s="390"/>
      <c r="C13" s="390"/>
      <c r="D13" s="390"/>
      <c r="E13" s="390"/>
      <c r="F13" s="390"/>
      <c r="G13" s="390"/>
      <c r="H13" s="390"/>
      <c r="I13" s="405"/>
      <c r="J13" s="390"/>
      <c r="K13" s="390"/>
      <c r="L13" s="390"/>
      <c r="M13" s="390"/>
      <c r="N13" s="390"/>
      <c r="O13" s="405"/>
      <c r="P13" s="405"/>
      <c r="Q13" s="417"/>
      <c r="R13" s="419"/>
      <c r="S13" s="421"/>
      <c r="T13" s="403"/>
      <c r="U13" s="403"/>
      <c r="V13" s="403"/>
      <c r="W13" s="403"/>
      <c r="X13" s="403"/>
      <c r="Y13" s="403"/>
      <c r="Z13" s="403"/>
      <c r="AA13" s="403"/>
      <c r="AB13" s="403"/>
      <c r="AC13" s="403"/>
      <c r="AD13" s="403"/>
      <c r="AE13" s="403"/>
      <c r="AF13" s="426"/>
      <c r="AG13" s="428"/>
      <c r="AH13" s="401"/>
      <c r="AI13" s="401"/>
      <c r="AJ13" s="401"/>
    </row>
    <row r="14" spans="1:36" ht="88.5" customHeight="1" x14ac:dyDescent="0.35">
      <c r="A14" s="278">
        <v>1</v>
      </c>
      <c r="B14" s="274" t="s">
        <v>688</v>
      </c>
      <c r="C14" s="274" t="s">
        <v>694</v>
      </c>
      <c r="D14" s="274" t="s">
        <v>121</v>
      </c>
      <c r="E14" s="274" t="s">
        <v>122</v>
      </c>
      <c r="F14" s="392" t="s">
        <v>155</v>
      </c>
      <c r="G14" s="278" t="s">
        <v>123</v>
      </c>
      <c r="H14" s="278" t="s">
        <v>571</v>
      </c>
      <c r="I14" s="382" t="s">
        <v>791</v>
      </c>
      <c r="J14" s="382" t="s">
        <v>791</v>
      </c>
      <c r="K14" s="382" t="s">
        <v>792</v>
      </c>
      <c r="L14" s="385" t="s">
        <v>793</v>
      </c>
      <c r="M14" s="278" t="s">
        <v>156</v>
      </c>
      <c r="N14" s="348" t="s">
        <v>703</v>
      </c>
      <c r="O14" s="381">
        <v>45292</v>
      </c>
      <c r="P14" s="381">
        <v>45657</v>
      </c>
      <c r="Q14" s="62" t="s">
        <v>94</v>
      </c>
      <c r="R14" s="53">
        <f>+(R15*S14)</f>
        <v>0</v>
      </c>
      <c r="S14" s="185">
        <f t="shared" ref="S14:S51" si="0">SUM(T14:AF14)</f>
        <v>0</v>
      </c>
      <c r="T14" s="43"/>
      <c r="U14" s="43"/>
      <c r="V14" s="43"/>
      <c r="W14" s="95"/>
      <c r="X14" s="43"/>
      <c r="Y14" s="203"/>
      <c r="Z14" s="43"/>
      <c r="AA14" s="43"/>
      <c r="AB14" s="44"/>
      <c r="AC14" s="209"/>
      <c r="AD14" s="44"/>
      <c r="AE14" s="44"/>
      <c r="AF14" s="209"/>
      <c r="AG14" s="374"/>
      <c r="AH14" s="374"/>
      <c r="AI14" s="387"/>
      <c r="AJ14" s="387"/>
    </row>
    <row r="15" spans="1:36" ht="88.5" customHeight="1" x14ac:dyDescent="0.35">
      <c r="A15" s="353"/>
      <c r="B15" s="274"/>
      <c r="C15" s="274"/>
      <c r="D15" s="274"/>
      <c r="E15" s="274"/>
      <c r="F15" s="392"/>
      <c r="G15" s="279"/>
      <c r="H15" s="279"/>
      <c r="I15" s="383"/>
      <c r="J15" s="383"/>
      <c r="K15" s="384"/>
      <c r="L15" s="386"/>
      <c r="M15" s="353"/>
      <c r="N15" s="350"/>
      <c r="O15" s="381"/>
      <c r="P15" s="381"/>
      <c r="Q15" s="62" t="s">
        <v>99</v>
      </c>
      <c r="R15" s="52">
        <f>100%/11</f>
        <v>9.0909090909090912E-2</v>
      </c>
      <c r="S15" s="185">
        <f t="shared" si="0"/>
        <v>0</v>
      </c>
      <c r="T15" s="42"/>
      <c r="U15" s="42"/>
      <c r="V15" s="42"/>
      <c r="W15" s="42"/>
      <c r="X15" s="42"/>
      <c r="Y15" s="42"/>
      <c r="Z15" s="42"/>
      <c r="AA15" s="42"/>
      <c r="AB15" s="42"/>
      <c r="AC15" s="42"/>
      <c r="AD15" s="42"/>
      <c r="AE15" s="42"/>
      <c r="AF15" s="42"/>
      <c r="AG15" s="375"/>
      <c r="AH15" s="375"/>
      <c r="AI15" s="388"/>
      <c r="AJ15" s="388"/>
    </row>
    <row r="16" spans="1:36" ht="88.5" customHeight="1" x14ac:dyDescent="0.35">
      <c r="A16" s="278">
        <v>2</v>
      </c>
      <c r="B16" s="274" t="s">
        <v>688</v>
      </c>
      <c r="C16" s="274" t="s">
        <v>694</v>
      </c>
      <c r="D16" s="274" t="s">
        <v>121</v>
      </c>
      <c r="E16" s="274" t="s">
        <v>695</v>
      </c>
      <c r="F16" s="392" t="s">
        <v>155</v>
      </c>
      <c r="G16" s="278" t="s">
        <v>571</v>
      </c>
      <c r="H16" s="278" t="s">
        <v>123</v>
      </c>
      <c r="I16" s="382" t="s">
        <v>806</v>
      </c>
      <c r="J16" s="382" t="s">
        <v>807</v>
      </c>
      <c r="K16" s="382" t="s">
        <v>802</v>
      </c>
      <c r="L16" s="385" t="s">
        <v>793</v>
      </c>
      <c r="M16" s="278" t="s">
        <v>156</v>
      </c>
      <c r="N16" s="280" t="s">
        <v>698</v>
      </c>
      <c r="O16" s="381">
        <v>45292</v>
      </c>
      <c r="P16" s="381">
        <v>45657</v>
      </c>
      <c r="Q16" s="62" t="s">
        <v>94</v>
      </c>
      <c r="R16" s="53">
        <f>+(R17*S16)</f>
        <v>0</v>
      </c>
      <c r="S16" s="185">
        <f t="shared" ref="S16:S17" si="1">SUM(T16:AF16)</f>
        <v>0</v>
      </c>
      <c r="T16" s="43"/>
      <c r="U16" s="43"/>
      <c r="V16" s="43"/>
      <c r="W16" s="95"/>
      <c r="X16" s="43"/>
      <c r="Y16" s="203"/>
      <c r="Z16" s="43"/>
      <c r="AA16" s="43"/>
      <c r="AB16" s="44"/>
      <c r="AC16" s="209"/>
      <c r="AD16" s="44"/>
      <c r="AE16" s="44"/>
      <c r="AF16" s="209"/>
      <c r="AG16" s="374"/>
      <c r="AH16" s="374"/>
      <c r="AI16" s="387"/>
      <c r="AJ16" s="387"/>
    </row>
    <row r="17" spans="1:36" ht="88.5" customHeight="1" x14ac:dyDescent="0.35">
      <c r="A17" s="353"/>
      <c r="B17" s="274"/>
      <c r="C17" s="274"/>
      <c r="D17" s="274"/>
      <c r="E17" s="274"/>
      <c r="F17" s="392"/>
      <c r="G17" s="279"/>
      <c r="H17" s="279"/>
      <c r="I17" s="383"/>
      <c r="J17" s="383"/>
      <c r="K17" s="384"/>
      <c r="L17" s="386"/>
      <c r="M17" s="353"/>
      <c r="N17" s="280"/>
      <c r="O17" s="381"/>
      <c r="P17" s="381"/>
      <c r="Q17" s="62" t="s">
        <v>99</v>
      </c>
      <c r="R17" s="52">
        <f>100%/11</f>
        <v>9.0909090909090912E-2</v>
      </c>
      <c r="S17" s="185">
        <f t="shared" si="1"/>
        <v>0</v>
      </c>
      <c r="T17" s="42"/>
      <c r="U17" s="42"/>
      <c r="V17" s="42"/>
      <c r="W17" s="42"/>
      <c r="X17" s="42"/>
      <c r="Y17" s="42"/>
      <c r="Z17" s="42"/>
      <c r="AA17" s="42"/>
      <c r="AB17" s="42"/>
      <c r="AC17" s="42"/>
      <c r="AD17" s="42"/>
      <c r="AE17" s="42"/>
      <c r="AF17" s="42"/>
      <c r="AG17" s="375"/>
      <c r="AH17" s="375"/>
      <c r="AI17" s="388"/>
      <c r="AJ17" s="388"/>
    </row>
    <row r="18" spans="1:36" ht="88.5" customHeight="1" x14ac:dyDescent="0.35">
      <c r="A18" s="278">
        <v>3</v>
      </c>
      <c r="B18" s="274" t="s">
        <v>693</v>
      </c>
      <c r="C18" s="274" t="s">
        <v>726</v>
      </c>
      <c r="D18" s="274" t="s">
        <v>300</v>
      </c>
      <c r="E18" s="274" t="s">
        <v>301</v>
      </c>
      <c r="F18" s="392" t="s">
        <v>155</v>
      </c>
      <c r="G18" s="278" t="s">
        <v>463</v>
      </c>
      <c r="H18" s="278" t="s">
        <v>754</v>
      </c>
      <c r="I18" s="278" t="s">
        <v>798</v>
      </c>
      <c r="J18" s="278" t="s">
        <v>798</v>
      </c>
      <c r="K18" s="278" t="s">
        <v>799</v>
      </c>
      <c r="L18" s="278" t="s">
        <v>795</v>
      </c>
      <c r="M18" s="278" t="s">
        <v>156</v>
      </c>
      <c r="N18" s="348" t="s">
        <v>703</v>
      </c>
      <c r="O18" s="381">
        <v>45292</v>
      </c>
      <c r="P18" s="381">
        <v>45657</v>
      </c>
      <c r="Q18" s="62" t="s">
        <v>94</v>
      </c>
      <c r="R18" s="53">
        <f>+(R19*S18)</f>
        <v>0</v>
      </c>
      <c r="S18" s="185">
        <f t="shared" si="0"/>
        <v>0</v>
      </c>
      <c r="T18" s="43"/>
      <c r="U18" s="43"/>
      <c r="V18" s="43"/>
      <c r="W18" s="43"/>
      <c r="X18" s="43"/>
      <c r="Y18" s="43"/>
      <c r="Z18" s="43"/>
      <c r="AA18" s="43"/>
      <c r="AB18" s="44"/>
      <c r="AC18" s="44"/>
      <c r="AD18" s="44"/>
      <c r="AE18" s="44"/>
      <c r="AF18" s="44"/>
      <c r="AG18" s="374"/>
      <c r="AH18" s="374"/>
      <c r="AI18" s="374"/>
      <c r="AJ18" s="374"/>
    </row>
    <row r="19" spans="1:36" ht="244.5" customHeight="1" x14ac:dyDescent="0.35">
      <c r="A19" s="353"/>
      <c r="B19" s="274"/>
      <c r="C19" s="274"/>
      <c r="D19" s="274"/>
      <c r="E19" s="274"/>
      <c r="F19" s="392"/>
      <c r="G19" s="279"/>
      <c r="H19" s="279"/>
      <c r="I19" s="353"/>
      <c r="J19" s="353"/>
      <c r="K19" s="353"/>
      <c r="L19" s="279"/>
      <c r="M19" s="353"/>
      <c r="N19" s="350"/>
      <c r="O19" s="381"/>
      <c r="P19" s="381"/>
      <c r="Q19" s="62" t="s">
        <v>99</v>
      </c>
      <c r="R19" s="52">
        <f>100%/11</f>
        <v>9.0909090909090912E-2</v>
      </c>
      <c r="S19" s="185">
        <f t="shared" si="0"/>
        <v>0</v>
      </c>
      <c r="T19" s="42"/>
      <c r="U19" s="42"/>
      <c r="V19" s="42"/>
      <c r="W19" s="42"/>
      <c r="X19" s="42"/>
      <c r="Y19" s="42"/>
      <c r="Z19" s="42"/>
      <c r="AA19" s="42"/>
      <c r="AB19" s="42"/>
      <c r="AC19" s="42"/>
      <c r="AD19" s="42"/>
      <c r="AE19" s="42"/>
      <c r="AF19" s="42"/>
      <c r="AG19" s="377"/>
      <c r="AH19" s="377"/>
      <c r="AI19" s="377"/>
      <c r="AJ19" s="375"/>
    </row>
    <row r="20" spans="1:36" ht="88.5" customHeight="1" x14ac:dyDescent="0.35">
      <c r="A20" s="278">
        <v>4</v>
      </c>
      <c r="B20" s="274" t="s">
        <v>693</v>
      </c>
      <c r="C20" s="274" t="s">
        <v>724</v>
      </c>
      <c r="D20" s="274" t="s">
        <v>300</v>
      </c>
      <c r="E20" s="274" t="s">
        <v>706</v>
      </c>
      <c r="F20" s="69" t="s">
        <v>155</v>
      </c>
      <c r="G20" s="274" t="s">
        <v>757</v>
      </c>
      <c r="H20" s="278" t="s">
        <v>753</v>
      </c>
      <c r="I20" s="274" t="s">
        <v>803</v>
      </c>
      <c r="J20" s="274" t="s">
        <v>803</v>
      </c>
      <c r="K20" s="274" t="s">
        <v>804</v>
      </c>
      <c r="L20" s="278" t="s">
        <v>795</v>
      </c>
      <c r="M20" s="278" t="s">
        <v>156</v>
      </c>
      <c r="N20" s="348" t="s">
        <v>698</v>
      </c>
      <c r="O20" s="381">
        <v>45292</v>
      </c>
      <c r="P20" s="381">
        <v>45657</v>
      </c>
      <c r="Q20" s="62" t="s">
        <v>94</v>
      </c>
      <c r="R20" s="53">
        <f>+(R21*S20)</f>
        <v>0</v>
      </c>
      <c r="S20" s="185">
        <f t="shared" si="0"/>
        <v>0</v>
      </c>
      <c r="T20" s="43"/>
      <c r="U20" s="43"/>
      <c r="V20" s="43"/>
      <c r="W20" s="43"/>
      <c r="X20" s="43"/>
      <c r="Y20" s="43"/>
      <c r="Z20" s="43"/>
      <c r="AA20" s="43"/>
      <c r="AB20" s="44"/>
      <c r="AC20" s="44"/>
      <c r="AD20" s="44"/>
      <c r="AE20" s="44"/>
      <c r="AF20" s="44"/>
      <c r="AG20" s="374"/>
      <c r="AH20" s="374"/>
      <c r="AI20" s="374"/>
      <c r="AJ20" s="379"/>
    </row>
    <row r="21" spans="1:36" ht="88.5" customHeight="1" x14ac:dyDescent="0.35">
      <c r="A21" s="353"/>
      <c r="B21" s="274"/>
      <c r="C21" s="274"/>
      <c r="D21" s="274"/>
      <c r="E21" s="274"/>
      <c r="F21" s="69"/>
      <c r="G21" s="274"/>
      <c r="H21" s="279"/>
      <c r="I21" s="274"/>
      <c r="J21" s="274"/>
      <c r="K21" s="274"/>
      <c r="L21" s="279"/>
      <c r="M21" s="353"/>
      <c r="N21" s="350"/>
      <c r="O21" s="381"/>
      <c r="P21" s="381"/>
      <c r="Q21" s="62" t="s">
        <v>99</v>
      </c>
      <c r="R21" s="52">
        <f>100%/11</f>
        <v>9.0909090909090912E-2</v>
      </c>
      <c r="S21" s="185">
        <f t="shared" si="0"/>
        <v>0</v>
      </c>
      <c r="T21" s="42"/>
      <c r="U21" s="42"/>
      <c r="V21" s="42"/>
      <c r="W21" s="42"/>
      <c r="X21" s="42"/>
      <c r="Y21" s="42"/>
      <c r="Z21" s="42"/>
      <c r="AA21" s="42"/>
      <c r="AB21" s="42"/>
      <c r="AC21" s="42"/>
      <c r="AD21" s="42"/>
      <c r="AE21" s="42"/>
      <c r="AF21" s="42"/>
      <c r="AG21" s="375"/>
      <c r="AH21" s="375"/>
      <c r="AI21" s="375"/>
      <c r="AJ21" s="375"/>
    </row>
    <row r="22" spans="1:36" ht="88.5" customHeight="1" x14ac:dyDescent="0.35">
      <c r="A22" s="278">
        <v>5</v>
      </c>
      <c r="B22" s="274" t="s">
        <v>693</v>
      </c>
      <c r="C22" s="274" t="s">
        <v>726</v>
      </c>
      <c r="D22" s="274" t="s">
        <v>300</v>
      </c>
      <c r="E22" s="274" t="s">
        <v>712</v>
      </c>
      <c r="F22" s="392" t="s">
        <v>155</v>
      </c>
      <c r="G22" s="274" t="s">
        <v>762</v>
      </c>
      <c r="H22" s="278" t="s">
        <v>760</v>
      </c>
      <c r="I22" s="382" t="s">
        <v>805</v>
      </c>
      <c r="J22" s="382" t="s">
        <v>808</v>
      </c>
      <c r="K22" s="382" t="s">
        <v>809</v>
      </c>
      <c r="L22" s="385" t="s">
        <v>793</v>
      </c>
      <c r="M22" s="278" t="s">
        <v>156</v>
      </c>
      <c r="N22" s="280" t="s">
        <v>698</v>
      </c>
      <c r="O22" s="381">
        <v>45292</v>
      </c>
      <c r="P22" s="381">
        <v>45657</v>
      </c>
      <c r="Q22" s="62" t="s">
        <v>94</v>
      </c>
      <c r="R22" s="53">
        <f>+(R23*S22)</f>
        <v>0</v>
      </c>
      <c r="S22" s="185">
        <f t="shared" si="0"/>
        <v>0</v>
      </c>
      <c r="T22" s="43"/>
      <c r="U22" s="43"/>
      <c r="V22" s="43"/>
      <c r="W22" s="43"/>
      <c r="X22" s="43"/>
      <c r="Y22" s="43"/>
      <c r="Z22" s="43"/>
      <c r="AA22" s="43"/>
      <c r="AB22" s="44"/>
      <c r="AC22" s="44"/>
      <c r="AD22" s="44"/>
      <c r="AE22" s="44"/>
      <c r="AF22" s="44"/>
      <c r="AG22" s="374"/>
      <c r="AH22" s="376"/>
      <c r="AI22" s="376"/>
      <c r="AJ22" s="376"/>
    </row>
    <row r="23" spans="1:36" ht="88.5" customHeight="1" x14ac:dyDescent="0.35">
      <c r="A23" s="353"/>
      <c r="B23" s="274"/>
      <c r="C23" s="274"/>
      <c r="D23" s="274"/>
      <c r="E23" s="274"/>
      <c r="F23" s="392"/>
      <c r="G23" s="274"/>
      <c r="H23" s="279"/>
      <c r="I23" s="383"/>
      <c r="J23" s="383"/>
      <c r="K23" s="384"/>
      <c r="L23" s="386"/>
      <c r="M23" s="353"/>
      <c r="N23" s="280"/>
      <c r="O23" s="381"/>
      <c r="P23" s="381"/>
      <c r="Q23" s="62" t="s">
        <v>99</v>
      </c>
      <c r="R23" s="52">
        <f>100%/11</f>
        <v>9.0909090909090912E-2</v>
      </c>
      <c r="S23" s="185">
        <f t="shared" si="0"/>
        <v>0</v>
      </c>
      <c r="T23" s="42"/>
      <c r="U23" s="42"/>
      <c r="V23" s="42"/>
      <c r="W23" s="42"/>
      <c r="X23" s="42"/>
      <c r="Y23" s="42"/>
      <c r="Z23" s="42"/>
      <c r="AA23" s="42"/>
      <c r="AB23" s="42"/>
      <c r="AC23" s="42"/>
      <c r="AD23" s="42"/>
      <c r="AE23" s="42"/>
      <c r="AF23" s="42"/>
      <c r="AG23" s="375"/>
      <c r="AH23" s="377"/>
      <c r="AI23" s="377"/>
      <c r="AJ23" s="377"/>
    </row>
    <row r="24" spans="1:36" ht="88.5" customHeight="1" x14ac:dyDescent="0.35">
      <c r="A24" s="278">
        <v>6</v>
      </c>
      <c r="B24" s="274" t="s">
        <v>693</v>
      </c>
      <c r="C24" s="274" t="s">
        <v>710</v>
      </c>
      <c r="D24" s="274" t="s">
        <v>86</v>
      </c>
      <c r="E24" s="274" t="s">
        <v>154</v>
      </c>
      <c r="F24" s="392" t="s">
        <v>155</v>
      </c>
      <c r="G24" s="274" t="s">
        <v>157</v>
      </c>
      <c r="H24" s="278" t="s">
        <v>774</v>
      </c>
      <c r="I24" s="274" t="s">
        <v>158</v>
      </c>
      <c r="J24" s="274" t="s">
        <v>159</v>
      </c>
      <c r="K24" s="274" t="s">
        <v>160</v>
      </c>
      <c r="L24" s="274" t="s">
        <v>161</v>
      </c>
      <c r="M24" s="274" t="s">
        <v>156</v>
      </c>
      <c r="N24" s="280" t="s">
        <v>698</v>
      </c>
      <c r="O24" s="381">
        <v>44958</v>
      </c>
      <c r="P24" s="381">
        <v>45291</v>
      </c>
      <c r="Q24" s="62" t="s">
        <v>94</v>
      </c>
      <c r="R24" s="53">
        <f>+(R25*S24)</f>
        <v>0</v>
      </c>
      <c r="S24" s="185">
        <f t="shared" ref="S24:S27" si="2">SUM(T24:AF24)</f>
        <v>0</v>
      </c>
      <c r="T24" s="43"/>
      <c r="U24" s="43"/>
      <c r="V24" s="43"/>
      <c r="W24" s="43"/>
      <c r="X24" s="43"/>
      <c r="Y24" s="43"/>
      <c r="Z24" s="43"/>
      <c r="AA24" s="43"/>
      <c r="AB24" s="44"/>
      <c r="AC24" s="44"/>
      <c r="AD24" s="44"/>
      <c r="AE24" s="44"/>
      <c r="AF24" s="44"/>
      <c r="AG24" s="374"/>
      <c r="AH24" s="376"/>
      <c r="AI24" s="376"/>
      <c r="AJ24" s="376"/>
    </row>
    <row r="25" spans="1:36" ht="88.5" customHeight="1" x14ac:dyDescent="0.35">
      <c r="A25" s="353"/>
      <c r="B25" s="274"/>
      <c r="C25" s="274"/>
      <c r="D25" s="274"/>
      <c r="E25" s="274"/>
      <c r="F25" s="392"/>
      <c r="G25" s="274"/>
      <c r="H25" s="279"/>
      <c r="I25" s="274"/>
      <c r="J25" s="274"/>
      <c r="K25" s="274"/>
      <c r="L25" s="274"/>
      <c r="M25" s="274"/>
      <c r="N25" s="280"/>
      <c r="O25" s="381"/>
      <c r="P25" s="381"/>
      <c r="Q25" s="62" t="s">
        <v>99</v>
      </c>
      <c r="R25" s="52">
        <f>100%/11</f>
        <v>9.0909090909090912E-2</v>
      </c>
      <c r="S25" s="185">
        <f t="shared" si="2"/>
        <v>0</v>
      </c>
      <c r="T25" s="42"/>
      <c r="U25" s="42"/>
      <c r="V25" s="42"/>
      <c r="W25" s="42"/>
      <c r="X25" s="42"/>
      <c r="Y25" s="42"/>
      <c r="Z25" s="42"/>
      <c r="AA25" s="42"/>
      <c r="AB25" s="42"/>
      <c r="AC25" s="42"/>
      <c r="AD25" s="42"/>
      <c r="AE25" s="42"/>
      <c r="AF25" s="42"/>
      <c r="AG25" s="375"/>
      <c r="AH25" s="377"/>
      <c r="AI25" s="377"/>
      <c r="AJ25" s="377"/>
    </row>
    <row r="26" spans="1:36" ht="88.5" customHeight="1" x14ac:dyDescent="0.35">
      <c r="A26" s="278">
        <v>7</v>
      </c>
      <c r="B26" s="274" t="s">
        <v>709</v>
      </c>
      <c r="C26" s="274" t="s">
        <v>705</v>
      </c>
      <c r="D26" s="274" t="s">
        <v>86</v>
      </c>
      <c r="E26" s="274" t="s">
        <v>115</v>
      </c>
      <c r="F26" s="392" t="s">
        <v>155</v>
      </c>
      <c r="G26" s="278" t="s">
        <v>166</v>
      </c>
      <c r="H26" s="216" t="s">
        <v>776</v>
      </c>
      <c r="I26" s="278" t="s">
        <v>796</v>
      </c>
      <c r="J26" s="278" t="s">
        <v>796</v>
      </c>
      <c r="K26" s="278" t="s">
        <v>797</v>
      </c>
      <c r="L26" s="278" t="s">
        <v>795</v>
      </c>
      <c r="M26" s="278" t="s">
        <v>156</v>
      </c>
      <c r="N26" s="348" t="s">
        <v>703</v>
      </c>
      <c r="O26" s="381">
        <v>45292</v>
      </c>
      <c r="P26" s="381">
        <v>45657</v>
      </c>
      <c r="Q26" s="62" t="s">
        <v>94</v>
      </c>
      <c r="R26" s="53">
        <f>+(R27*S26)</f>
        <v>0</v>
      </c>
      <c r="S26" s="185">
        <f t="shared" si="2"/>
        <v>0</v>
      </c>
      <c r="T26" s="43"/>
      <c r="U26" s="43"/>
      <c r="V26" s="43"/>
      <c r="W26" s="43"/>
      <c r="X26" s="43"/>
      <c r="Y26" s="43"/>
      <c r="Z26" s="43"/>
      <c r="AA26" s="43"/>
      <c r="AB26" s="44"/>
      <c r="AC26" s="44"/>
      <c r="AD26" s="44"/>
      <c r="AE26" s="44"/>
      <c r="AF26" s="44"/>
      <c r="AG26" s="374"/>
      <c r="AH26" s="376"/>
      <c r="AI26" s="376"/>
      <c r="AJ26" s="376"/>
    </row>
    <row r="27" spans="1:36" ht="88.5" customHeight="1" x14ac:dyDescent="0.35">
      <c r="A27" s="353"/>
      <c r="B27" s="274"/>
      <c r="C27" s="274"/>
      <c r="D27" s="274"/>
      <c r="E27" s="274"/>
      <c r="F27" s="392"/>
      <c r="G27" s="279"/>
      <c r="H27" s="216" t="s">
        <v>463</v>
      </c>
      <c r="I27" s="279"/>
      <c r="J27" s="279"/>
      <c r="K27" s="279"/>
      <c r="L27" s="279"/>
      <c r="M27" s="353"/>
      <c r="N27" s="350"/>
      <c r="O27" s="381"/>
      <c r="P27" s="381"/>
      <c r="Q27" s="62" t="s">
        <v>99</v>
      </c>
      <c r="R27" s="52">
        <f>100%/11</f>
        <v>9.0909090909090912E-2</v>
      </c>
      <c r="S27" s="185">
        <f t="shared" si="2"/>
        <v>0</v>
      </c>
      <c r="T27" s="42"/>
      <c r="U27" s="42"/>
      <c r="V27" s="42"/>
      <c r="W27" s="42"/>
      <c r="X27" s="42"/>
      <c r="Y27" s="42"/>
      <c r="Z27" s="42"/>
      <c r="AA27" s="42"/>
      <c r="AB27" s="42"/>
      <c r="AC27" s="42"/>
      <c r="AD27" s="42"/>
      <c r="AE27" s="42"/>
      <c r="AF27" s="42"/>
      <c r="AG27" s="375"/>
      <c r="AH27" s="377"/>
      <c r="AI27" s="377"/>
      <c r="AJ27" s="377"/>
    </row>
    <row r="28" spans="1:36" ht="88.5" customHeight="1" x14ac:dyDescent="0.35">
      <c r="A28" s="278">
        <v>8</v>
      </c>
      <c r="B28" s="274" t="s">
        <v>693</v>
      </c>
      <c r="C28" s="274" t="s">
        <v>728</v>
      </c>
      <c r="D28" s="274" t="s">
        <v>86</v>
      </c>
      <c r="E28" s="274" t="s">
        <v>126</v>
      </c>
      <c r="F28" s="392" t="s">
        <v>155</v>
      </c>
      <c r="G28" s="278" t="s">
        <v>127</v>
      </c>
      <c r="H28" s="216" t="s">
        <v>776</v>
      </c>
      <c r="I28" s="278" t="s">
        <v>810</v>
      </c>
      <c r="J28" s="278" t="s">
        <v>810</v>
      </c>
      <c r="K28" s="278" t="s">
        <v>811</v>
      </c>
      <c r="L28" s="278" t="s">
        <v>795</v>
      </c>
      <c r="M28" s="278" t="s">
        <v>156</v>
      </c>
      <c r="N28" s="348" t="s">
        <v>698</v>
      </c>
      <c r="O28" s="381">
        <v>45292</v>
      </c>
      <c r="P28" s="381">
        <v>45657</v>
      </c>
      <c r="Q28" s="62" t="s">
        <v>94</v>
      </c>
      <c r="R28" s="53">
        <f>+(R29*S28)</f>
        <v>0</v>
      </c>
      <c r="S28" s="185">
        <f t="shared" ref="S28:S45" si="3">SUM(T28:AF28)</f>
        <v>0</v>
      </c>
      <c r="T28" s="43"/>
      <c r="U28" s="43"/>
      <c r="V28" s="43"/>
      <c r="W28" s="43"/>
      <c r="X28" s="43"/>
      <c r="Y28" s="43"/>
      <c r="Z28" s="43"/>
      <c r="AA28" s="43"/>
      <c r="AB28" s="44"/>
      <c r="AC28" s="44"/>
      <c r="AD28" s="44"/>
      <c r="AE28" s="44"/>
      <c r="AF28" s="44"/>
      <c r="AG28" s="374"/>
      <c r="AH28" s="376"/>
      <c r="AI28" s="376"/>
      <c r="AJ28" s="376"/>
    </row>
    <row r="29" spans="1:36" ht="88.5" customHeight="1" x14ac:dyDescent="0.35">
      <c r="A29" s="353"/>
      <c r="B29" s="274"/>
      <c r="C29" s="274"/>
      <c r="D29" s="274"/>
      <c r="E29" s="274"/>
      <c r="F29" s="392"/>
      <c r="G29" s="279"/>
      <c r="H29" s="216" t="s">
        <v>463</v>
      </c>
      <c r="I29" s="279"/>
      <c r="J29" s="279"/>
      <c r="K29" s="279"/>
      <c r="L29" s="279"/>
      <c r="M29" s="353"/>
      <c r="N29" s="350"/>
      <c r="O29" s="381"/>
      <c r="P29" s="381"/>
      <c r="Q29" s="62" t="s">
        <v>99</v>
      </c>
      <c r="R29" s="52">
        <f>100%/11</f>
        <v>9.0909090909090912E-2</v>
      </c>
      <c r="S29" s="185">
        <f t="shared" si="3"/>
        <v>0</v>
      </c>
      <c r="T29" s="42"/>
      <c r="U29" s="42"/>
      <c r="V29" s="42"/>
      <c r="W29" s="42"/>
      <c r="X29" s="42"/>
      <c r="Y29" s="42"/>
      <c r="Z29" s="42"/>
      <c r="AA29" s="42"/>
      <c r="AB29" s="42"/>
      <c r="AC29" s="42"/>
      <c r="AD29" s="42"/>
      <c r="AE29" s="42"/>
      <c r="AF29" s="42"/>
      <c r="AG29" s="375"/>
      <c r="AH29" s="377"/>
      <c r="AI29" s="377"/>
      <c r="AJ29" s="377"/>
    </row>
    <row r="30" spans="1:36" ht="88.5" customHeight="1" x14ac:dyDescent="0.35">
      <c r="A30" s="278">
        <v>9</v>
      </c>
      <c r="B30" s="274" t="s">
        <v>699</v>
      </c>
      <c r="C30" s="274" t="s">
        <v>726</v>
      </c>
      <c r="D30" s="274" t="s">
        <v>86</v>
      </c>
      <c r="E30" s="274" t="s">
        <v>87</v>
      </c>
      <c r="F30" s="392" t="s">
        <v>155</v>
      </c>
      <c r="G30" s="278" t="s">
        <v>89</v>
      </c>
      <c r="H30" s="278" t="s">
        <v>763</v>
      </c>
      <c r="I30" s="274" t="s">
        <v>800</v>
      </c>
      <c r="J30" s="274" t="s">
        <v>800</v>
      </c>
      <c r="K30" s="274" t="s">
        <v>801</v>
      </c>
      <c r="L30" s="274" t="s">
        <v>795</v>
      </c>
      <c r="M30" s="274" t="s">
        <v>156</v>
      </c>
      <c r="N30" s="280" t="s">
        <v>698</v>
      </c>
      <c r="O30" s="381">
        <v>45292</v>
      </c>
      <c r="P30" s="381">
        <v>45657</v>
      </c>
      <c r="Q30" s="62" t="s">
        <v>94</v>
      </c>
      <c r="R30" s="53">
        <f>+(R31*S30)</f>
        <v>0</v>
      </c>
      <c r="S30" s="185">
        <f t="shared" ref="S30:S31" si="4">SUM(T30:AF30)</f>
        <v>0</v>
      </c>
      <c r="T30" s="43"/>
      <c r="U30" s="43"/>
      <c r="V30" s="43"/>
      <c r="W30" s="43"/>
      <c r="X30" s="43"/>
      <c r="Y30" s="43"/>
      <c r="Z30" s="43"/>
      <c r="AA30" s="43"/>
      <c r="AB30" s="44"/>
      <c r="AC30" s="44"/>
      <c r="AD30" s="44"/>
      <c r="AE30" s="44"/>
      <c r="AF30" s="44"/>
      <c r="AG30" s="374"/>
      <c r="AH30" s="376"/>
      <c r="AI30" s="376"/>
      <c r="AJ30" s="376"/>
    </row>
    <row r="31" spans="1:36" ht="88.5" customHeight="1" x14ac:dyDescent="0.35">
      <c r="A31" s="353"/>
      <c r="B31" s="274"/>
      <c r="C31" s="274"/>
      <c r="D31" s="274"/>
      <c r="E31" s="274"/>
      <c r="F31" s="392"/>
      <c r="G31" s="279"/>
      <c r="H31" s="279"/>
      <c r="I31" s="274"/>
      <c r="J31" s="274"/>
      <c r="K31" s="274"/>
      <c r="L31" s="274"/>
      <c r="M31" s="274"/>
      <c r="N31" s="280"/>
      <c r="O31" s="381"/>
      <c r="P31" s="381"/>
      <c r="Q31" s="62" t="s">
        <v>99</v>
      </c>
      <c r="R31" s="52">
        <f>100%/11</f>
        <v>9.0909090909090912E-2</v>
      </c>
      <c r="S31" s="185">
        <f t="shared" si="4"/>
        <v>0</v>
      </c>
      <c r="T31" s="42"/>
      <c r="U31" s="42"/>
      <c r="V31" s="42"/>
      <c r="W31" s="42"/>
      <c r="X31" s="42"/>
      <c r="Y31" s="42"/>
      <c r="Z31" s="42"/>
      <c r="AA31" s="42"/>
      <c r="AB31" s="42"/>
      <c r="AC31" s="42"/>
      <c r="AD31" s="42"/>
      <c r="AE31" s="42"/>
      <c r="AF31" s="42"/>
      <c r="AG31" s="375"/>
      <c r="AH31" s="377"/>
      <c r="AI31" s="377"/>
      <c r="AJ31" s="377"/>
    </row>
    <row r="32" spans="1:36" ht="88.5" customHeight="1" x14ac:dyDescent="0.35">
      <c r="A32" s="278">
        <v>11</v>
      </c>
      <c r="B32" s="274" t="s">
        <v>693</v>
      </c>
      <c r="C32" s="274" t="s">
        <v>724</v>
      </c>
      <c r="D32" s="274" t="s">
        <v>168</v>
      </c>
      <c r="E32" s="274" t="s">
        <v>736</v>
      </c>
      <c r="F32" s="392" t="s">
        <v>155</v>
      </c>
      <c r="G32" s="274" t="s">
        <v>775</v>
      </c>
      <c r="H32" s="278" t="s">
        <v>774</v>
      </c>
      <c r="I32" s="429" t="s">
        <v>812</v>
      </c>
      <c r="J32" s="429" t="s">
        <v>812</v>
      </c>
      <c r="K32" s="429" t="s">
        <v>813</v>
      </c>
      <c r="L32" s="278" t="s">
        <v>795</v>
      </c>
      <c r="M32" s="278" t="s">
        <v>156</v>
      </c>
      <c r="N32" s="348" t="s">
        <v>698</v>
      </c>
      <c r="O32" s="430">
        <v>45292</v>
      </c>
      <c r="P32" s="430">
        <v>45657</v>
      </c>
      <c r="Q32" s="62" t="s">
        <v>94</v>
      </c>
      <c r="R32" s="53">
        <f>+(R33*S32)</f>
        <v>0</v>
      </c>
      <c r="S32" s="185">
        <f t="shared" si="3"/>
        <v>0</v>
      </c>
      <c r="T32" s="181"/>
      <c r="U32" s="181"/>
      <c r="V32" s="182"/>
      <c r="W32" s="182"/>
      <c r="X32" s="184"/>
      <c r="Y32" s="184"/>
      <c r="Z32" s="184"/>
      <c r="AA32" s="184"/>
      <c r="AB32" s="184"/>
      <c r="AC32" s="183"/>
      <c r="AD32" s="183"/>
      <c r="AE32" s="183"/>
      <c r="AF32" s="183"/>
      <c r="AG32" s="374"/>
      <c r="AH32" s="374"/>
      <c r="AI32" s="374"/>
      <c r="AJ32" s="374"/>
    </row>
    <row r="33" spans="1:36" ht="88.5" customHeight="1" x14ac:dyDescent="0.35">
      <c r="A33" s="353"/>
      <c r="B33" s="274"/>
      <c r="C33" s="274"/>
      <c r="D33" s="274"/>
      <c r="E33" s="274"/>
      <c r="F33" s="392"/>
      <c r="G33" s="274"/>
      <c r="H33" s="279"/>
      <c r="I33" s="429"/>
      <c r="J33" s="429"/>
      <c r="K33" s="429"/>
      <c r="L33" s="279"/>
      <c r="M33" s="279"/>
      <c r="N33" s="349"/>
      <c r="O33" s="431"/>
      <c r="P33" s="431"/>
      <c r="Q33" s="62" t="s">
        <v>99</v>
      </c>
      <c r="R33" s="52">
        <f>100%/11</f>
        <v>9.0909090909090912E-2</v>
      </c>
      <c r="S33" s="185">
        <f t="shared" si="3"/>
        <v>0</v>
      </c>
      <c r="T33" s="94"/>
      <c r="U33" s="94"/>
      <c r="V33" s="94"/>
      <c r="W33" s="94"/>
      <c r="X33" s="94"/>
      <c r="Y33" s="94"/>
      <c r="Z33" s="94"/>
      <c r="AA33" s="94"/>
      <c r="AB33" s="94"/>
      <c r="AC33" s="94"/>
      <c r="AD33" s="94"/>
      <c r="AE33" s="94"/>
      <c r="AF33" s="94"/>
      <c r="AG33" s="377"/>
      <c r="AH33" s="377"/>
      <c r="AI33" s="377"/>
      <c r="AJ33" s="377"/>
    </row>
    <row r="34" spans="1:36" ht="88.5" customHeight="1" x14ac:dyDescent="0.35">
      <c r="A34" s="278">
        <v>12</v>
      </c>
      <c r="B34" s="274" t="s">
        <v>693</v>
      </c>
      <c r="C34" s="274" t="s">
        <v>728</v>
      </c>
      <c r="D34" s="274" t="s">
        <v>711</v>
      </c>
      <c r="E34" s="274" t="s">
        <v>738</v>
      </c>
      <c r="F34" s="392" t="s">
        <v>155</v>
      </c>
      <c r="G34" s="274" t="s">
        <v>307</v>
      </c>
      <c r="H34" s="278" t="s">
        <v>763</v>
      </c>
      <c r="I34" s="429" t="s">
        <v>827</v>
      </c>
      <c r="J34" s="429" t="s">
        <v>828</v>
      </c>
      <c r="K34" s="429" t="s">
        <v>829</v>
      </c>
      <c r="L34" s="278" t="s">
        <v>795</v>
      </c>
      <c r="M34" s="278" t="s">
        <v>156</v>
      </c>
      <c r="N34" s="348" t="s">
        <v>698</v>
      </c>
      <c r="O34" s="430">
        <v>45292</v>
      </c>
      <c r="P34" s="430">
        <v>45657</v>
      </c>
      <c r="Q34" s="62"/>
      <c r="R34" s="52"/>
      <c r="S34" s="185"/>
      <c r="T34" s="94"/>
      <c r="U34" s="94"/>
      <c r="V34" s="94"/>
      <c r="W34" s="94"/>
      <c r="X34" s="94"/>
      <c r="Y34" s="94"/>
      <c r="Z34" s="94"/>
      <c r="AA34" s="94"/>
      <c r="AB34" s="94"/>
      <c r="AC34" s="94"/>
      <c r="AD34" s="94"/>
      <c r="AE34" s="94"/>
      <c r="AF34" s="94"/>
      <c r="AG34" s="220"/>
      <c r="AH34" s="220"/>
      <c r="AI34" s="220"/>
      <c r="AJ34" s="220"/>
    </row>
    <row r="35" spans="1:36" ht="88.5" customHeight="1" x14ac:dyDescent="0.35">
      <c r="A35" s="353"/>
      <c r="B35" s="274"/>
      <c r="C35" s="274"/>
      <c r="D35" s="274"/>
      <c r="E35" s="274"/>
      <c r="F35" s="392"/>
      <c r="G35" s="274"/>
      <c r="H35" s="279"/>
      <c r="I35" s="429"/>
      <c r="J35" s="429"/>
      <c r="K35" s="429"/>
      <c r="L35" s="279"/>
      <c r="M35" s="279"/>
      <c r="N35" s="349"/>
      <c r="O35" s="431"/>
      <c r="P35" s="431"/>
      <c r="Q35" s="62"/>
      <c r="R35" s="52"/>
      <c r="S35" s="185"/>
      <c r="T35" s="94"/>
      <c r="U35" s="94"/>
      <c r="V35" s="94"/>
      <c r="W35" s="94"/>
      <c r="X35" s="94"/>
      <c r="Y35" s="94"/>
      <c r="Z35" s="94"/>
      <c r="AA35" s="94"/>
      <c r="AB35" s="94"/>
      <c r="AC35" s="94"/>
      <c r="AD35" s="94"/>
      <c r="AE35" s="94"/>
      <c r="AF35" s="94"/>
      <c r="AG35" s="220"/>
      <c r="AH35" s="220"/>
      <c r="AI35" s="220"/>
      <c r="AJ35" s="220"/>
    </row>
    <row r="36" spans="1:36" ht="88.5" customHeight="1" x14ac:dyDescent="0.35">
      <c r="A36" s="278">
        <v>14</v>
      </c>
      <c r="B36" s="274" t="s">
        <v>704</v>
      </c>
      <c r="C36" s="274" t="s">
        <v>700</v>
      </c>
      <c r="D36" s="274" t="s">
        <v>717</v>
      </c>
      <c r="E36" s="274" t="s">
        <v>743</v>
      </c>
      <c r="F36" s="392" t="s">
        <v>155</v>
      </c>
      <c r="G36" s="278" t="s">
        <v>40</v>
      </c>
      <c r="H36" s="278" t="s">
        <v>774</v>
      </c>
      <c r="I36" s="278" t="s">
        <v>794</v>
      </c>
      <c r="J36" s="278" t="s">
        <v>814</v>
      </c>
      <c r="K36" s="278" t="s">
        <v>825</v>
      </c>
      <c r="L36" s="278" t="s">
        <v>795</v>
      </c>
      <c r="M36" s="278" t="s">
        <v>156</v>
      </c>
      <c r="N36" s="348" t="s">
        <v>698</v>
      </c>
      <c r="O36" s="381">
        <v>45292</v>
      </c>
      <c r="P36" s="381">
        <v>45657</v>
      </c>
      <c r="Q36" s="62" t="s">
        <v>94</v>
      </c>
      <c r="R36" s="53">
        <f>+(R37*S36)</f>
        <v>0</v>
      </c>
      <c r="S36" s="185">
        <f t="shared" si="3"/>
        <v>0</v>
      </c>
      <c r="T36" s="181"/>
      <c r="U36" s="181"/>
      <c r="V36" s="182"/>
      <c r="W36" s="182"/>
      <c r="X36" s="184"/>
      <c r="Y36" s="184"/>
      <c r="Z36" s="184"/>
      <c r="AA36" s="184"/>
      <c r="AB36" s="184"/>
      <c r="AC36" s="183"/>
      <c r="AD36" s="183"/>
      <c r="AE36" s="183"/>
      <c r="AF36" s="183"/>
      <c r="AG36" s="374"/>
      <c r="AH36" s="374"/>
      <c r="AI36" s="374"/>
      <c r="AJ36" s="374"/>
    </row>
    <row r="37" spans="1:36" ht="88.5" customHeight="1" x14ac:dyDescent="0.35">
      <c r="A37" s="353"/>
      <c r="B37" s="274"/>
      <c r="C37" s="274"/>
      <c r="D37" s="274"/>
      <c r="E37" s="274"/>
      <c r="F37" s="392"/>
      <c r="G37" s="279"/>
      <c r="H37" s="279"/>
      <c r="I37" s="353"/>
      <c r="J37" s="353"/>
      <c r="K37" s="279"/>
      <c r="L37" s="279"/>
      <c r="M37" s="353"/>
      <c r="N37" s="350"/>
      <c r="O37" s="381"/>
      <c r="P37" s="381"/>
      <c r="Q37" s="62" t="s">
        <v>99</v>
      </c>
      <c r="R37" s="52">
        <f>100%/11</f>
        <v>9.0909090909090912E-2</v>
      </c>
      <c r="S37" s="185">
        <f t="shared" si="3"/>
        <v>0</v>
      </c>
      <c r="T37" s="94"/>
      <c r="U37" s="94"/>
      <c r="V37" s="94"/>
      <c r="W37" s="94"/>
      <c r="X37" s="94"/>
      <c r="Y37" s="94"/>
      <c r="Z37" s="94"/>
      <c r="AA37" s="94"/>
      <c r="AB37" s="94"/>
      <c r="AC37" s="94"/>
      <c r="AD37" s="94"/>
      <c r="AE37" s="94"/>
      <c r="AF37" s="94"/>
      <c r="AG37" s="377"/>
      <c r="AH37" s="377"/>
      <c r="AI37" s="377"/>
      <c r="AJ37" s="377"/>
    </row>
    <row r="38" spans="1:36" ht="88.5" customHeight="1" x14ac:dyDescent="0.35">
      <c r="A38" s="278">
        <v>15</v>
      </c>
      <c r="B38" s="274" t="s">
        <v>704</v>
      </c>
      <c r="C38" s="274" t="s">
        <v>700</v>
      </c>
      <c r="D38" s="274" t="s">
        <v>717</v>
      </c>
      <c r="E38" s="274" t="s">
        <v>743</v>
      </c>
      <c r="F38" s="392" t="s">
        <v>155</v>
      </c>
      <c r="G38" s="278" t="s">
        <v>40</v>
      </c>
      <c r="H38" s="278" t="s">
        <v>774</v>
      </c>
      <c r="I38" s="278" t="s">
        <v>794</v>
      </c>
      <c r="J38" s="278" t="s">
        <v>815</v>
      </c>
      <c r="K38" s="278" t="s">
        <v>824</v>
      </c>
      <c r="L38" s="278" t="s">
        <v>795</v>
      </c>
      <c r="M38" s="278" t="s">
        <v>156</v>
      </c>
      <c r="N38" s="348" t="s">
        <v>698</v>
      </c>
      <c r="O38" s="381">
        <v>45292</v>
      </c>
      <c r="P38" s="381">
        <v>45657</v>
      </c>
      <c r="Q38" s="62" t="s">
        <v>94</v>
      </c>
      <c r="R38" s="53">
        <f>+(R39*S38)</f>
        <v>0</v>
      </c>
      <c r="S38" s="185">
        <f t="shared" ref="S38:S39" si="5">SUM(T38:AF38)</f>
        <v>0</v>
      </c>
      <c r="T38" s="181"/>
      <c r="U38" s="181"/>
      <c r="V38" s="182"/>
      <c r="W38" s="182"/>
      <c r="X38" s="184"/>
      <c r="Y38" s="184"/>
      <c r="Z38" s="184"/>
      <c r="AA38" s="184"/>
      <c r="AB38" s="184"/>
      <c r="AC38" s="183"/>
      <c r="AD38" s="183"/>
      <c r="AE38" s="183"/>
      <c r="AF38" s="183"/>
      <c r="AG38" s="374"/>
      <c r="AH38" s="374"/>
      <c r="AI38" s="374"/>
      <c r="AJ38" s="374"/>
    </row>
    <row r="39" spans="1:36" ht="88.5" customHeight="1" x14ac:dyDescent="0.35">
      <c r="A39" s="353"/>
      <c r="B39" s="274"/>
      <c r="C39" s="274"/>
      <c r="D39" s="274"/>
      <c r="E39" s="274"/>
      <c r="F39" s="392"/>
      <c r="G39" s="279"/>
      <c r="H39" s="279"/>
      <c r="I39" s="353"/>
      <c r="J39" s="353"/>
      <c r="K39" s="279"/>
      <c r="L39" s="279"/>
      <c r="M39" s="353"/>
      <c r="N39" s="350"/>
      <c r="O39" s="381"/>
      <c r="P39" s="381"/>
      <c r="Q39" s="62" t="s">
        <v>99</v>
      </c>
      <c r="R39" s="52">
        <f>100%/11</f>
        <v>9.0909090909090912E-2</v>
      </c>
      <c r="S39" s="185">
        <f t="shared" si="5"/>
        <v>0</v>
      </c>
      <c r="T39" s="94"/>
      <c r="U39" s="94"/>
      <c r="V39" s="94"/>
      <c r="W39" s="94"/>
      <c r="X39" s="94"/>
      <c r="Y39" s="94"/>
      <c r="Z39" s="94"/>
      <c r="AA39" s="94"/>
      <c r="AB39" s="94"/>
      <c r="AC39" s="94"/>
      <c r="AD39" s="94"/>
      <c r="AE39" s="94"/>
      <c r="AF39" s="94"/>
      <c r="AG39" s="377"/>
      <c r="AH39" s="377"/>
      <c r="AI39" s="377"/>
      <c r="AJ39" s="377"/>
    </row>
    <row r="40" spans="1:36" ht="88.5" customHeight="1" x14ac:dyDescent="0.35">
      <c r="A40" s="278">
        <v>16</v>
      </c>
      <c r="B40" s="274" t="s">
        <v>704</v>
      </c>
      <c r="C40" s="274" t="s">
        <v>700</v>
      </c>
      <c r="D40" s="274" t="s">
        <v>717</v>
      </c>
      <c r="E40" s="274" t="s">
        <v>743</v>
      </c>
      <c r="F40" s="392" t="s">
        <v>155</v>
      </c>
      <c r="G40" s="278" t="s">
        <v>40</v>
      </c>
      <c r="H40" s="278" t="s">
        <v>774</v>
      </c>
      <c r="I40" s="278" t="s">
        <v>794</v>
      </c>
      <c r="J40" s="278" t="s">
        <v>816</v>
      </c>
      <c r="K40" s="278" t="s">
        <v>823</v>
      </c>
      <c r="L40" s="278" t="s">
        <v>795</v>
      </c>
      <c r="M40" s="278" t="s">
        <v>156</v>
      </c>
      <c r="N40" s="348" t="s">
        <v>698</v>
      </c>
      <c r="O40" s="381">
        <v>45292</v>
      </c>
      <c r="P40" s="381">
        <v>45657</v>
      </c>
      <c r="Q40" s="62" t="s">
        <v>94</v>
      </c>
      <c r="R40" s="53">
        <f>+(R41*S40)</f>
        <v>0</v>
      </c>
      <c r="S40" s="185">
        <f t="shared" si="3"/>
        <v>0</v>
      </c>
      <c r="T40" s="181"/>
      <c r="U40" s="181"/>
      <c r="V40" s="182"/>
      <c r="W40" s="182"/>
      <c r="X40" s="184"/>
      <c r="Y40" s="184"/>
      <c r="Z40" s="184"/>
      <c r="AA40" s="184"/>
      <c r="AB40" s="184"/>
      <c r="AC40" s="183"/>
      <c r="AD40" s="183"/>
      <c r="AE40" s="183"/>
      <c r="AF40" s="183"/>
      <c r="AG40" s="374"/>
      <c r="AH40" s="374"/>
      <c r="AI40" s="374"/>
      <c r="AJ40" s="374"/>
    </row>
    <row r="41" spans="1:36" ht="88.5" customHeight="1" x14ac:dyDescent="0.35">
      <c r="A41" s="353"/>
      <c r="B41" s="274"/>
      <c r="C41" s="274"/>
      <c r="D41" s="274"/>
      <c r="E41" s="274"/>
      <c r="F41" s="392"/>
      <c r="G41" s="279"/>
      <c r="H41" s="279"/>
      <c r="I41" s="353"/>
      <c r="J41" s="353"/>
      <c r="K41" s="279"/>
      <c r="L41" s="279"/>
      <c r="M41" s="353"/>
      <c r="N41" s="350"/>
      <c r="O41" s="381"/>
      <c r="P41" s="381"/>
      <c r="Q41" s="62" t="s">
        <v>99</v>
      </c>
      <c r="R41" s="52">
        <f>100%/11</f>
        <v>9.0909090909090912E-2</v>
      </c>
      <c r="S41" s="185">
        <f t="shared" si="3"/>
        <v>0</v>
      </c>
      <c r="T41" s="94"/>
      <c r="U41" s="94"/>
      <c r="V41" s="94"/>
      <c r="W41" s="94"/>
      <c r="X41" s="94"/>
      <c r="Y41" s="94"/>
      <c r="Z41" s="94"/>
      <c r="AA41" s="94"/>
      <c r="AB41" s="94"/>
      <c r="AC41" s="94"/>
      <c r="AD41" s="94"/>
      <c r="AE41" s="94"/>
      <c r="AF41" s="94"/>
      <c r="AG41" s="377"/>
      <c r="AH41" s="377"/>
      <c r="AI41" s="377"/>
      <c r="AJ41" s="377"/>
    </row>
    <row r="42" spans="1:36" ht="88.5" customHeight="1" x14ac:dyDescent="0.35">
      <c r="A42" s="278">
        <v>17</v>
      </c>
      <c r="B42" s="274" t="s">
        <v>704</v>
      </c>
      <c r="C42" s="274" t="s">
        <v>700</v>
      </c>
      <c r="D42" s="274" t="s">
        <v>717</v>
      </c>
      <c r="E42" s="274" t="s">
        <v>743</v>
      </c>
      <c r="F42" s="392" t="s">
        <v>155</v>
      </c>
      <c r="G42" s="278" t="s">
        <v>40</v>
      </c>
      <c r="H42" s="278" t="s">
        <v>774</v>
      </c>
      <c r="I42" s="278" t="s">
        <v>794</v>
      </c>
      <c r="J42" s="278" t="s">
        <v>817</v>
      </c>
      <c r="K42" s="278" t="s">
        <v>820</v>
      </c>
      <c r="L42" s="278" t="s">
        <v>795</v>
      </c>
      <c r="M42" s="278" t="s">
        <v>156</v>
      </c>
      <c r="N42" s="348" t="s">
        <v>698</v>
      </c>
      <c r="O42" s="381">
        <v>45292</v>
      </c>
      <c r="P42" s="381">
        <v>45657</v>
      </c>
      <c r="Q42" s="62" t="s">
        <v>94</v>
      </c>
      <c r="R42" s="53">
        <f>+(R43*S42)</f>
        <v>0</v>
      </c>
      <c r="S42" s="185">
        <f t="shared" ref="S42:S43" si="6">SUM(T42:AF42)</f>
        <v>0</v>
      </c>
      <c r="T42" s="181"/>
      <c r="U42" s="181"/>
      <c r="V42" s="182"/>
      <c r="W42" s="182"/>
      <c r="X42" s="184"/>
      <c r="Y42" s="184"/>
      <c r="Z42" s="184"/>
      <c r="AA42" s="184"/>
      <c r="AB42" s="184"/>
      <c r="AC42" s="183"/>
      <c r="AD42" s="183"/>
      <c r="AE42" s="183"/>
      <c r="AF42" s="183"/>
      <c r="AG42" s="374"/>
      <c r="AH42" s="374"/>
      <c r="AI42" s="374"/>
      <c r="AJ42" s="374"/>
    </row>
    <row r="43" spans="1:36" ht="88.5" customHeight="1" x14ac:dyDescent="0.35">
      <c r="A43" s="353"/>
      <c r="B43" s="274"/>
      <c r="C43" s="274"/>
      <c r="D43" s="274"/>
      <c r="E43" s="274"/>
      <c r="F43" s="392"/>
      <c r="G43" s="279"/>
      <c r="H43" s="279"/>
      <c r="I43" s="353"/>
      <c r="J43" s="353"/>
      <c r="K43" s="279"/>
      <c r="L43" s="279"/>
      <c r="M43" s="353"/>
      <c r="N43" s="350"/>
      <c r="O43" s="381"/>
      <c r="P43" s="381"/>
      <c r="Q43" s="62" t="s">
        <v>99</v>
      </c>
      <c r="R43" s="52">
        <f>100%/11</f>
        <v>9.0909090909090912E-2</v>
      </c>
      <c r="S43" s="185">
        <f t="shared" si="6"/>
        <v>0</v>
      </c>
      <c r="T43" s="94"/>
      <c r="U43" s="94"/>
      <c r="V43" s="94"/>
      <c r="W43" s="94"/>
      <c r="X43" s="94"/>
      <c r="Y43" s="94"/>
      <c r="Z43" s="94"/>
      <c r="AA43" s="94"/>
      <c r="AB43" s="94"/>
      <c r="AC43" s="94"/>
      <c r="AD43" s="94"/>
      <c r="AE43" s="94"/>
      <c r="AF43" s="94"/>
      <c r="AG43" s="377"/>
      <c r="AH43" s="377"/>
      <c r="AI43" s="377"/>
      <c r="AJ43" s="377"/>
    </row>
    <row r="44" spans="1:36" ht="88.5" customHeight="1" x14ac:dyDescent="0.35">
      <c r="A44" s="278">
        <v>18</v>
      </c>
      <c r="B44" s="274" t="s">
        <v>704</v>
      </c>
      <c r="C44" s="274" t="s">
        <v>700</v>
      </c>
      <c r="D44" s="274" t="s">
        <v>717</v>
      </c>
      <c r="E44" s="274" t="s">
        <v>743</v>
      </c>
      <c r="F44" s="392" t="s">
        <v>155</v>
      </c>
      <c r="G44" s="278" t="s">
        <v>40</v>
      </c>
      <c r="H44" s="278" t="s">
        <v>774</v>
      </c>
      <c r="I44" s="278" t="s">
        <v>794</v>
      </c>
      <c r="J44" s="278" t="s">
        <v>818</v>
      </c>
      <c r="K44" s="278" t="s">
        <v>819</v>
      </c>
      <c r="L44" s="278" t="s">
        <v>795</v>
      </c>
      <c r="M44" s="278" t="s">
        <v>156</v>
      </c>
      <c r="N44" s="348" t="s">
        <v>698</v>
      </c>
      <c r="O44" s="381">
        <v>45292</v>
      </c>
      <c r="P44" s="381">
        <v>45657</v>
      </c>
      <c r="Q44" s="62" t="s">
        <v>94</v>
      </c>
      <c r="R44" s="53">
        <f>+(R45*S44)</f>
        <v>0</v>
      </c>
      <c r="S44" s="185">
        <f t="shared" si="3"/>
        <v>0</v>
      </c>
      <c r="T44" s="181"/>
      <c r="U44" s="181"/>
      <c r="V44" s="182"/>
      <c r="W44" s="182"/>
      <c r="X44" s="184"/>
      <c r="Y44" s="184"/>
      <c r="Z44" s="184"/>
      <c r="AA44" s="184"/>
      <c r="AB44" s="184"/>
      <c r="AC44" s="183"/>
      <c r="AD44" s="183"/>
      <c r="AE44" s="183"/>
      <c r="AF44" s="183"/>
      <c r="AG44" s="374"/>
      <c r="AH44" s="374"/>
      <c r="AI44" s="374"/>
      <c r="AJ44" s="374"/>
    </row>
    <row r="45" spans="1:36" ht="88.5" customHeight="1" x14ac:dyDescent="0.35">
      <c r="A45" s="353"/>
      <c r="B45" s="274"/>
      <c r="C45" s="274"/>
      <c r="D45" s="274"/>
      <c r="E45" s="274"/>
      <c r="F45" s="392"/>
      <c r="G45" s="279"/>
      <c r="H45" s="279"/>
      <c r="I45" s="353"/>
      <c r="J45" s="353"/>
      <c r="K45" s="279"/>
      <c r="L45" s="279"/>
      <c r="M45" s="353"/>
      <c r="N45" s="350"/>
      <c r="O45" s="381"/>
      <c r="P45" s="381"/>
      <c r="Q45" s="62" t="s">
        <v>99</v>
      </c>
      <c r="R45" s="52">
        <f>100%/11</f>
        <v>9.0909090909090912E-2</v>
      </c>
      <c r="S45" s="185">
        <f t="shared" si="3"/>
        <v>0</v>
      </c>
      <c r="T45" s="94"/>
      <c r="U45" s="94"/>
      <c r="V45" s="94"/>
      <c r="W45" s="94"/>
      <c r="X45" s="94"/>
      <c r="Y45" s="94"/>
      <c r="Z45" s="94"/>
      <c r="AA45" s="94"/>
      <c r="AB45" s="94"/>
      <c r="AC45" s="94"/>
      <c r="AD45" s="94"/>
      <c r="AE45" s="94"/>
      <c r="AF45" s="94"/>
      <c r="AG45" s="377"/>
      <c r="AH45" s="377"/>
      <c r="AI45" s="377"/>
      <c r="AJ45" s="377"/>
    </row>
    <row r="46" spans="1:36" ht="88.5" customHeight="1" x14ac:dyDescent="0.35">
      <c r="A46" s="278">
        <v>19</v>
      </c>
      <c r="B46" s="274" t="s">
        <v>704</v>
      </c>
      <c r="C46" s="274" t="s">
        <v>700</v>
      </c>
      <c r="D46" s="274" t="s">
        <v>717</v>
      </c>
      <c r="E46" s="274" t="s">
        <v>743</v>
      </c>
      <c r="F46" s="392" t="s">
        <v>155</v>
      </c>
      <c r="G46" s="278" t="s">
        <v>40</v>
      </c>
      <c r="H46" s="278" t="s">
        <v>774</v>
      </c>
      <c r="I46" s="278" t="s">
        <v>794</v>
      </c>
      <c r="J46" s="278" t="s">
        <v>822</v>
      </c>
      <c r="K46" s="278" t="s">
        <v>821</v>
      </c>
      <c r="L46" s="278" t="s">
        <v>795</v>
      </c>
      <c r="M46" s="278" t="s">
        <v>156</v>
      </c>
      <c r="N46" s="348" t="s">
        <v>698</v>
      </c>
      <c r="O46" s="381">
        <v>45292</v>
      </c>
      <c r="P46" s="381">
        <v>45657</v>
      </c>
      <c r="Q46" s="62" t="s">
        <v>94</v>
      </c>
      <c r="R46" s="53">
        <f>+(R47*S46)</f>
        <v>0</v>
      </c>
      <c r="S46" s="185">
        <f t="shared" ref="S46:S49" si="7">SUM(T46:AF46)</f>
        <v>0</v>
      </c>
      <c r="T46" s="181"/>
      <c r="U46" s="181"/>
      <c r="V46" s="182"/>
      <c r="W46" s="182"/>
      <c r="X46" s="184"/>
      <c r="Y46" s="184"/>
      <c r="Z46" s="184"/>
      <c r="AA46" s="184"/>
      <c r="AB46" s="184"/>
      <c r="AC46" s="183"/>
      <c r="AD46" s="183"/>
      <c r="AE46" s="183"/>
      <c r="AF46" s="183"/>
      <c r="AG46" s="374"/>
      <c r="AH46" s="374"/>
      <c r="AI46" s="374"/>
      <c r="AJ46" s="374"/>
    </row>
    <row r="47" spans="1:36" ht="88.5" customHeight="1" x14ac:dyDescent="0.35">
      <c r="A47" s="353"/>
      <c r="B47" s="274"/>
      <c r="C47" s="274"/>
      <c r="D47" s="274"/>
      <c r="E47" s="274"/>
      <c r="F47" s="392"/>
      <c r="G47" s="279"/>
      <c r="H47" s="279"/>
      <c r="I47" s="353"/>
      <c r="J47" s="353"/>
      <c r="K47" s="279"/>
      <c r="L47" s="279"/>
      <c r="M47" s="353"/>
      <c r="N47" s="350"/>
      <c r="O47" s="381"/>
      <c r="P47" s="381"/>
      <c r="Q47" s="62" t="s">
        <v>99</v>
      </c>
      <c r="R47" s="52">
        <f>100%/11</f>
        <v>9.0909090909090912E-2</v>
      </c>
      <c r="S47" s="185">
        <f t="shared" si="7"/>
        <v>0</v>
      </c>
      <c r="T47" s="94"/>
      <c r="U47" s="94"/>
      <c r="V47" s="94"/>
      <c r="W47" s="94"/>
      <c r="X47" s="94"/>
      <c r="Y47" s="94"/>
      <c r="Z47" s="94"/>
      <c r="AA47" s="94"/>
      <c r="AB47" s="94"/>
      <c r="AC47" s="94"/>
      <c r="AD47" s="94"/>
      <c r="AE47" s="94"/>
      <c r="AF47" s="94"/>
      <c r="AG47" s="377"/>
      <c r="AH47" s="377"/>
      <c r="AI47" s="377"/>
      <c r="AJ47" s="377"/>
    </row>
    <row r="48" spans="1:36" ht="88.5" customHeight="1" x14ac:dyDescent="0.35">
      <c r="A48" s="278">
        <v>20</v>
      </c>
      <c r="B48" s="274" t="s">
        <v>704</v>
      </c>
      <c r="C48" s="274" t="s">
        <v>700</v>
      </c>
      <c r="D48" s="274" t="s">
        <v>717</v>
      </c>
      <c r="E48" s="274" t="s">
        <v>743</v>
      </c>
      <c r="F48" s="69" t="s">
        <v>155</v>
      </c>
      <c r="G48" s="278" t="s">
        <v>40</v>
      </c>
      <c r="H48" s="278" t="s">
        <v>774</v>
      </c>
      <c r="I48" s="278" t="s">
        <v>164</v>
      </c>
      <c r="J48" s="278" t="s">
        <v>164</v>
      </c>
      <c r="K48" s="278" t="s">
        <v>165</v>
      </c>
      <c r="L48" s="278" t="s">
        <v>161</v>
      </c>
      <c r="M48" s="278" t="s">
        <v>156</v>
      </c>
      <c r="N48" s="348" t="s">
        <v>698</v>
      </c>
      <c r="O48" s="381">
        <v>45292</v>
      </c>
      <c r="P48" s="381">
        <v>45657</v>
      </c>
      <c r="Q48" s="62" t="s">
        <v>94</v>
      </c>
      <c r="R48" s="53">
        <f>+(R49*S48)</f>
        <v>0</v>
      </c>
      <c r="S48" s="185">
        <f t="shared" si="7"/>
        <v>0</v>
      </c>
      <c r="T48" s="61"/>
      <c r="U48" s="94"/>
      <c r="V48" s="94"/>
      <c r="W48" s="94"/>
      <c r="X48" s="94"/>
      <c r="Y48" s="94"/>
      <c r="Z48" s="94"/>
      <c r="AA48" s="42"/>
      <c r="AB48" s="42"/>
      <c r="AC48" s="94"/>
      <c r="AD48" s="94"/>
      <c r="AE48" s="94"/>
      <c r="AF48" s="94"/>
      <c r="AG48" s="378"/>
      <c r="AH48" s="378"/>
      <c r="AI48" s="378"/>
      <c r="AJ48" s="378"/>
    </row>
    <row r="49" spans="1:38" ht="88.5" customHeight="1" x14ac:dyDescent="0.35">
      <c r="A49" s="353"/>
      <c r="B49" s="274"/>
      <c r="C49" s="274"/>
      <c r="D49" s="274"/>
      <c r="E49" s="274"/>
      <c r="F49" s="69"/>
      <c r="G49" s="279"/>
      <c r="H49" s="279"/>
      <c r="I49" s="279"/>
      <c r="J49" s="279"/>
      <c r="K49" s="279"/>
      <c r="L49" s="279"/>
      <c r="M49" s="279"/>
      <c r="N49" s="349"/>
      <c r="O49" s="381"/>
      <c r="P49" s="381"/>
      <c r="Q49" s="62" t="s">
        <v>99</v>
      </c>
      <c r="R49" s="52">
        <f>100%/11</f>
        <v>9.0909090909090912E-2</v>
      </c>
      <c r="S49" s="185">
        <f t="shared" si="7"/>
        <v>0</v>
      </c>
      <c r="T49" s="42"/>
      <c r="U49" s="94"/>
      <c r="V49" s="94"/>
      <c r="W49" s="94"/>
      <c r="X49" s="94"/>
      <c r="Y49" s="94"/>
      <c r="Z49" s="94"/>
      <c r="AA49" s="94"/>
      <c r="AB49" s="94"/>
      <c r="AC49" s="94"/>
      <c r="AD49" s="210"/>
      <c r="AE49" s="210"/>
      <c r="AF49" s="210"/>
      <c r="AG49" s="377"/>
      <c r="AH49" s="375"/>
      <c r="AI49" s="375"/>
      <c r="AJ49" s="375"/>
    </row>
    <row r="50" spans="1:38" ht="88.5" customHeight="1" x14ac:dyDescent="0.35">
      <c r="A50" s="274">
        <v>21</v>
      </c>
      <c r="B50" s="274" t="s">
        <v>693</v>
      </c>
      <c r="C50" s="274" t="s">
        <v>728</v>
      </c>
      <c r="D50" s="274" t="s">
        <v>720</v>
      </c>
      <c r="E50" s="274" t="s">
        <v>745</v>
      </c>
      <c r="F50" s="69" t="s">
        <v>155</v>
      </c>
      <c r="G50" s="274" t="s">
        <v>40</v>
      </c>
      <c r="H50" s="278" t="s">
        <v>714</v>
      </c>
      <c r="I50" s="274" t="s">
        <v>162</v>
      </c>
      <c r="J50" s="274" t="s">
        <v>826</v>
      </c>
      <c r="K50" s="274" t="s">
        <v>972</v>
      </c>
      <c r="L50" s="278" t="s">
        <v>161</v>
      </c>
      <c r="M50" s="278" t="s">
        <v>156</v>
      </c>
      <c r="N50" s="348" t="s">
        <v>703</v>
      </c>
      <c r="O50" s="381">
        <v>45292</v>
      </c>
      <c r="P50" s="381">
        <v>45657</v>
      </c>
      <c r="Q50" s="62" t="s">
        <v>94</v>
      </c>
      <c r="R50" s="53">
        <f>+(R51*S50)</f>
        <v>0</v>
      </c>
      <c r="S50" s="185">
        <f t="shared" si="0"/>
        <v>0</v>
      </c>
      <c r="T50" s="45"/>
      <c r="U50" s="45"/>
      <c r="V50" s="45"/>
      <c r="W50" s="45"/>
      <c r="X50" s="45"/>
      <c r="Y50" s="45"/>
      <c r="Z50" s="45"/>
      <c r="AA50" s="45"/>
      <c r="AB50" s="45"/>
      <c r="AC50" s="45"/>
      <c r="AD50" s="45"/>
      <c r="AE50" s="45"/>
      <c r="AF50" s="45"/>
      <c r="AG50" s="380"/>
      <c r="AH50" s="374"/>
      <c r="AI50" s="376"/>
      <c r="AJ50" s="374"/>
    </row>
    <row r="51" spans="1:38" ht="88.5" customHeight="1" x14ac:dyDescent="0.35">
      <c r="A51" s="274"/>
      <c r="B51" s="274"/>
      <c r="C51" s="274"/>
      <c r="D51" s="274"/>
      <c r="E51" s="274"/>
      <c r="F51" s="69"/>
      <c r="G51" s="274"/>
      <c r="H51" s="279"/>
      <c r="I51" s="274"/>
      <c r="J51" s="274"/>
      <c r="K51" s="274"/>
      <c r="L51" s="279"/>
      <c r="M51" s="279"/>
      <c r="N51" s="349"/>
      <c r="O51" s="381"/>
      <c r="P51" s="381"/>
      <c r="Q51" s="62" t="s">
        <v>99</v>
      </c>
      <c r="R51" s="52">
        <f>100%/11</f>
        <v>9.0909090909090912E-2</v>
      </c>
      <c r="S51" s="185">
        <f t="shared" si="0"/>
        <v>0</v>
      </c>
      <c r="T51" s="42"/>
      <c r="U51" s="42"/>
      <c r="V51" s="42"/>
      <c r="W51" s="42"/>
      <c r="X51" s="42"/>
      <c r="Y51" s="42"/>
      <c r="Z51" s="42"/>
      <c r="AA51" s="42"/>
      <c r="AB51" s="42"/>
      <c r="AC51" s="42"/>
      <c r="AD51" s="42"/>
      <c r="AE51" s="42"/>
      <c r="AF51" s="42"/>
      <c r="AG51" s="377"/>
      <c r="AH51" s="375"/>
      <c r="AI51" s="377"/>
      <c r="AJ51" s="375"/>
      <c r="AL51" s="32"/>
    </row>
    <row r="53" spans="1:38" ht="15" hidden="1" customHeight="1" x14ac:dyDescent="0.35">
      <c r="B53" s="368" t="s">
        <v>53</v>
      </c>
      <c r="C53" s="368" t="s">
        <v>54</v>
      </c>
      <c r="D53" s="368" t="s">
        <v>55</v>
      </c>
      <c r="E53" s="368" t="s">
        <v>56</v>
      </c>
      <c r="F53" s="368" t="s">
        <v>31</v>
      </c>
      <c r="G53" s="370" t="s">
        <v>57</v>
      </c>
      <c r="M53" s="370" t="s">
        <v>687</v>
      </c>
    </row>
    <row r="54" spans="1:38" ht="15" hidden="1" customHeight="1" x14ac:dyDescent="0.35">
      <c r="B54" s="369"/>
      <c r="C54" s="369"/>
      <c r="D54" s="369"/>
      <c r="E54" s="369"/>
      <c r="F54" s="369"/>
      <c r="G54" s="369"/>
      <c r="M54" s="369"/>
    </row>
    <row r="55" spans="1:38" ht="15" hidden="1" customHeight="1" x14ac:dyDescent="0.35">
      <c r="B55" s="1" t="s">
        <v>688</v>
      </c>
      <c r="C55" s="1" t="s">
        <v>689</v>
      </c>
      <c r="D55" s="1" t="s">
        <v>121</v>
      </c>
      <c r="E55" s="1" t="s">
        <v>122</v>
      </c>
      <c r="F55" s="1" t="s">
        <v>690</v>
      </c>
      <c r="G55" s="1" t="s">
        <v>691</v>
      </c>
      <c r="M55" s="13" t="s">
        <v>692</v>
      </c>
    </row>
    <row r="56" spans="1:38" ht="15" hidden="1" customHeight="1" x14ac:dyDescent="0.35">
      <c r="B56" s="1" t="s">
        <v>693</v>
      </c>
      <c r="C56" s="1" t="s">
        <v>694</v>
      </c>
      <c r="D56" s="1" t="s">
        <v>300</v>
      </c>
      <c r="E56" s="1" t="s">
        <v>695</v>
      </c>
      <c r="F56" s="1" t="s">
        <v>696</v>
      </c>
      <c r="G56" s="1" t="s">
        <v>697</v>
      </c>
      <c r="M56" s="13" t="s">
        <v>698</v>
      </c>
    </row>
    <row r="57" spans="1:38" ht="15" hidden="1" customHeight="1" x14ac:dyDescent="0.35">
      <c r="B57" s="1" t="s">
        <v>699</v>
      </c>
      <c r="C57" s="1" t="s">
        <v>700</v>
      </c>
      <c r="D57" s="1" t="s">
        <v>86</v>
      </c>
      <c r="E57" s="1" t="s">
        <v>301</v>
      </c>
      <c r="F57" s="1" t="s">
        <v>701</v>
      </c>
      <c r="G57" s="1" t="s">
        <v>702</v>
      </c>
      <c r="M57" s="13" t="s">
        <v>703</v>
      </c>
    </row>
    <row r="58" spans="1:38" ht="15" hidden="1" customHeight="1" x14ac:dyDescent="0.35">
      <c r="B58" s="1" t="s">
        <v>704</v>
      </c>
      <c r="C58" s="1" t="s">
        <v>705</v>
      </c>
      <c r="D58" s="1" t="s">
        <v>168</v>
      </c>
      <c r="E58" s="1" t="s">
        <v>706</v>
      </c>
      <c r="F58" s="1" t="s">
        <v>707</v>
      </c>
      <c r="G58" s="1" t="s">
        <v>708</v>
      </c>
    </row>
    <row r="59" spans="1:38" ht="15" hidden="1" customHeight="1" x14ac:dyDescent="0.35">
      <c r="B59" s="1" t="s">
        <v>709</v>
      </c>
      <c r="C59" s="1" t="s">
        <v>710</v>
      </c>
      <c r="D59" s="1" t="s">
        <v>711</v>
      </c>
      <c r="E59" s="1" t="s">
        <v>712</v>
      </c>
      <c r="F59" s="1" t="s">
        <v>713</v>
      </c>
      <c r="G59" s="1" t="s">
        <v>714</v>
      </c>
    </row>
    <row r="60" spans="1:38" ht="15" hidden="1" customHeight="1" x14ac:dyDescent="0.35">
      <c r="B60" s="1" t="s">
        <v>715</v>
      </c>
      <c r="C60" s="1" t="s">
        <v>716</v>
      </c>
      <c r="D60" s="1" t="s">
        <v>717</v>
      </c>
      <c r="E60" s="1" t="s">
        <v>154</v>
      </c>
      <c r="F60" s="1" t="s">
        <v>290</v>
      </c>
      <c r="G60" s="1" t="s">
        <v>463</v>
      </c>
    </row>
    <row r="61" spans="1:38" ht="15" hidden="1" customHeight="1" x14ac:dyDescent="0.35">
      <c r="B61" s="1" t="s">
        <v>718</v>
      </c>
      <c r="C61" s="1" t="s">
        <v>719</v>
      </c>
      <c r="D61" s="1" t="s">
        <v>720</v>
      </c>
      <c r="E61" s="1" t="s">
        <v>115</v>
      </c>
      <c r="F61" s="1" t="s">
        <v>721</v>
      </c>
      <c r="G61" s="1" t="s">
        <v>722</v>
      </c>
    </row>
    <row r="62" spans="1:38" ht="15" hidden="1" customHeight="1" x14ac:dyDescent="0.35">
      <c r="B62" s="1" t="s">
        <v>723</v>
      </c>
      <c r="C62" s="1" t="s">
        <v>724</v>
      </c>
      <c r="E62" s="1" t="s">
        <v>627</v>
      </c>
      <c r="F62" s="1" t="s">
        <v>725</v>
      </c>
      <c r="G62" s="1" t="s">
        <v>571</v>
      </c>
    </row>
    <row r="63" spans="1:38" ht="15" hidden="1" customHeight="1" x14ac:dyDescent="0.35">
      <c r="C63" s="1" t="s">
        <v>726</v>
      </c>
      <c r="E63" s="1" t="s">
        <v>126</v>
      </c>
      <c r="F63" s="1" t="s">
        <v>727</v>
      </c>
      <c r="G63" s="1" t="s">
        <v>100</v>
      </c>
    </row>
    <row r="64" spans="1:38" ht="15" hidden="1" customHeight="1" x14ac:dyDescent="0.35">
      <c r="C64" s="1" t="s">
        <v>728</v>
      </c>
      <c r="E64" s="1" t="s">
        <v>729</v>
      </c>
      <c r="F64" s="1" t="s">
        <v>730</v>
      </c>
      <c r="G64" s="1" t="s">
        <v>123</v>
      </c>
    </row>
    <row r="65" spans="5:7" ht="15" hidden="1" customHeight="1" x14ac:dyDescent="0.35">
      <c r="E65" s="1" t="s">
        <v>87</v>
      </c>
      <c r="F65" s="1" t="s">
        <v>731</v>
      </c>
      <c r="G65" s="1" t="s">
        <v>111</v>
      </c>
    </row>
    <row r="66" spans="5:7" ht="15" hidden="1" customHeight="1" x14ac:dyDescent="0.35">
      <c r="E66" s="1" t="s">
        <v>732</v>
      </c>
      <c r="F66" s="1" t="s">
        <v>733</v>
      </c>
      <c r="G66" s="1" t="s">
        <v>734</v>
      </c>
    </row>
    <row r="67" spans="5:7" ht="15" hidden="1" customHeight="1" x14ac:dyDescent="0.35">
      <c r="E67" s="1" t="s">
        <v>163</v>
      </c>
      <c r="G67" s="1" t="s">
        <v>735</v>
      </c>
    </row>
    <row r="68" spans="5:7" ht="15" hidden="1" customHeight="1" x14ac:dyDescent="0.35">
      <c r="E68" s="1" t="s">
        <v>736</v>
      </c>
      <c r="G68" s="1" t="s">
        <v>737</v>
      </c>
    </row>
    <row r="69" spans="5:7" ht="15" hidden="1" customHeight="1" x14ac:dyDescent="0.35">
      <c r="E69" s="1" t="s">
        <v>738</v>
      </c>
      <c r="G69" s="1" t="s">
        <v>739</v>
      </c>
    </row>
    <row r="70" spans="5:7" ht="15" hidden="1" customHeight="1" x14ac:dyDescent="0.35">
      <c r="E70" s="1" t="s">
        <v>110</v>
      </c>
      <c r="G70" s="1" t="s">
        <v>740</v>
      </c>
    </row>
    <row r="71" spans="5:7" ht="15" hidden="1" customHeight="1" x14ac:dyDescent="0.35">
      <c r="E71" s="1" t="s">
        <v>741</v>
      </c>
      <c r="G71" s="1" t="s">
        <v>742</v>
      </c>
    </row>
    <row r="72" spans="5:7" ht="15" hidden="1" customHeight="1" x14ac:dyDescent="0.35">
      <c r="E72" s="1" t="s">
        <v>743</v>
      </c>
      <c r="G72" s="1" t="s">
        <v>744</v>
      </c>
    </row>
    <row r="73" spans="5:7" ht="15" hidden="1" customHeight="1" x14ac:dyDescent="0.35">
      <c r="E73" s="1" t="s">
        <v>745</v>
      </c>
      <c r="G73" s="1" t="s">
        <v>746</v>
      </c>
    </row>
    <row r="74" spans="5:7" ht="15" hidden="1" customHeight="1" x14ac:dyDescent="0.35">
      <c r="G74" s="1" t="s">
        <v>747</v>
      </c>
    </row>
    <row r="75" spans="5:7" ht="15" hidden="1" customHeight="1" x14ac:dyDescent="0.35">
      <c r="G75" s="1" t="s">
        <v>748</v>
      </c>
    </row>
    <row r="76" spans="5:7" ht="15" hidden="1" customHeight="1" x14ac:dyDescent="0.35">
      <c r="G76" s="1" t="s">
        <v>749</v>
      </c>
    </row>
    <row r="77" spans="5:7" ht="15" hidden="1" customHeight="1" x14ac:dyDescent="0.35">
      <c r="G77" s="1" t="s">
        <v>750</v>
      </c>
    </row>
    <row r="78" spans="5:7" ht="15" hidden="1" customHeight="1" x14ac:dyDescent="0.35">
      <c r="G78" s="1" t="s">
        <v>751</v>
      </c>
    </row>
    <row r="79" spans="5:7" ht="15" hidden="1" customHeight="1" x14ac:dyDescent="0.35">
      <c r="G79" s="1" t="s">
        <v>752</v>
      </c>
    </row>
    <row r="80" spans="5:7" ht="15" hidden="1" customHeight="1" x14ac:dyDescent="0.35">
      <c r="G80" s="1" t="s">
        <v>753</v>
      </c>
    </row>
    <row r="81" spans="7:7" ht="15" hidden="1" customHeight="1" x14ac:dyDescent="0.35">
      <c r="G81" s="1" t="s">
        <v>754</v>
      </c>
    </row>
    <row r="82" spans="7:7" ht="15" hidden="1" customHeight="1" x14ac:dyDescent="0.35">
      <c r="G82" s="1" t="s">
        <v>755</v>
      </c>
    </row>
    <row r="83" spans="7:7" ht="15" hidden="1" customHeight="1" x14ac:dyDescent="0.35">
      <c r="G83" s="1" t="s">
        <v>756</v>
      </c>
    </row>
    <row r="84" spans="7:7" ht="15" hidden="1" customHeight="1" x14ac:dyDescent="0.35">
      <c r="G84" s="1" t="s">
        <v>757</v>
      </c>
    </row>
    <row r="85" spans="7:7" ht="15" hidden="1" customHeight="1" x14ac:dyDescent="0.35">
      <c r="G85" s="1" t="s">
        <v>758</v>
      </c>
    </row>
    <row r="86" spans="7:7" ht="15" hidden="1" customHeight="1" x14ac:dyDescent="0.35">
      <c r="G86" s="1" t="s">
        <v>759</v>
      </c>
    </row>
    <row r="87" spans="7:7" ht="15" hidden="1" customHeight="1" x14ac:dyDescent="0.35">
      <c r="G87" s="1" t="s">
        <v>760</v>
      </c>
    </row>
    <row r="88" spans="7:7" ht="15" hidden="1" customHeight="1" x14ac:dyDescent="0.35">
      <c r="G88" s="1" t="s">
        <v>127</v>
      </c>
    </row>
    <row r="89" spans="7:7" ht="15" hidden="1" customHeight="1" x14ac:dyDescent="0.35">
      <c r="G89" s="1" t="s">
        <v>761</v>
      </c>
    </row>
    <row r="90" spans="7:7" ht="15" hidden="1" customHeight="1" x14ac:dyDescent="0.35">
      <c r="G90" s="1" t="s">
        <v>762</v>
      </c>
    </row>
    <row r="91" spans="7:7" ht="15" hidden="1" customHeight="1" x14ac:dyDescent="0.35">
      <c r="G91" s="1" t="s">
        <v>763</v>
      </c>
    </row>
    <row r="92" spans="7:7" ht="15" hidden="1" customHeight="1" x14ac:dyDescent="0.35">
      <c r="G92" s="1" t="s">
        <v>764</v>
      </c>
    </row>
    <row r="93" spans="7:7" ht="15" hidden="1" customHeight="1" x14ac:dyDescent="0.35">
      <c r="G93" s="1" t="s">
        <v>89</v>
      </c>
    </row>
    <row r="94" spans="7:7" ht="15" hidden="1" customHeight="1" x14ac:dyDescent="0.35">
      <c r="G94" s="1" t="s">
        <v>765</v>
      </c>
    </row>
    <row r="95" spans="7:7" ht="15" hidden="1" customHeight="1" x14ac:dyDescent="0.35">
      <c r="G95" s="1" t="s">
        <v>766</v>
      </c>
    </row>
    <row r="96" spans="7:7" ht="15" hidden="1" customHeight="1" x14ac:dyDescent="0.35">
      <c r="G96" s="1" t="s">
        <v>307</v>
      </c>
    </row>
    <row r="97" spans="7:7" ht="15" hidden="1" customHeight="1" x14ac:dyDescent="0.35">
      <c r="G97" s="1" t="s">
        <v>767</v>
      </c>
    </row>
    <row r="98" spans="7:7" ht="15" hidden="1" customHeight="1" x14ac:dyDescent="0.35">
      <c r="G98" s="1" t="s">
        <v>768</v>
      </c>
    </row>
    <row r="99" spans="7:7" ht="15" hidden="1" customHeight="1" x14ac:dyDescent="0.35">
      <c r="G99" s="1" t="s">
        <v>769</v>
      </c>
    </row>
    <row r="100" spans="7:7" ht="15" hidden="1" customHeight="1" x14ac:dyDescent="0.35">
      <c r="G100" s="1" t="s">
        <v>770</v>
      </c>
    </row>
    <row r="101" spans="7:7" ht="15" hidden="1" customHeight="1" x14ac:dyDescent="0.35">
      <c r="G101" s="1" t="s">
        <v>771</v>
      </c>
    </row>
    <row r="102" spans="7:7" ht="15" hidden="1" customHeight="1" x14ac:dyDescent="0.35">
      <c r="G102" s="1" t="s">
        <v>772</v>
      </c>
    </row>
    <row r="103" spans="7:7" ht="15" hidden="1" customHeight="1" x14ac:dyDescent="0.35">
      <c r="G103" s="1" t="s">
        <v>773</v>
      </c>
    </row>
    <row r="104" spans="7:7" ht="15" hidden="1" customHeight="1" x14ac:dyDescent="0.35">
      <c r="G104" s="1" t="s">
        <v>774</v>
      </c>
    </row>
    <row r="105" spans="7:7" ht="15" hidden="1" customHeight="1" x14ac:dyDescent="0.35">
      <c r="G105" s="1" t="s">
        <v>775</v>
      </c>
    </row>
    <row r="106" spans="7:7" ht="15" hidden="1" customHeight="1" x14ac:dyDescent="0.35">
      <c r="G106" s="1" t="s">
        <v>305</v>
      </c>
    </row>
    <row r="107" spans="7:7" ht="15" hidden="1" customHeight="1" x14ac:dyDescent="0.35">
      <c r="G107" s="1" t="s">
        <v>40</v>
      </c>
    </row>
    <row r="108" spans="7:7" ht="15" hidden="1" customHeight="1" x14ac:dyDescent="0.35">
      <c r="G108" s="1" t="s">
        <v>157</v>
      </c>
    </row>
    <row r="109" spans="7:7" ht="15" hidden="1" customHeight="1" x14ac:dyDescent="0.35">
      <c r="G109" s="1" t="s">
        <v>776</v>
      </c>
    </row>
    <row r="110" spans="7:7" ht="15" hidden="1" customHeight="1" x14ac:dyDescent="0.35">
      <c r="G110" s="1" t="s">
        <v>777</v>
      </c>
    </row>
    <row r="111" spans="7:7" ht="15" hidden="1" customHeight="1" x14ac:dyDescent="0.35">
      <c r="G111" s="1" t="s">
        <v>778</v>
      </c>
    </row>
    <row r="112" spans="7:7" ht="15" hidden="1" customHeight="1" x14ac:dyDescent="0.35">
      <c r="G112" s="1" t="s">
        <v>779</v>
      </c>
    </row>
    <row r="113" spans="7:7" ht="15" hidden="1" customHeight="1" x14ac:dyDescent="0.35">
      <c r="G113" s="1" t="s">
        <v>780</v>
      </c>
    </row>
    <row r="114" spans="7:7" ht="15" hidden="1" customHeight="1" x14ac:dyDescent="0.35">
      <c r="G114" s="1" t="s">
        <v>781</v>
      </c>
    </row>
  </sheetData>
  <sheetProtection algorithmName="SHA-512" hashValue="NVwGuv1tDyNZWMuGpWLh+Fh0ci0WD2tiI0Ubijolf03c4/y+sVlBcCeSFZ8wQpNaFKUF6zoAVBhdf6VS+S6kOg==" saltValue="PEOOJHnHL4QkVY0E4takUg==" spinCount="100000" sheet="1" formatCells="0" formatColumns="0" formatRows="0" insertColumns="0" insertRows="0" insertHyperlinks="0" deleteColumns="0" deleteRows="0" sort="0" autoFilter="0" pivotTables="0"/>
  <autoFilter ref="D12:I51" xr:uid="{47330F22-B3B3-4045-8856-ACFFB1302C97}"/>
  <mergeCells count="438">
    <mergeCell ref="I34:I35"/>
    <mergeCell ref="J34:J35"/>
    <mergeCell ref="K34:K35"/>
    <mergeCell ref="L34:L35"/>
    <mergeCell ref="M34:M35"/>
    <mergeCell ref="N34:N35"/>
    <mergeCell ref="O34:O35"/>
    <mergeCell ref="P34:P35"/>
    <mergeCell ref="A34:A35"/>
    <mergeCell ref="H46:H47"/>
    <mergeCell ref="H48:H49"/>
    <mergeCell ref="H50:H51"/>
    <mergeCell ref="B34:B35"/>
    <mergeCell ref="C34:C35"/>
    <mergeCell ref="D34:D35"/>
    <mergeCell ref="E34:E35"/>
    <mergeCell ref="F34:F35"/>
    <mergeCell ref="G34:G35"/>
    <mergeCell ref="C44:C45"/>
    <mergeCell ref="D44:D45"/>
    <mergeCell ref="E44:E45"/>
    <mergeCell ref="F44:F45"/>
    <mergeCell ref="G44:G45"/>
    <mergeCell ref="H34:H35"/>
    <mergeCell ref="B44:B45"/>
    <mergeCell ref="AH40:AH41"/>
    <mergeCell ref="AI40:AI41"/>
    <mergeCell ref="AJ40:AJ41"/>
    <mergeCell ref="H40:H41"/>
    <mergeCell ref="H42:H43"/>
    <mergeCell ref="A38:A39"/>
    <mergeCell ref="B38:B39"/>
    <mergeCell ref="C38:C39"/>
    <mergeCell ref="D38:D39"/>
    <mergeCell ref="E38:E39"/>
    <mergeCell ref="F38:F39"/>
    <mergeCell ref="G38:G39"/>
    <mergeCell ref="I38:I39"/>
    <mergeCell ref="J38:J39"/>
    <mergeCell ref="H38:H39"/>
    <mergeCell ref="K38:K39"/>
    <mergeCell ref="L38:L39"/>
    <mergeCell ref="M38:M39"/>
    <mergeCell ref="N38:N39"/>
    <mergeCell ref="O38:O39"/>
    <mergeCell ref="P38:P39"/>
    <mergeCell ref="AG38:AG39"/>
    <mergeCell ref="AH38:AH39"/>
    <mergeCell ref="AI38:AI39"/>
    <mergeCell ref="A40:A41"/>
    <mergeCell ref="B40:B41"/>
    <mergeCell ref="C40:C41"/>
    <mergeCell ref="D40:D41"/>
    <mergeCell ref="E40:E41"/>
    <mergeCell ref="F40:F41"/>
    <mergeCell ref="G40:G41"/>
    <mergeCell ref="I40:I41"/>
    <mergeCell ref="J40:J41"/>
    <mergeCell ref="A42:A43"/>
    <mergeCell ref="B42:B43"/>
    <mergeCell ref="C42:C43"/>
    <mergeCell ref="D42:D43"/>
    <mergeCell ref="E42:E43"/>
    <mergeCell ref="F42:F43"/>
    <mergeCell ref="G42:G43"/>
    <mergeCell ref="I42:I43"/>
    <mergeCell ref="J42:J43"/>
    <mergeCell ref="AH36:AH37"/>
    <mergeCell ref="AI36:AI37"/>
    <mergeCell ref="K36:K37"/>
    <mergeCell ref="L36:L37"/>
    <mergeCell ref="M36:M37"/>
    <mergeCell ref="N36:N37"/>
    <mergeCell ref="O36:O37"/>
    <mergeCell ref="H36:H37"/>
    <mergeCell ref="M44:M45"/>
    <mergeCell ref="N44:N45"/>
    <mergeCell ref="O44:O45"/>
    <mergeCell ref="P44:P45"/>
    <mergeCell ref="AG44:AG45"/>
    <mergeCell ref="AH44:AH45"/>
    <mergeCell ref="AI44:AI45"/>
    <mergeCell ref="K42:K43"/>
    <mergeCell ref="L42:L43"/>
    <mergeCell ref="M42:M43"/>
    <mergeCell ref="N42:N43"/>
    <mergeCell ref="O42:O43"/>
    <mergeCell ref="P42:P43"/>
    <mergeCell ref="AG42:AG43"/>
    <mergeCell ref="AH42:AH43"/>
    <mergeCell ref="AI42:AI43"/>
    <mergeCell ref="I36:I37"/>
    <mergeCell ref="J36:J37"/>
    <mergeCell ref="I44:I45"/>
    <mergeCell ref="J44:J45"/>
    <mergeCell ref="K44:K45"/>
    <mergeCell ref="L44:L45"/>
    <mergeCell ref="H44:H45"/>
    <mergeCell ref="P36:P37"/>
    <mergeCell ref="AG36:AG37"/>
    <mergeCell ref="K40:K41"/>
    <mergeCell ref="L40:L41"/>
    <mergeCell ref="M40:M41"/>
    <mergeCell ref="N40:N41"/>
    <mergeCell ref="O40:O41"/>
    <mergeCell ref="P40:P41"/>
    <mergeCell ref="AG40:AG41"/>
    <mergeCell ref="I26:I27"/>
    <mergeCell ref="H32:H33"/>
    <mergeCell ref="AJ36:AJ37"/>
    <mergeCell ref="A46:A47"/>
    <mergeCell ref="B46:B47"/>
    <mergeCell ref="C46:C47"/>
    <mergeCell ref="D46:D47"/>
    <mergeCell ref="E46:E47"/>
    <mergeCell ref="F46:F47"/>
    <mergeCell ref="G46:G47"/>
    <mergeCell ref="I46:I47"/>
    <mergeCell ref="J46:J47"/>
    <mergeCell ref="K46:K47"/>
    <mergeCell ref="L46:L47"/>
    <mergeCell ref="M46:M47"/>
    <mergeCell ref="N46:N47"/>
    <mergeCell ref="O46:O47"/>
    <mergeCell ref="P46:P47"/>
    <mergeCell ref="AG46:AG47"/>
    <mergeCell ref="AH46:AH47"/>
    <mergeCell ref="AI46:AI47"/>
    <mergeCell ref="AJ46:AJ47"/>
    <mergeCell ref="F36:F37"/>
    <mergeCell ref="G36:G37"/>
    <mergeCell ref="K30:K31"/>
    <mergeCell ref="L30:L31"/>
    <mergeCell ref="M30:M31"/>
    <mergeCell ref="N30:N31"/>
    <mergeCell ref="O30:O31"/>
    <mergeCell ref="P30:P31"/>
    <mergeCell ref="AG30:AG31"/>
    <mergeCell ref="AH30:AH31"/>
    <mergeCell ref="AI30:AI31"/>
    <mergeCell ref="A30:A31"/>
    <mergeCell ref="B30:B31"/>
    <mergeCell ref="C30:C31"/>
    <mergeCell ref="D30:D31"/>
    <mergeCell ref="E30:E31"/>
    <mergeCell ref="F30:F31"/>
    <mergeCell ref="G30:G31"/>
    <mergeCell ref="I30:I31"/>
    <mergeCell ref="J30:J31"/>
    <mergeCell ref="H30:H31"/>
    <mergeCell ref="K26:K27"/>
    <mergeCell ref="L26:L27"/>
    <mergeCell ref="M26:M27"/>
    <mergeCell ref="N26:N27"/>
    <mergeCell ref="O26:O27"/>
    <mergeCell ref="P26:P27"/>
    <mergeCell ref="AG26:AG27"/>
    <mergeCell ref="AH28:AH29"/>
    <mergeCell ref="J28:J29"/>
    <mergeCell ref="K28:K29"/>
    <mergeCell ref="L28:L29"/>
    <mergeCell ref="M28:M29"/>
    <mergeCell ref="N28:N29"/>
    <mergeCell ref="O28:O29"/>
    <mergeCell ref="P28:P29"/>
    <mergeCell ref="AG28:AG29"/>
    <mergeCell ref="AH26:AH27"/>
    <mergeCell ref="F22:F23"/>
    <mergeCell ref="AI28:AI29"/>
    <mergeCell ref="AJ28:AJ29"/>
    <mergeCell ref="A32:A33"/>
    <mergeCell ref="B32:B33"/>
    <mergeCell ref="C32:C33"/>
    <mergeCell ref="D32:D33"/>
    <mergeCell ref="E32:E33"/>
    <mergeCell ref="F32:F33"/>
    <mergeCell ref="G32:G33"/>
    <mergeCell ref="I32:I33"/>
    <mergeCell ref="J32:J33"/>
    <mergeCell ref="K32:K33"/>
    <mergeCell ref="L32:L33"/>
    <mergeCell ref="M32:M33"/>
    <mergeCell ref="N32:N33"/>
    <mergeCell ref="O32:O33"/>
    <mergeCell ref="P32:P33"/>
    <mergeCell ref="AG32:AG33"/>
    <mergeCell ref="AH32:AH33"/>
    <mergeCell ref="AI32:AI33"/>
    <mergeCell ref="AJ32:AJ33"/>
    <mergeCell ref="I28:I29"/>
    <mergeCell ref="J26:J27"/>
    <mergeCell ref="P24:P25"/>
    <mergeCell ref="AG24:AG25"/>
    <mergeCell ref="H22:H23"/>
    <mergeCell ref="H24:H25"/>
    <mergeCell ref="A28:A29"/>
    <mergeCell ref="B28:B29"/>
    <mergeCell ref="C28:C29"/>
    <mergeCell ref="D28:D29"/>
    <mergeCell ref="E28:E29"/>
    <mergeCell ref="F28:F29"/>
    <mergeCell ref="G28:G29"/>
    <mergeCell ref="A26:A27"/>
    <mergeCell ref="B26:B27"/>
    <mergeCell ref="C26:C27"/>
    <mergeCell ref="D26:D27"/>
    <mergeCell ref="E26:E27"/>
    <mergeCell ref="F26:F27"/>
    <mergeCell ref="G26:G27"/>
    <mergeCell ref="A24:A25"/>
    <mergeCell ref="B24:B25"/>
    <mergeCell ref="C24:C25"/>
    <mergeCell ref="D24:D25"/>
    <mergeCell ref="E24:E25"/>
    <mergeCell ref="F24:F25"/>
    <mergeCell ref="H16:H17"/>
    <mergeCell ref="I16:I17"/>
    <mergeCell ref="I24:I25"/>
    <mergeCell ref="J24:J25"/>
    <mergeCell ref="K24:K25"/>
    <mergeCell ref="L24:L25"/>
    <mergeCell ref="M24:M25"/>
    <mergeCell ref="N24:N25"/>
    <mergeCell ref="O24:O25"/>
    <mergeCell ref="A11:F11"/>
    <mergeCell ref="G11:P11"/>
    <mergeCell ref="AH24:AH25"/>
    <mergeCell ref="H12:H13"/>
    <mergeCell ref="B53:B54"/>
    <mergeCell ref="C53:C54"/>
    <mergeCell ref="D53:D54"/>
    <mergeCell ref="E53:E54"/>
    <mergeCell ref="F53:F54"/>
    <mergeCell ref="G53:G54"/>
    <mergeCell ref="M53:M54"/>
    <mergeCell ref="H14:H15"/>
    <mergeCell ref="AF12:AF13"/>
    <mergeCell ref="AG12:AG13"/>
    <mergeCell ref="AH12:AH13"/>
    <mergeCell ref="G18:G19"/>
    <mergeCell ref="I18:I19"/>
    <mergeCell ref="M14:M15"/>
    <mergeCell ref="G14:G15"/>
    <mergeCell ref="I14:I15"/>
    <mergeCell ref="J14:J15"/>
    <mergeCell ref="K14:K15"/>
    <mergeCell ref="L14:L15"/>
    <mergeCell ref="G16:G17"/>
    <mergeCell ref="P12:P13"/>
    <mergeCell ref="Q12:Q13"/>
    <mergeCell ref="R12:R13"/>
    <mergeCell ref="S12:S13"/>
    <mergeCell ref="G12:G13"/>
    <mergeCell ref="I12:I13"/>
    <mergeCell ref="J12:J13"/>
    <mergeCell ref="K12:K13"/>
    <mergeCell ref="L12:L13"/>
    <mergeCell ref="M12:M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2:A13"/>
    <mergeCell ref="B12:B13"/>
    <mergeCell ref="C12:C13"/>
    <mergeCell ref="A18:A19"/>
    <mergeCell ref="B18:B19"/>
    <mergeCell ref="C18:C19"/>
    <mergeCell ref="D18:D19"/>
    <mergeCell ref="E18:E19"/>
    <mergeCell ref="F18:F19"/>
    <mergeCell ref="F14:F15"/>
    <mergeCell ref="E16:E17"/>
    <mergeCell ref="F16:F17"/>
    <mergeCell ref="A16:A17"/>
    <mergeCell ref="B16:B17"/>
    <mergeCell ref="C16:C17"/>
    <mergeCell ref="D16:D17"/>
    <mergeCell ref="D12:D13"/>
    <mergeCell ref="E12:E13"/>
    <mergeCell ref="F12:F13"/>
    <mergeCell ref="J16:J17"/>
    <mergeCell ref="K16:K17"/>
    <mergeCell ref="L16:L17"/>
    <mergeCell ref="M16:M17"/>
    <mergeCell ref="AI18:AI19"/>
    <mergeCell ref="AJ18:AJ19"/>
    <mergeCell ref="J18:J19"/>
    <mergeCell ref="K18:K19"/>
    <mergeCell ref="L18:L19"/>
    <mergeCell ref="M18:M19"/>
    <mergeCell ref="N18:N19"/>
    <mergeCell ref="O18:O19"/>
    <mergeCell ref="AI14:AI15"/>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G20:G21"/>
    <mergeCell ref="I20:I21"/>
    <mergeCell ref="J20:J21"/>
    <mergeCell ref="K20:K21"/>
    <mergeCell ref="L20:L21"/>
    <mergeCell ref="I22:I23"/>
    <mergeCell ref="P18:P19"/>
    <mergeCell ref="AG18:AG19"/>
    <mergeCell ref="AH18:AH19"/>
    <mergeCell ref="M22:M23"/>
    <mergeCell ref="N22:N23"/>
    <mergeCell ref="M20:M21"/>
    <mergeCell ref="N20:N21"/>
    <mergeCell ref="O20:O21"/>
    <mergeCell ref="P20:P21"/>
    <mergeCell ref="O22:O23"/>
    <mergeCell ref="P22:P23"/>
    <mergeCell ref="AG20:AG21"/>
    <mergeCell ref="AG22:AG23"/>
    <mergeCell ref="AH20:AH21"/>
    <mergeCell ref="AH22:AH23"/>
    <mergeCell ref="L22:L23"/>
    <mergeCell ref="H18:H19"/>
    <mergeCell ref="H20:H21"/>
    <mergeCell ref="A36:A37"/>
    <mergeCell ref="B36:B37"/>
    <mergeCell ref="C36:C37"/>
    <mergeCell ref="D36:D37"/>
    <mergeCell ref="E36:E37"/>
    <mergeCell ref="A44:A45"/>
    <mergeCell ref="G22:G23"/>
    <mergeCell ref="M50:M51"/>
    <mergeCell ref="N50:N51"/>
    <mergeCell ref="G50:G51"/>
    <mergeCell ref="I50:I51"/>
    <mergeCell ref="J50:J51"/>
    <mergeCell ref="K50:K51"/>
    <mergeCell ref="L50:L51"/>
    <mergeCell ref="G48:G49"/>
    <mergeCell ref="I48:I49"/>
    <mergeCell ref="J48:J49"/>
    <mergeCell ref="K48:K49"/>
    <mergeCell ref="J22:J23"/>
    <mergeCell ref="K22:K23"/>
    <mergeCell ref="L48:L49"/>
    <mergeCell ref="M48:M49"/>
    <mergeCell ref="N48:N49"/>
    <mergeCell ref="G24:G25"/>
    <mergeCell ref="A20:A21"/>
    <mergeCell ref="B20:B21"/>
    <mergeCell ref="C20:C21"/>
    <mergeCell ref="D20:D21"/>
    <mergeCell ref="E20:E21"/>
    <mergeCell ref="A22:A23"/>
    <mergeCell ref="B22:B23"/>
    <mergeCell ref="C22:C23"/>
    <mergeCell ref="D22:D23"/>
    <mergeCell ref="E22:E23"/>
    <mergeCell ref="A50:A51"/>
    <mergeCell ref="B50:B51"/>
    <mergeCell ref="C50:C51"/>
    <mergeCell ref="D50:D51"/>
    <mergeCell ref="E50:E51"/>
    <mergeCell ref="AG50:AG51"/>
    <mergeCell ref="AH48:AH49"/>
    <mergeCell ref="AH50:AH51"/>
    <mergeCell ref="AG48:AG49"/>
    <mergeCell ref="A48:A49"/>
    <mergeCell ref="B48:B49"/>
    <mergeCell ref="C48:C49"/>
    <mergeCell ref="D48:D49"/>
    <mergeCell ref="E48:E49"/>
    <mergeCell ref="O50:O51"/>
    <mergeCell ref="P50:P51"/>
    <mergeCell ref="O48:O49"/>
    <mergeCell ref="P48:P49"/>
    <mergeCell ref="AI20:AI21"/>
    <mergeCell ref="AI22:AI23"/>
    <mergeCell ref="AI48:AI49"/>
    <mergeCell ref="AI50:AI51"/>
    <mergeCell ref="AJ20:AJ21"/>
    <mergeCell ref="AJ22:AJ23"/>
    <mergeCell ref="AJ48:AJ49"/>
    <mergeCell ref="AJ50:AJ51"/>
    <mergeCell ref="AI24:AI25"/>
    <mergeCell ref="AJ24:AJ25"/>
    <mergeCell ref="AJ38:AJ39"/>
    <mergeCell ref="AI26:AI27"/>
    <mergeCell ref="AJ26:AJ27"/>
    <mergeCell ref="AJ30:AJ31"/>
    <mergeCell ref="AJ44:AJ45"/>
    <mergeCell ref="AJ42:AJ43"/>
  </mergeCells>
  <conditionalFormatting sqref="J4">
    <cfRule type="cellIs" dxfId="165" priority="16" operator="lessThanOrEqual">
      <formula>$C$4</formula>
    </cfRule>
  </conditionalFormatting>
  <conditionalFormatting sqref="K6 S14:S51">
    <cfRule type="cellIs" dxfId="164" priority="17" operator="greaterThanOrEqual">
      <formula>$C$5</formula>
    </cfRule>
    <cfRule type="cellIs" dxfId="163" priority="18" operator="lessThanOrEqual">
      <formula>$C$4</formula>
    </cfRule>
    <cfRule type="cellIs" dxfId="162" priority="19" operator="between">
      <formula>$C$5</formula>
      <formula>$C$4</formula>
    </cfRule>
  </conditionalFormatting>
  <conditionalFormatting sqref="Q6">
    <cfRule type="cellIs" dxfId="161" priority="13" operator="greaterThanOrEqual">
      <formula>$J$5</formula>
    </cfRule>
    <cfRule type="cellIs" dxfId="160" priority="14" operator="lessThanOrEqual">
      <formula>$J$4</formula>
    </cfRule>
    <cfRule type="cellIs" dxfId="159" priority="15" operator="between">
      <formula>$J$5</formula>
      <formula>$J$4</formula>
    </cfRule>
  </conditionalFormatting>
  <conditionalFormatting sqref="X6">
    <cfRule type="cellIs" dxfId="158" priority="7" operator="greaterThanOrEqual">
      <formula>$J$5</formula>
    </cfRule>
    <cfRule type="cellIs" dxfId="157" priority="8" operator="lessThanOrEqual">
      <formula>$J$4</formula>
    </cfRule>
    <cfRule type="cellIs" dxfId="156" priority="9" operator="between">
      <formula>$J$5</formula>
      <formula>$J$4</formula>
    </cfRule>
  </conditionalFormatting>
  <conditionalFormatting sqref="AF6">
    <cfRule type="cellIs" dxfId="155" priority="4" operator="greaterThanOrEqual">
      <formula>$J$5</formula>
    </cfRule>
    <cfRule type="cellIs" dxfId="154" priority="5" operator="lessThanOrEqual">
      <formula>$J$4</formula>
    </cfRule>
    <cfRule type="cellIs" dxfId="153" priority="6" operator="between">
      <formula>$J$5</formula>
      <formula>$J$4</formula>
    </cfRule>
  </conditionalFormatting>
  <conditionalFormatting sqref="AI6">
    <cfRule type="cellIs" dxfId="152" priority="1" operator="greaterThanOrEqual">
      <formula>$J$5</formula>
    </cfRule>
    <cfRule type="cellIs" dxfId="151" priority="2" operator="lessThanOrEqual">
      <formula>$J$4</formula>
    </cfRule>
    <cfRule type="cellIs" dxfId="150" priority="3" operator="between">
      <formula>$J$5</formula>
      <formula>$J$4</formula>
    </cfRule>
  </conditionalFormatting>
  <dataValidations xWindow="544" yWindow="871" count="11">
    <dataValidation type="decimal" allowBlank="1" showInputMessage="1" showErrorMessage="1" prompt="valor porcentual de la activida - Indique el peso porcentual de la actividad dentro del proyecto" sqref="R14 R22 R20 R50 R18 R24 R16 R28 R32 R26 R30 R36 R46 R44 R42 R40 R38 R48" xr:uid="{1AED2952-3E90-45E5-BC56-145B909ED0DC}">
      <formula1>0</formula1>
      <formula2>1</formula2>
    </dataValidation>
    <dataValidation type="decimal" allowBlank="1" showInputMessage="1" showErrorMessage="1" prompt="campo calculado  - indica el % de avance  que aporta la activadad a todo el proyecto" sqref="R21 R19 R17 R51 R23 R15 R27 R25 R29 R31 R33:R35 R39 R45 R43 R41 R37 R47 R49" xr:uid="{D841A9DE-C9DD-416F-B9A3-5229870126BB}">
      <formula1>0</formula1>
      <formula2>1</formula2>
    </dataValidation>
    <dataValidation type="decimal" allowBlank="1" showInputMessage="1" showErrorMessage="1" prompt="% de avance en la actividad - indique el % programado de avance durante esta semana_x000a_" sqref="U48:AF48 T49:AF51 T14:AF47" xr:uid="{B2FE00B5-C282-4B1B-B483-749FF412591A}">
      <formula1>0</formula1>
      <formula2>1</formula2>
    </dataValidation>
    <dataValidation type="list" allowBlank="1" showInputMessage="1" showErrorMessage="1" sqref="H48 H26:H30 H50 G50:G51 H46 H44 H42 H40 H38 H36 H24 H22 H20 H18 H14 H16 H32 G14:G48 H34" xr:uid="{FA8E41AC-4137-47F3-B9E5-9D66A140D9E7}">
      <formula1>$G$55:$G$114</formula1>
    </dataValidation>
    <dataValidation type="list" allowBlank="1" showInputMessage="1" showErrorMessage="1" sqref="N48 N16:N17 N22:N25 N50" xr:uid="{E6F04590-E134-4E68-933A-92E4C562A9A9}">
      <formula1>$M$55:$M$57</formula1>
    </dataValidation>
    <dataValidation type="list" allowBlank="1" showInputMessage="1" showErrorMessage="1" sqref="N18:N21 N14:N15 N26:N47" xr:uid="{2CACE8DC-A779-4735-99B5-424F5933B832}">
      <formula1>$N$52:$N$52</formula1>
    </dataValidation>
    <dataValidation type="list" allowBlank="1" showInputMessage="1" showErrorMessage="1" sqref="B14:B51" xr:uid="{0BA6C7FF-579F-425A-8747-C84754A944FE}">
      <formula1>$B$55:$B$62</formula1>
    </dataValidation>
    <dataValidation type="list" allowBlank="1" showInputMessage="1" showErrorMessage="1" sqref="C14:C51" xr:uid="{095F15E4-27EB-47F2-9232-919D5385EA7D}">
      <formula1>$C$55:$C$64</formula1>
    </dataValidation>
    <dataValidation type="list" allowBlank="1" showInputMessage="1" showErrorMessage="1" sqref="D14:D51" xr:uid="{A3FFDDFA-56BD-415A-8BB0-C0E3A46E642B}">
      <formula1>$D$55:$D$61</formula1>
    </dataValidation>
    <dataValidation type="list" allowBlank="1" showInputMessage="1" showErrorMessage="1" sqref="E14:E51" xr:uid="{81A6A039-FD7D-436F-84DF-7D913C0EE49C}">
      <formula1>$E$55:$E$73</formula1>
    </dataValidation>
    <dataValidation allowBlank="1" showErrorMessage="1" sqref="S14:S51" xr:uid="{332C594D-407A-47A3-A4CB-2F28C5DB408E}"/>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70" zoomScaleNormal="10" zoomScaleSheetLayoutView="70" zoomScalePageLayoutView="48" workbookViewId="0">
      <selection activeCell="E14" sqref="E14:E15"/>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26953125" style="1" customWidth="1"/>
    <col min="16" max="18" width="13.26953125" style="1" hidden="1" customWidth="1"/>
    <col min="19" max="31" width="9.54296875" style="1" hidden="1" customWidth="1"/>
    <col min="32" max="32" width="35.7265625" style="1" hidden="1" customWidth="1"/>
    <col min="33" max="35" width="42.54296875" style="1" hidden="1" customWidth="1"/>
    <col min="36" max="16384" width="12.54296875" style="1"/>
  </cols>
  <sheetData>
    <row r="1" spans="1:35" s="58" customFormat="1" ht="15" customHeight="1" x14ac:dyDescent="0.35">
      <c r="A1" s="338"/>
      <c r="B1" s="339"/>
      <c r="C1" s="340"/>
      <c r="D1" s="284" t="s">
        <v>830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row>
    <row r="2" spans="1:35"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row>
    <row r="3" spans="1:35" s="58" customFormat="1" ht="60" customHeight="1" thickBot="1" x14ac:dyDescent="0.4">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row>
    <row r="4" spans="1:35" s="58" customFormat="1" ht="60" hidden="1" customHeight="1" x14ac:dyDescent="0.35">
      <c r="A4" s="337" t="s">
        <v>35</v>
      </c>
      <c r="B4" s="8" t="s">
        <v>36</v>
      </c>
      <c r="C4" s="10">
        <v>0.7</v>
      </c>
      <c r="D4" s="10"/>
      <c r="E4" s="10"/>
      <c r="F4" s="9"/>
      <c r="G4" s="337" t="s">
        <v>37</v>
      </c>
      <c r="H4" s="8" t="s">
        <v>36</v>
      </c>
      <c r="I4" s="10">
        <v>0.7</v>
      </c>
      <c r="J4" s="59"/>
      <c r="K4" s="60"/>
      <c r="L4" s="60"/>
      <c r="M4" s="60"/>
      <c r="N4" s="60"/>
      <c r="O4" s="60"/>
      <c r="P4" s="60"/>
      <c r="Q4" s="60"/>
      <c r="R4" s="60"/>
      <c r="S4" s="60"/>
      <c r="T4" s="60"/>
      <c r="U4" s="60"/>
      <c r="V4" s="60"/>
      <c r="W4" s="60"/>
      <c r="X4" s="60"/>
      <c r="Y4" s="60"/>
      <c r="Z4" s="60"/>
      <c r="AA4" s="60"/>
      <c r="AB4" s="60"/>
      <c r="AC4" s="60"/>
      <c r="AD4" s="60"/>
      <c r="AE4" s="60"/>
      <c r="AF4" s="60"/>
      <c r="AG4" s="60"/>
    </row>
    <row r="5" spans="1:35" s="58" customFormat="1" ht="60" hidden="1" customHeight="1" thickBot="1" x14ac:dyDescent="0.4">
      <c r="A5" s="337"/>
      <c r="B5" s="8" t="s">
        <v>38</v>
      </c>
      <c r="C5" s="11">
        <v>0.9</v>
      </c>
      <c r="D5" s="11"/>
      <c r="E5" s="11"/>
      <c r="F5" s="11">
        <v>1</v>
      </c>
      <c r="G5" s="337"/>
      <c r="H5" s="8" t="s">
        <v>38</v>
      </c>
      <c r="I5" s="11">
        <v>0.95</v>
      </c>
      <c r="J5" s="59"/>
      <c r="K5" s="60"/>
      <c r="L5" s="60"/>
      <c r="M5" s="60"/>
      <c r="N5" s="60"/>
      <c r="O5" s="60"/>
      <c r="P5" s="60"/>
      <c r="Q5" s="60"/>
      <c r="R5" s="60"/>
      <c r="S5" s="60"/>
      <c r="T5" s="60"/>
      <c r="U5" s="60"/>
      <c r="V5" s="60"/>
      <c r="W5" s="60"/>
      <c r="X5" s="60"/>
      <c r="Y5" s="60"/>
      <c r="Z5" s="60"/>
      <c r="AA5" s="60"/>
      <c r="AB5" s="60"/>
      <c r="AC5" s="60"/>
      <c r="AD5" s="60"/>
      <c r="AE5" s="60"/>
      <c r="AF5" s="60"/>
      <c r="AG5" s="60"/>
    </row>
    <row r="6" spans="1:35" ht="20.149999999999999" hidden="1" customHeight="1" x14ac:dyDescent="0.35">
      <c r="A6" s="442" t="s">
        <v>39</v>
      </c>
      <c r="B6" s="442"/>
      <c r="C6" s="407" t="s">
        <v>111</v>
      </c>
      <c r="D6" s="407"/>
      <c r="E6" s="443" t="s">
        <v>41</v>
      </c>
      <c r="F6" s="443"/>
      <c r="G6" s="409">
        <f>+Q15+Q17+Q19+Q21+Q23+Q25</f>
        <v>0.99999999999999989</v>
      </c>
      <c r="H6" s="443" t="s">
        <v>42</v>
      </c>
      <c r="I6" s="443"/>
      <c r="J6" s="445">
        <f>(Q14+Q16+Q18+Q20+Q22+Q24)/M6</f>
        <v>1.7543859649122806E-2</v>
      </c>
      <c r="K6" s="448" t="s">
        <v>43</v>
      </c>
      <c r="L6" s="449"/>
      <c r="M6" s="334">
        <v>0.95</v>
      </c>
      <c r="N6" s="442" t="s">
        <v>44</v>
      </c>
      <c r="O6" s="442"/>
      <c r="P6" s="285" t="e">
        <f>(SUM(S14:V14,S16:V16,S18:V18,S20:V20,S22:V22,S24:V24)/SUM(S15:V15,S17:V17,S19:V19,S21:V21,S23:V23,S25:V25))/M6</f>
        <v>#DIV/0!</v>
      </c>
      <c r="Q6" s="324"/>
      <c r="R6" s="286"/>
      <c r="S6" s="437" t="s">
        <v>45</v>
      </c>
      <c r="T6" s="454"/>
      <c r="U6" s="454"/>
      <c r="V6" s="455"/>
      <c r="W6" s="285" t="e">
        <f>SUM(W14:Y14,W16:Y16,W18:Y18,W20:Y20,W22:Y22,W24:Y24)/SUM(W15:Y15,W17:Y17,W19:Y19,W21:Y21,W23:Y23,W25:Y25)/M6</f>
        <v>#DIV/0!</v>
      </c>
      <c r="X6" s="324"/>
      <c r="Y6" s="324"/>
      <c r="Z6" s="286"/>
      <c r="AA6" s="437" t="s">
        <v>46</v>
      </c>
      <c r="AB6" s="454"/>
      <c r="AC6" s="454"/>
      <c r="AD6" s="455"/>
      <c r="AE6" s="285" t="e">
        <f>SUM(AB14,AB16,AB18,AB20,AB22,AB24)/SUM(AB15,AB17,AB19,AB21,AB23,AB25)/M6</f>
        <v>#DIV/0!</v>
      </c>
      <c r="AF6" s="286"/>
      <c r="AG6" s="437" t="s">
        <v>47</v>
      </c>
      <c r="AH6" s="285" t="e">
        <f>SUM(AE14,AE16,AE18,AE20,AE22,AE24)/SUM(AE15,AE17,AE19,AE21,AE23,AE25)/M6</f>
        <v>#DIV/0!</v>
      </c>
    </row>
    <row r="7" spans="1:35" ht="15" hidden="1" customHeight="1" x14ac:dyDescent="0.35">
      <c r="A7" s="442"/>
      <c r="B7" s="442"/>
      <c r="C7" s="407"/>
      <c r="D7" s="407"/>
      <c r="E7" s="443"/>
      <c r="F7" s="443"/>
      <c r="G7" s="410"/>
      <c r="H7" s="443"/>
      <c r="I7" s="443"/>
      <c r="J7" s="446"/>
      <c r="K7" s="450"/>
      <c r="L7" s="451"/>
      <c r="M7" s="335"/>
      <c r="N7" s="442"/>
      <c r="O7" s="442"/>
      <c r="P7" s="287"/>
      <c r="Q7" s="325"/>
      <c r="R7" s="288"/>
      <c r="S7" s="438"/>
      <c r="T7" s="456"/>
      <c r="U7" s="456"/>
      <c r="V7" s="457"/>
      <c r="W7" s="287"/>
      <c r="X7" s="325"/>
      <c r="Y7" s="325"/>
      <c r="Z7" s="288"/>
      <c r="AA7" s="438"/>
      <c r="AB7" s="456"/>
      <c r="AC7" s="456"/>
      <c r="AD7" s="457"/>
      <c r="AE7" s="287"/>
      <c r="AF7" s="288"/>
      <c r="AG7" s="438"/>
      <c r="AH7" s="287"/>
    </row>
    <row r="8" spans="1:35" ht="25.4" hidden="1" customHeight="1" x14ac:dyDescent="0.35">
      <c r="A8" s="442"/>
      <c r="B8" s="442"/>
      <c r="C8" s="407"/>
      <c r="D8" s="407"/>
      <c r="E8" s="443"/>
      <c r="F8" s="443"/>
      <c r="G8" s="410"/>
      <c r="H8" s="443"/>
      <c r="I8" s="443"/>
      <c r="J8" s="446"/>
      <c r="K8" s="450"/>
      <c r="L8" s="451"/>
      <c r="M8" s="335"/>
      <c r="N8" s="442"/>
      <c r="O8" s="442"/>
      <c r="P8" s="287"/>
      <c r="Q8" s="325"/>
      <c r="R8" s="288"/>
      <c r="S8" s="438"/>
      <c r="T8" s="456"/>
      <c r="U8" s="456"/>
      <c r="V8" s="457"/>
      <c r="W8" s="287"/>
      <c r="X8" s="325"/>
      <c r="Y8" s="325"/>
      <c r="Z8" s="288"/>
      <c r="AA8" s="438"/>
      <c r="AB8" s="456"/>
      <c r="AC8" s="456"/>
      <c r="AD8" s="457"/>
      <c r="AE8" s="287"/>
      <c r="AF8" s="288"/>
      <c r="AG8" s="438"/>
      <c r="AH8" s="287"/>
    </row>
    <row r="9" spans="1:35" ht="25.4" hidden="1" customHeight="1" x14ac:dyDescent="0.35">
      <c r="A9" s="442"/>
      <c r="B9" s="442"/>
      <c r="C9" s="407"/>
      <c r="D9" s="407"/>
      <c r="E9" s="443"/>
      <c r="F9" s="443"/>
      <c r="G9" s="410"/>
      <c r="H9" s="443"/>
      <c r="I9" s="443"/>
      <c r="J9" s="446"/>
      <c r="K9" s="450"/>
      <c r="L9" s="451"/>
      <c r="M9" s="335"/>
      <c r="N9" s="442"/>
      <c r="O9" s="442"/>
      <c r="P9" s="287"/>
      <c r="Q9" s="325"/>
      <c r="R9" s="288"/>
      <c r="S9" s="438"/>
      <c r="T9" s="456"/>
      <c r="U9" s="456"/>
      <c r="V9" s="457"/>
      <c r="W9" s="287"/>
      <c r="X9" s="325"/>
      <c r="Y9" s="325"/>
      <c r="Z9" s="288"/>
      <c r="AA9" s="438"/>
      <c r="AB9" s="456"/>
      <c r="AC9" s="456"/>
      <c r="AD9" s="457"/>
      <c r="AE9" s="287"/>
      <c r="AF9" s="288"/>
      <c r="AG9" s="438"/>
      <c r="AH9" s="287"/>
    </row>
    <row r="10" spans="1:35" ht="15" hidden="1" customHeight="1" thickBot="1" x14ac:dyDescent="0.4">
      <c r="A10" s="442"/>
      <c r="B10" s="442"/>
      <c r="C10" s="407"/>
      <c r="D10" s="407"/>
      <c r="E10" s="443"/>
      <c r="F10" s="443"/>
      <c r="G10" s="444"/>
      <c r="H10" s="443"/>
      <c r="I10" s="443"/>
      <c r="J10" s="447"/>
      <c r="K10" s="452"/>
      <c r="L10" s="453"/>
      <c r="M10" s="336"/>
      <c r="N10" s="442"/>
      <c r="O10" s="442"/>
      <c r="P10" s="289"/>
      <c r="Q10" s="326"/>
      <c r="R10" s="290"/>
      <c r="S10" s="439"/>
      <c r="T10" s="458"/>
      <c r="U10" s="458"/>
      <c r="V10" s="459"/>
      <c r="W10" s="289"/>
      <c r="X10" s="326"/>
      <c r="Y10" s="326"/>
      <c r="Z10" s="290"/>
      <c r="AA10" s="439"/>
      <c r="AB10" s="458"/>
      <c r="AC10" s="458"/>
      <c r="AD10" s="459"/>
      <c r="AE10" s="289"/>
      <c r="AF10" s="290"/>
      <c r="AG10" s="439"/>
      <c r="AH10" s="289"/>
    </row>
    <row r="11" spans="1:35" s="12" customFormat="1" ht="40.4" customHeight="1" thickBot="1" x14ac:dyDescent="0.4">
      <c r="A11" s="359" t="s">
        <v>48</v>
      </c>
      <c r="B11" s="359"/>
      <c r="C11" s="359"/>
      <c r="D11" s="359"/>
      <c r="E11" s="359"/>
      <c r="F11" s="360"/>
      <c r="G11" s="361" t="s">
        <v>49</v>
      </c>
      <c r="H11" s="362"/>
      <c r="I11" s="362"/>
      <c r="J11" s="362"/>
      <c r="K11" s="362"/>
      <c r="L11" s="362"/>
      <c r="M11" s="362"/>
      <c r="N11" s="362"/>
      <c r="O11" s="363"/>
      <c r="P11" s="304" t="s">
        <v>50</v>
      </c>
      <c r="Q11" s="305"/>
      <c r="R11" s="305"/>
      <c r="S11" s="305"/>
      <c r="T11" s="305"/>
      <c r="U11" s="305"/>
      <c r="V11" s="305"/>
      <c r="W11" s="305"/>
      <c r="X11" s="305"/>
      <c r="Y11" s="305"/>
      <c r="Z11" s="305"/>
      <c r="AA11" s="305"/>
      <c r="AB11" s="305"/>
      <c r="AC11" s="305"/>
      <c r="AD11" s="305"/>
      <c r="AE11" s="306"/>
      <c r="AF11" s="304" t="s">
        <v>51</v>
      </c>
      <c r="AG11" s="305"/>
      <c r="AH11" s="305"/>
      <c r="AI11" s="305"/>
    </row>
    <row r="12" spans="1:35" ht="39" customHeight="1" x14ac:dyDescent="0.35">
      <c r="A12" s="364" t="s">
        <v>52</v>
      </c>
      <c r="B12" s="366" t="s">
        <v>53</v>
      </c>
      <c r="C12" s="366" t="s">
        <v>54</v>
      </c>
      <c r="D12" s="366" t="s">
        <v>55</v>
      </c>
      <c r="E12" s="366" t="s">
        <v>56</v>
      </c>
      <c r="F12" s="366" t="s">
        <v>31</v>
      </c>
      <c r="G12" s="366" t="s">
        <v>57</v>
      </c>
      <c r="H12" s="366" t="s">
        <v>194</v>
      </c>
      <c r="I12" s="366" t="s">
        <v>171</v>
      </c>
      <c r="J12" s="366" t="s">
        <v>60</v>
      </c>
      <c r="K12" s="366" t="s">
        <v>61</v>
      </c>
      <c r="L12" s="366" t="s">
        <v>62</v>
      </c>
      <c r="M12" s="366" t="s">
        <v>63</v>
      </c>
      <c r="N12" s="366" t="s">
        <v>64</v>
      </c>
      <c r="O12" s="366" t="s">
        <v>65</v>
      </c>
      <c r="P12" s="315" t="s">
        <v>66</v>
      </c>
      <c r="Q12" s="316" t="s">
        <v>67</v>
      </c>
      <c r="R12" s="317" t="s">
        <v>68</v>
      </c>
      <c r="S12" s="313" t="s">
        <v>69</v>
      </c>
      <c r="T12" s="313" t="s">
        <v>70</v>
      </c>
      <c r="U12" s="313" t="s">
        <v>71</v>
      </c>
      <c r="V12" s="313" t="s">
        <v>72</v>
      </c>
      <c r="W12" s="313" t="s">
        <v>73</v>
      </c>
      <c r="X12" s="313" t="s">
        <v>74</v>
      </c>
      <c r="Y12" s="313" t="s">
        <v>75</v>
      </c>
      <c r="Z12" s="313" t="s">
        <v>76</v>
      </c>
      <c r="AA12" s="313" t="s">
        <v>77</v>
      </c>
      <c r="AB12" s="313" t="s">
        <v>78</v>
      </c>
      <c r="AC12" s="313" t="s">
        <v>79</v>
      </c>
      <c r="AD12" s="313" t="s">
        <v>80</v>
      </c>
      <c r="AE12" s="309" t="s">
        <v>81</v>
      </c>
      <c r="AF12" s="401" t="s">
        <v>82</v>
      </c>
      <c r="AG12" s="401" t="s">
        <v>83</v>
      </c>
      <c r="AH12" s="401" t="s">
        <v>84</v>
      </c>
      <c r="AI12" s="401" t="s">
        <v>85</v>
      </c>
    </row>
    <row r="13" spans="1:35" ht="60" customHeight="1" thickBot="1" x14ac:dyDescent="0.4">
      <c r="A13" s="365"/>
      <c r="B13" s="365"/>
      <c r="C13" s="365"/>
      <c r="D13" s="365"/>
      <c r="E13" s="365"/>
      <c r="F13" s="365"/>
      <c r="G13" s="365"/>
      <c r="H13" s="365"/>
      <c r="I13" s="365"/>
      <c r="J13" s="365"/>
      <c r="K13" s="365"/>
      <c r="L13" s="365"/>
      <c r="M13" s="365"/>
      <c r="N13" s="365"/>
      <c r="O13" s="365"/>
      <c r="P13" s="315"/>
      <c r="Q13" s="316"/>
      <c r="R13" s="317"/>
      <c r="S13" s="314"/>
      <c r="T13" s="314"/>
      <c r="U13" s="314"/>
      <c r="V13" s="314"/>
      <c r="W13" s="314"/>
      <c r="X13" s="314"/>
      <c r="Y13" s="314"/>
      <c r="Z13" s="314"/>
      <c r="AA13" s="314"/>
      <c r="AB13" s="314"/>
      <c r="AC13" s="314"/>
      <c r="AD13" s="314"/>
      <c r="AE13" s="310"/>
      <c r="AF13" s="401"/>
      <c r="AG13" s="401"/>
      <c r="AH13" s="401"/>
      <c r="AI13" s="401"/>
    </row>
    <row r="14" spans="1:35" ht="85.5" customHeight="1" thickBot="1" x14ac:dyDescent="0.4">
      <c r="A14" s="278">
        <v>1</v>
      </c>
      <c r="B14" s="278" t="s">
        <v>693</v>
      </c>
      <c r="C14" s="278" t="s">
        <v>710</v>
      </c>
      <c r="D14" s="278" t="s">
        <v>711</v>
      </c>
      <c r="E14" s="278" t="s">
        <v>110</v>
      </c>
      <c r="F14" s="354"/>
      <c r="G14" s="278" t="s">
        <v>111</v>
      </c>
      <c r="H14" s="278" t="s">
        <v>195</v>
      </c>
      <c r="I14" s="278" t="s">
        <v>196</v>
      </c>
      <c r="J14" s="278" t="s">
        <v>197</v>
      </c>
      <c r="K14" s="348" t="s">
        <v>198</v>
      </c>
      <c r="L14" s="348" t="s">
        <v>199</v>
      </c>
      <c r="M14" s="348" t="s">
        <v>93</v>
      </c>
      <c r="N14" s="381">
        <v>45292</v>
      </c>
      <c r="O14" s="381">
        <v>45657</v>
      </c>
      <c r="P14" s="62" t="s">
        <v>94</v>
      </c>
      <c r="Q14" s="53">
        <f>+(Q15*R14)</f>
        <v>0</v>
      </c>
      <c r="R14" s="68">
        <f t="shared" ref="R14:R25" si="0">SUM(S14:AE14)</f>
        <v>0</v>
      </c>
      <c r="S14" s="43"/>
      <c r="T14" s="43"/>
      <c r="U14" s="43"/>
      <c r="V14" s="43"/>
      <c r="W14" s="43"/>
      <c r="X14" s="43"/>
      <c r="Y14" s="43"/>
      <c r="Z14" s="43"/>
      <c r="AA14" s="44"/>
      <c r="AB14" s="44"/>
      <c r="AC14" s="44"/>
      <c r="AD14" s="44"/>
      <c r="AE14" s="44"/>
      <c r="AF14" s="374"/>
      <c r="AG14" s="433"/>
      <c r="AH14" s="433"/>
      <c r="AI14" s="440"/>
    </row>
    <row r="15" spans="1:35" ht="85.5" customHeight="1" thickBot="1" x14ac:dyDescent="0.4">
      <c r="A15" s="279"/>
      <c r="B15" s="279"/>
      <c r="C15" s="279"/>
      <c r="D15" s="279"/>
      <c r="E15" s="279"/>
      <c r="F15" s="358"/>
      <c r="G15" s="279"/>
      <c r="H15" s="279"/>
      <c r="I15" s="279"/>
      <c r="J15" s="279"/>
      <c r="K15" s="349"/>
      <c r="L15" s="349"/>
      <c r="M15" s="349"/>
      <c r="N15" s="381"/>
      <c r="O15" s="381"/>
      <c r="P15" s="62" t="s">
        <v>99</v>
      </c>
      <c r="Q15" s="52">
        <f>100%/6</f>
        <v>0.16666666666666666</v>
      </c>
      <c r="R15" s="68">
        <f t="shared" si="0"/>
        <v>0</v>
      </c>
      <c r="S15" s="42"/>
      <c r="T15" s="42"/>
      <c r="U15" s="42"/>
      <c r="V15" s="42"/>
      <c r="W15" s="42"/>
      <c r="X15" s="42"/>
      <c r="Y15" s="42"/>
      <c r="Z15" s="42"/>
      <c r="AA15" s="42"/>
      <c r="AB15" s="42"/>
      <c r="AC15" s="42"/>
      <c r="AD15" s="42"/>
      <c r="AE15" s="42"/>
      <c r="AF15" s="375"/>
      <c r="AG15" s="434"/>
      <c r="AH15" s="434"/>
      <c r="AI15" s="441"/>
    </row>
    <row r="16" spans="1:35" ht="85.5" customHeight="1" thickBot="1" x14ac:dyDescent="0.4">
      <c r="A16" s="278">
        <v>2</v>
      </c>
      <c r="B16" s="278" t="s">
        <v>693</v>
      </c>
      <c r="C16" s="278" t="s">
        <v>710</v>
      </c>
      <c r="D16" s="278" t="s">
        <v>711</v>
      </c>
      <c r="E16" s="278" t="s">
        <v>110</v>
      </c>
      <c r="F16" s="354"/>
      <c r="G16" s="278" t="s">
        <v>111</v>
      </c>
      <c r="H16" s="278" t="s">
        <v>200</v>
      </c>
      <c r="I16" s="278" t="s">
        <v>201</v>
      </c>
      <c r="J16" s="278" t="s">
        <v>197</v>
      </c>
      <c r="K16" s="348" t="s">
        <v>198</v>
      </c>
      <c r="L16" s="348" t="s">
        <v>199</v>
      </c>
      <c r="M16" s="348" t="s">
        <v>93</v>
      </c>
      <c r="N16" s="381">
        <v>45292</v>
      </c>
      <c r="O16" s="381">
        <v>45657</v>
      </c>
      <c r="P16" s="62" t="s">
        <v>94</v>
      </c>
      <c r="Q16" s="53">
        <f>+(Q17*R16)</f>
        <v>0</v>
      </c>
      <c r="R16" s="68">
        <f t="shared" si="0"/>
        <v>0</v>
      </c>
      <c r="S16" s="43"/>
      <c r="T16" s="43"/>
      <c r="U16" s="43"/>
      <c r="V16" s="43"/>
      <c r="W16" s="43"/>
      <c r="X16" s="43"/>
      <c r="Y16" s="43"/>
      <c r="Z16" s="43"/>
      <c r="AA16" s="44"/>
      <c r="AB16" s="44"/>
      <c r="AC16" s="44"/>
      <c r="AD16" s="44"/>
      <c r="AE16" s="44"/>
      <c r="AF16" s="374"/>
      <c r="AG16" s="433"/>
      <c r="AH16" s="435"/>
      <c r="AI16" s="440"/>
    </row>
    <row r="17" spans="1:35" ht="85.5" customHeight="1" thickBot="1" x14ac:dyDescent="0.4">
      <c r="A17" s="279"/>
      <c r="B17" s="279"/>
      <c r="C17" s="279"/>
      <c r="D17" s="279"/>
      <c r="E17" s="279"/>
      <c r="F17" s="355"/>
      <c r="G17" s="279"/>
      <c r="H17" s="279"/>
      <c r="I17" s="279"/>
      <c r="J17" s="279"/>
      <c r="K17" s="349"/>
      <c r="L17" s="349"/>
      <c r="M17" s="349"/>
      <c r="N17" s="381"/>
      <c r="O17" s="381"/>
      <c r="P17" s="62" t="s">
        <v>99</v>
      </c>
      <c r="Q17" s="52">
        <f>100%/6</f>
        <v>0.16666666666666666</v>
      </c>
      <c r="R17" s="68">
        <f t="shared" si="0"/>
        <v>0</v>
      </c>
      <c r="S17" s="42"/>
      <c r="T17" s="42"/>
      <c r="U17" s="42"/>
      <c r="V17" s="42"/>
      <c r="W17" s="42"/>
      <c r="X17" s="42"/>
      <c r="Y17" s="42"/>
      <c r="Z17" s="42"/>
      <c r="AA17" s="42"/>
      <c r="AB17" s="42"/>
      <c r="AC17" s="42"/>
      <c r="AD17" s="42"/>
      <c r="AE17" s="42"/>
      <c r="AF17" s="377"/>
      <c r="AG17" s="434"/>
      <c r="AH17" s="436"/>
      <c r="AI17" s="441"/>
    </row>
    <row r="18" spans="1:35" ht="104.25" customHeight="1" thickBot="1" x14ac:dyDescent="0.4">
      <c r="A18" s="278">
        <v>3</v>
      </c>
      <c r="B18" s="278" t="s">
        <v>693</v>
      </c>
      <c r="C18" s="278" t="s">
        <v>710</v>
      </c>
      <c r="D18" s="278" t="s">
        <v>711</v>
      </c>
      <c r="E18" s="278" t="s">
        <v>110</v>
      </c>
      <c r="F18" s="354"/>
      <c r="G18" s="278" t="s">
        <v>111</v>
      </c>
      <c r="H18" s="278" t="s">
        <v>202</v>
      </c>
      <c r="I18" s="278" t="s">
        <v>203</v>
      </c>
      <c r="J18" s="278" t="s">
        <v>197</v>
      </c>
      <c r="K18" s="348" t="s">
        <v>198</v>
      </c>
      <c r="L18" s="348" t="s">
        <v>199</v>
      </c>
      <c r="M18" s="348" t="s">
        <v>93</v>
      </c>
      <c r="N18" s="381">
        <v>45292</v>
      </c>
      <c r="O18" s="381">
        <v>45657</v>
      </c>
      <c r="P18" s="62" t="s">
        <v>94</v>
      </c>
      <c r="Q18" s="53">
        <f>+(Q19*R18)</f>
        <v>0</v>
      </c>
      <c r="R18" s="68">
        <f t="shared" si="0"/>
        <v>0</v>
      </c>
      <c r="S18" s="43"/>
      <c r="T18" s="43"/>
      <c r="U18" s="43"/>
      <c r="V18" s="43"/>
      <c r="W18" s="43"/>
      <c r="X18" s="43"/>
      <c r="Y18" s="43"/>
      <c r="Z18" s="43"/>
      <c r="AA18" s="44"/>
      <c r="AB18" s="44"/>
      <c r="AC18" s="44"/>
      <c r="AD18" s="44"/>
      <c r="AE18" s="44"/>
      <c r="AF18" s="374"/>
      <c r="AG18" s="433"/>
      <c r="AH18" s="433"/>
      <c r="AI18" s="440"/>
    </row>
    <row r="19" spans="1:35" ht="104.25" customHeight="1" thickBot="1" x14ac:dyDescent="0.4">
      <c r="A19" s="279"/>
      <c r="B19" s="279"/>
      <c r="C19" s="279"/>
      <c r="D19" s="279"/>
      <c r="E19" s="279"/>
      <c r="F19" s="355"/>
      <c r="G19" s="279"/>
      <c r="H19" s="279"/>
      <c r="I19" s="279"/>
      <c r="J19" s="279"/>
      <c r="K19" s="349"/>
      <c r="L19" s="349"/>
      <c r="M19" s="349"/>
      <c r="N19" s="381"/>
      <c r="O19" s="381"/>
      <c r="P19" s="62" t="s">
        <v>99</v>
      </c>
      <c r="Q19" s="52">
        <f>100%/6</f>
        <v>0.16666666666666666</v>
      </c>
      <c r="R19" s="68">
        <f t="shared" si="0"/>
        <v>0</v>
      </c>
      <c r="S19" s="42"/>
      <c r="T19" s="42"/>
      <c r="U19" s="42"/>
      <c r="V19" s="42"/>
      <c r="W19" s="42"/>
      <c r="X19" s="42"/>
      <c r="Y19" s="42"/>
      <c r="Z19" s="42"/>
      <c r="AA19" s="42"/>
      <c r="AB19" s="42"/>
      <c r="AC19" s="42"/>
      <c r="AD19" s="42"/>
      <c r="AE19" s="42"/>
      <c r="AF19" s="375"/>
      <c r="AG19" s="434"/>
      <c r="AH19" s="434"/>
      <c r="AI19" s="441"/>
    </row>
    <row r="20" spans="1:35" ht="88.5" customHeight="1" thickBot="1" x14ac:dyDescent="0.4">
      <c r="A20" s="278">
        <v>4</v>
      </c>
      <c r="B20" s="278" t="s">
        <v>693</v>
      </c>
      <c r="C20" s="278" t="s">
        <v>710</v>
      </c>
      <c r="D20" s="278" t="s">
        <v>711</v>
      </c>
      <c r="E20" s="278" t="s">
        <v>110</v>
      </c>
      <c r="F20" s="354"/>
      <c r="G20" s="278" t="s">
        <v>111</v>
      </c>
      <c r="H20" s="278" t="s">
        <v>204</v>
      </c>
      <c r="I20" s="278" t="s">
        <v>205</v>
      </c>
      <c r="J20" s="278" t="s">
        <v>197</v>
      </c>
      <c r="K20" s="348" t="s">
        <v>198</v>
      </c>
      <c r="L20" s="348" t="s">
        <v>199</v>
      </c>
      <c r="M20" s="348" t="s">
        <v>93</v>
      </c>
      <c r="N20" s="381">
        <v>45292</v>
      </c>
      <c r="O20" s="381">
        <v>45657</v>
      </c>
      <c r="P20" s="62" t="s">
        <v>94</v>
      </c>
      <c r="Q20" s="53">
        <f>+(Q21*R20)</f>
        <v>0</v>
      </c>
      <c r="R20" s="68">
        <f t="shared" si="0"/>
        <v>0</v>
      </c>
      <c r="S20" s="43"/>
      <c r="T20" s="43"/>
      <c r="U20" s="43"/>
      <c r="V20" s="43"/>
      <c r="W20" s="43"/>
      <c r="X20" s="43"/>
      <c r="Y20" s="43"/>
      <c r="Z20" s="43"/>
      <c r="AA20" s="44"/>
      <c r="AB20" s="44"/>
      <c r="AC20" s="44"/>
      <c r="AD20" s="44"/>
      <c r="AE20" s="44"/>
      <c r="AF20" s="374"/>
      <c r="AG20" s="433"/>
      <c r="AH20" s="433"/>
      <c r="AI20" s="440"/>
    </row>
    <row r="21" spans="1:35" ht="88.5" customHeight="1" thickBot="1" x14ac:dyDescent="0.4">
      <c r="A21" s="279"/>
      <c r="B21" s="279"/>
      <c r="C21" s="279"/>
      <c r="D21" s="279"/>
      <c r="E21" s="279"/>
      <c r="F21" s="355"/>
      <c r="G21" s="279"/>
      <c r="H21" s="279"/>
      <c r="I21" s="279"/>
      <c r="J21" s="279"/>
      <c r="K21" s="349"/>
      <c r="L21" s="349"/>
      <c r="M21" s="349"/>
      <c r="N21" s="381"/>
      <c r="O21" s="381"/>
      <c r="P21" s="62" t="s">
        <v>99</v>
      </c>
      <c r="Q21" s="52">
        <f>100%/6</f>
        <v>0.16666666666666666</v>
      </c>
      <c r="R21" s="68">
        <f t="shared" si="0"/>
        <v>0</v>
      </c>
      <c r="S21" s="92"/>
      <c r="T21" s="92"/>
      <c r="U21" s="92"/>
      <c r="V21" s="42"/>
      <c r="W21" s="42"/>
      <c r="X21" s="42"/>
      <c r="Y21" s="42"/>
      <c r="Z21" s="42"/>
      <c r="AA21" s="42"/>
      <c r="AB21" s="42"/>
      <c r="AC21" s="42"/>
      <c r="AD21" s="42"/>
      <c r="AE21" s="42"/>
      <c r="AF21" s="375"/>
      <c r="AG21" s="434"/>
      <c r="AH21" s="434"/>
      <c r="AI21" s="441"/>
    </row>
    <row r="22" spans="1:35" ht="37.4" customHeight="1" thickBot="1" x14ac:dyDescent="0.4">
      <c r="A22" s="278">
        <v>5</v>
      </c>
      <c r="B22" s="278" t="s">
        <v>693</v>
      </c>
      <c r="C22" s="278" t="s">
        <v>710</v>
      </c>
      <c r="D22" s="278" t="s">
        <v>711</v>
      </c>
      <c r="E22" s="278" t="s">
        <v>110</v>
      </c>
      <c r="F22" s="354"/>
      <c r="G22" s="278" t="s">
        <v>111</v>
      </c>
      <c r="H22" s="278" t="s">
        <v>206</v>
      </c>
      <c r="I22" s="278" t="s">
        <v>207</v>
      </c>
      <c r="J22" s="278" t="s">
        <v>197</v>
      </c>
      <c r="K22" s="348" t="s">
        <v>198</v>
      </c>
      <c r="L22" s="348" t="s">
        <v>199</v>
      </c>
      <c r="M22" s="348" t="s">
        <v>93</v>
      </c>
      <c r="N22" s="381">
        <v>45292</v>
      </c>
      <c r="O22" s="381">
        <v>45657</v>
      </c>
      <c r="P22" s="62" t="s">
        <v>94</v>
      </c>
      <c r="Q22" s="53">
        <f>+(Q23*R22)</f>
        <v>0</v>
      </c>
      <c r="R22" s="68">
        <f t="shared" si="0"/>
        <v>0</v>
      </c>
      <c r="S22" s="92"/>
      <c r="T22" s="92"/>
      <c r="U22" s="92"/>
      <c r="V22" s="43"/>
      <c r="W22" s="43"/>
      <c r="X22" s="43"/>
      <c r="Y22" s="43"/>
      <c r="Z22" s="43"/>
      <c r="AA22" s="44"/>
      <c r="AB22" s="44"/>
      <c r="AC22" s="44"/>
      <c r="AD22" s="44"/>
      <c r="AE22" s="44"/>
      <c r="AF22" s="374"/>
      <c r="AG22" s="433"/>
      <c r="AH22" s="433"/>
      <c r="AI22" s="440"/>
    </row>
    <row r="23" spans="1:35" ht="99.5" customHeight="1" thickBot="1" x14ac:dyDescent="0.4">
      <c r="A23" s="279"/>
      <c r="B23" s="279"/>
      <c r="C23" s="279"/>
      <c r="D23" s="279"/>
      <c r="E23" s="279"/>
      <c r="F23" s="355"/>
      <c r="G23" s="279"/>
      <c r="H23" s="279"/>
      <c r="I23" s="279"/>
      <c r="J23" s="279"/>
      <c r="K23" s="349"/>
      <c r="L23" s="349"/>
      <c r="M23" s="349"/>
      <c r="N23" s="381"/>
      <c r="O23" s="381"/>
      <c r="P23" s="62" t="s">
        <v>99</v>
      </c>
      <c r="Q23" s="52">
        <f>100%/6</f>
        <v>0.16666666666666666</v>
      </c>
      <c r="R23" s="68">
        <f t="shared" si="0"/>
        <v>0</v>
      </c>
      <c r="S23" s="42"/>
      <c r="T23" s="42"/>
      <c r="U23" s="42"/>
      <c r="V23" s="42"/>
      <c r="W23" s="42"/>
      <c r="X23" s="42"/>
      <c r="Y23" s="42"/>
      <c r="Z23" s="42"/>
      <c r="AA23" s="42"/>
      <c r="AB23" s="42"/>
      <c r="AC23" s="42"/>
      <c r="AD23" s="42"/>
      <c r="AE23" s="42"/>
      <c r="AF23" s="375"/>
      <c r="AG23" s="434"/>
      <c r="AH23" s="434"/>
      <c r="AI23" s="441"/>
    </row>
    <row r="24" spans="1:35" ht="50.25" customHeight="1" thickBot="1" x14ac:dyDescent="0.4">
      <c r="A24" s="278">
        <v>6</v>
      </c>
      <c r="B24" s="278" t="s">
        <v>693</v>
      </c>
      <c r="C24" s="278" t="s">
        <v>710</v>
      </c>
      <c r="D24" s="278" t="s">
        <v>711</v>
      </c>
      <c r="E24" s="278" t="s">
        <v>110</v>
      </c>
      <c r="F24" s="354"/>
      <c r="G24" s="278" t="s">
        <v>111</v>
      </c>
      <c r="H24" s="278" t="s">
        <v>208</v>
      </c>
      <c r="I24" s="278" t="s">
        <v>209</v>
      </c>
      <c r="J24" s="278" t="s">
        <v>197</v>
      </c>
      <c r="K24" s="348" t="s">
        <v>198</v>
      </c>
      <c r="L24" s="348" t="s">
        <v>199</v>
      </c>
      <c r="M24" s="348" t="s">
        <v>93</v>
      </c>
      <c r="N24" s="381">
        <v>45292</v>
      </c>
      <c r="O24" s="381">
        <v>45657</v>
      </c>
      <c r="P24" s="62" t="s">
        <v>94</v>
      </c>
      <c r="Q24" s="53">
        <f>+(Q25*R24)</f>
        <v>1.6666666666666666E-2</v>
      </c>
      <c r="R24" s="68">
        <f t="shared" si="0"/>
        <v>0.1</v>
      </c>
      <c r="S24" s="92">
        <v>0.1</v>
      </c>
      <c r="T24" s="92"/>
      <c r="U24" s="92"/>
      <c r="V24" s="43"/>
      <c r="W24" s="43"/>
      <c r="X24" s="43"/>
      <c r="Y24" s="43"/>
      <c r="Z24" s="43"/>
      <c r="AA24" s="44"/>
      <c r="AB24" s="44"/>
      <c r="AC24" s="44"/>
      <c r="AD24" s="44"/>
      <c r="AE24" s="44"/>
      <c r="AF24" s="374"/>
      <c r="AG24" s="433"/>
      <c r="AH24" s="433"/>
      <c r="AI24" s="440"/>
    </row>
    <row r="25" spans="1:35" ht="65.5" customHeight="1" x14ac:dyDescent="0.35">
      <c r="A25" s="279"/>
      <c r="B25" s="279"/>
      <c r="C25" s="279"/>
      <c r="D25" s="279"/>
      <c r="E25" s="279"/>
      <c r="F25" s="355"/>
      <c r="G25" s="279"/>
      <c r="H25" s="279"/>
      <c r="I25" s="279"/>
      <c r="J25" s="279"/>
      <c r="K25" s="349"/>
      <c r="L25" s="349"/>
      <c r="M25" s="349"/>
      <c r="N25" s="381"/>
      <c r="O25" s="381"/>
      <c r="P25" s="62" t="s">
        <v>99</v>
      </c>
      <c r="Q25" s="52">
        <f>100%/6</f>
        <v>0.16666666666666666</v>
      </c>
      <c r="R25" s="68">
        <f t="shared" si="0"/>
        <v>0</v>
      </c>
      <c r="S25" s="42"/>
      <c r="T25" s="42"/>
      <c r="U25" s="42"/>
      <c r="V25" s="42"/>
      <c r="W25" s="42"/>
      <c r="X25" s="42"/>
      <c r="Y25" s="42"/>
      <c r="Z25" s="42"/>
      <c r="AA25" s="42"/>
      <c r="AB25" s="42"/>
      <c r="AC25" s="42"/>
      <c r="AD25" s="42"/>
      <c r="AE25" s="42"/>
      <c r="AF25" s="375"/>
      <c r="AG25" s="434"/>
      <c r="AH25" s="434"/>
      <c r="AI25" s="441"/>
    </row>
    <row r="27" spans="1:35" s="13" customFormat="1" ht="30" hidden="1" customHeight="1" x14ac:dyDescent="0.35">
      <c r="D27" s="371" t="s">
        <v>43</v>
      </c>
      <c r="E27" s="371"/>
      <c r="F27" s="21">
        <v>1</v>
      </c>
      <c r="H27" s="460" t="s">
        <v>134</v>
      </c>
      <c r="I27" s="22" t="s">
        <v>135</v>
      </c>
      <c r="J27" s="54" t="e">
        <f>SUM(O27:AD27)</f>
        <v>#REF!</v>
      </c>
      <c r="K27" s="33"/>
      <c r="L27" s="33"/>
      <c r="M27" s="33"/>
      <c r="N27" s="33"/>
      <c r="O27" s="33" t="e">
        <f>+(W14*$Q$15)+(W16*$Q$17)+(W18*$Q$19)+(W20*$Q$21)+(W22*$Q$23)+(W25*$Q$25)+(#REF!*#REF!)+(#REF!*#REF!)+(#REF!*#REF!)+(#REF!*#REF!)+(#REF!*#REF!)+(#REF!*#REF!)+(#REF!*#REF!)</f>
        <v>#REF!</v>
      </c>
      <c r="P27" s="33" t="e">
        <f>+(AD14*$Q$15)+(AD16*$Q$17)+(AD18*$Q$19)+(AD20*$Q$21)+(AD22*$Q$23)+(AD25*$Q$25)+(#REF!*#REF!)+(#REF!*#REF!)+(#REF!*#REF!)+(#REF!*#REF!)+(#REF!*#REF!)+(#REF!*#REF!)+(#REF!*#REF!)</f>
        <v>#REF!</v>
      </c>
      <c r="Q27" s="36" t="e">
        <f>+(#REF!*$Q$15)+(#REF!*$Q$17)+(#REF!*$Q$19)+(#REF!*$Q$21)+(#REF!*$Q$23)+(#REF!*$Q$25)+(#REF!*#REF!)+(#REF!*#REF!)+(#REF!*#REF!)+(#REF!*#REF!)+(#REF!*#REF!)+(#REF!*#REF!)+(#REF!*#REF!)</f>
        <v>#REF!</v>
      </c>
      <c r="R27" s="33" t="e">
        <f>+(#REF!*$Q$15)+(#REF!*$Q$17)+(#REF!*$Q$19)+(#REF!*$Q$21)+(#REF!*$Q$23)+(#REF!*$Q$25)+(#REF!*#REF!)+(#REF!*#REF!)+(#REF!*#REF!)+(#REF!*#REF!)+(#REF!*#REF!)+(#REF!*#REF!)+(#REF!*#REF!)</f>
        <v>#REF!</v>
      </c>
      <c r="S27" s="33" t="e">
        <f>+(#REF!*$Q$15)+(#REF!*$Q$17)+(#REF!*$Q$19)+(#REF!*$Q$21)+(#REF!*$Q$23)+(#REF!*$Q$25)+(#REF!*#REF!)+(#REF!*#REF!)+(#REF!*#REF!)+(#REF!*#REF!)+(#REF!*#REF!)+(#REF!*#REF!)+(#REF!*#REF!)</f>
        <v>#REF!</v>
      </c>
      <c r="T27" s="33" t="e">
        <f>+(#REF!*$Q$15)+(#REF!*$Q$17)+(#REF!*$Q$19)+(#REF!*$Q$21)+(#REF!*$Q$23)+(#REF!*$Q$25)+(#REF!*#REF!)+(#REF!*#REF!)+(#REF!*#REF!)+(#REF!*#REF!)+(#REF!*#REF!)+(#REF!*#REF!)+(#REF!*#REF!)</f>
        <v>#REF!</v>
      </c>
      <c r="U27" s="33" t="e">
        <f>+(#REF!*$Q$15)+(#REF!*$Q$17)+(#REF!*$Q$19)+(#REF!*$Q$21)+(#REF!*$Q$23)+(#REF!*$Q$25)+(#REF!*#REF!)+(#REF!*#REF!)+(#REF!*#REF!)+(#REF!*#REF!)+(#REF!*#REF!)+(#REF!*#REF!)+(#REF!*#REF!)</f>
        <v>#REF!</v>
      </c>
      <c r="V27" s="33" t="e">
        <f>+(#REF!*$Q$15)+(#REF!*$Q$17)+(#REF!*$Q$19)+(#REF!*$Q$21)+(#REF!*$Q$23)+(#REF!*$Q$25)+(#REF!*#REF!)+(#REF!*#REF!)+(#REF!*#REF!)+(#REF!*#REF!)+(#REF!*#REF!)+(#REF!*#REF!)+(#REF!*#REF!)</f>
        <v>#REF!</v>
      </c>
      <c r="W27" s="33" t="e">
        <f>+(#REF!*$Q$15)+(#REF!*$Q$17)+(#REF!*$Q$19)+(#REF!*$Q$21)+(#REF!*$Q$23)+(#REF!*$Q$25)+(#REF!*#REF!)+(#REF!*#REF!)+(#REF!*#REF!)+(#REF!*#REF!)+(#REF!*#REF!)+(#REF!*#REF!)+(#REF!*#REF!)</f>
        <v>#REF!</v>
      </c>
      <c r="X27" s="33" t="e">
        <f>+(#REF!*$Q$15)+(#REF!*$Q$17)+(#REF!*$Q$19)+(#REF!*$Q$21)+(#REF!*$Q$23)+(#REF!*$Q$25)+(#REF!*#REF!)+(#REF!*#REF!)+(#REF!*#REF!)+(#REF!*#REF!)+(#REF!*#REF!)+(#REF!*#REF!)+(#REF!*#REF!)</f>
        <v>#REF!</v>
      </c>
      <c r="Y27" s="33" t="e">
        <f>+(#REF!*$Q$15)+(#REF!*$Q$17)+(#REF!*$Q$19)+(#REF!*$Q$21)+(#REF!*$Q$23)+(#REF!*$Q$25)+(#REF!*#REF!)+(#REF!*#REF!)+(#REF!*#REF!)+(#REF!*#REF!)+(#REF!*#REF!)+(#REF!*#REF!)+(#REF!*#REF!)</f>
        <v>#REF!</v>
      </c>
      <c r="Z27" s="33" t="e">
        <f>+(#REF!*$Q$15)+(#REF!*$Q$17)+(#REF!*$Q$19)+(#REF!*$Q$21)+(#REF!*$Q$23)+(#REF!*$Q$25)+(#REF!*#REF!)+(#REF!*#REF!)+(#REF!*#REF!)+(#REF!*#REF!)+(#REF!*#REF!)+(#REF!*#REF!)+(#REF!*#REF!)</f>
        <v>#REF!</v>
      </c>
      <c r="AA27" s="33" t="e">
        <f>+(#REF!*$Q$15)+(#REF!*$Q$17)+(#REF!*$Q$19)+(#REF!*$Q$21)+(#REF!*$Q$23)+(#REF!*$Q$25)+(#REF!*#REF!)+(#REF!*#REF!)+(#REF!*#REF!)+(#REF!*#REF!)+(#REF!*#REF!)+(#REF!*#REF!)+(#REF!*#REF!)</f>
        <v>#REF!</v>
      </c>
      <c r="AB27" s="33" t="e">
        <f>+(#REF!*$Q$15)+(#REF!*$Q$17)+(#REF!*$Q$19)+(#REF!*$Q$21)+(#REF!*$Q$23)+(#REF!*$Q$25)+(#REF!*#REF!)+(#REF!*#REF!)+(#REF!*#REF!)+(#REF!*#REF!)+(#REF!*#REF!)+(#REF!*#REF!)+(#REF!*#REF!)</f>
        <v>#REF!</v>
      </c>
      <c r="AC27" s="36" t="e">
        <f>+(#REF!*$Q$15)+(#REF!*$Q$17)+(#REF!*$Q$19)+(#REF!*$Q$21)+(#REF!*$Q$23)+(#REF!*$Q$25)+(#REF!*#REF!)+(#REF!*#REF!)+(#REF!*#REF!)+(#REF!*#REF!)+(#REF!*#REF!)+(#REF!*#REF!)+(#REF!*#REF!)</f>
        <v>#REF!</v>
      </c>
      <c r="AD27" s="33" t="e">
        <f>+(#REF!*$Q$15)+(#REF!*$Q$17)+(#REF!*$Q$19)+(#REF!*$Q$21)+(#REF!*$Q$23)+(#REF!*$Q$25)+(#REF!*#REF!)+(#REF!*#REF!)+(#REF!*#REF!)+(#REF!*#REF!)+(#REF!*#REF!)+(#REF!*#REF!)+(#REF!*#REF!)</f>
        <v>#REF!</v>
      </c>
      <c r="AE27" s="63"/>
    </row>
    <row r="28" spans="1:35" s="13" customFormat="1" ht="30" hidden="1" customHeight="1" x14ac:dyDescent="0.35">
      <c r="D28" s="371"/>
      <c r="E28" s="371"/>
      <c r="F28" s="21"/>
      <c r="H28" s="461"/>
      <c r="I28" s="15" t="s">
        <v>136</v>
      </c>
      <c r="J28" s="17"/>
      <c r="K28" s="34"/>
      <c r="L28" s="34"/>
      <c r="M28" s="34"/>
      <c r="N28" s="34"/>
      <c r="O28" s="34"/>
      <c r="P28" s="34" t="e">
        <f>SUM(P27:P27)</f>
        <v>#REF!</v>
      </c>
      <c r="Q28" s="37"/>
      <c r="R28" s="34"/>
      <c r="S28" s="34"/>
      <c r="T28" s="27" t="e">
        <f>SUM(Q27:T27)</f>
        <v>#REF!</v>
      </c>
      <c r="U28" s="27"/>
      <c r="V28" s="27"/>
      <c r="W28" s="27"/>
      <c r="X28" s="27" t="e">
        <f>SUM(U27:X27)</f>
        <v>#REF!</v>
      </c>
      <c r="Y28" s="27"/>
      <c r="Z28" s="27"/>
      <c r="AA28" s="27"/>
      <c r="AB28" s="27" t="e">
        <f>SUM(Y27:AB27)</f>
        <v>#REF!</v>
      </c>
      <c r="AC28" s="39"/>
      <c r="AD28" s="27"/>
      <c r="AE28" s="64"/>
    </row>
    <row r="29" spans="1:35" s="13" customFormat="1" ht="30" hidden="1" customHeight="1" x14ac:dyDescent="0.35">
      <c r="H29" s="461"/>
      <c r="I29" s="15" t="s">
        <v>137</v>
      </c>
      <c r="J29" s="14"/>
      <c r="K29" s="34"/>
      <c r="L29" s="34"/>
      <c r="M29" s="34"/>
      <c r="N29" s="34"/>
      <c r="O29" s="34"/>
      <c r="P29" s="34" t="e">
        <f>+#REF!+P28</f>
        <v>#REF!</v>
      </c>
      <c r="Q29" s="37"/>
      <c r="R29" s="34"/>
      <c r="S29" s="34"/>
      <c r="T29" s="26"/>
      <c r="U29" s="27"/>
      <c r="V29" s="27"/>
      <c r="W29" s="27"/>
      <c r="X29" s="27"/>
      <c r="Y29" s="27"/>
      <c r="Z29" s="27"/>
      <c r="AA29" s="27"/>
      <c r="AB29" s="27" t="e">
        <f>+T28+X28+AB28</f>
        <v>#REF!</v>
      </c>
      <c r="AC29" s="39"/>
      <c r="AD29" s="27"/>
      <c r="AE29" s="64"/>
    </row>
    <row r="30" spans="1:35" s="13" customFormat="1" ht="30" hidden="1" customHeight="1" x14ac:dyDescent="0.35">
      <c r="H30" s="462"/>
      <c r="I30" s="18" t="s">
        <v>138</v>
      </c>
      <c r="J30" s="19"/>
      <c r="K30" s="35"/>
      <c r="L30" s="35"/>
      <c r="M30" s="35"/>
      <c r="N30" s="35"/>
      <c r="O30" s="35"/>
      <c r="P30" s="35"/>
      <c r="Q30" s="38"/>
      <c r="R30" s="35"/>
      <c r="S30" s="35"/>
      <c r="T30" s="28"/>
      <c r="U30" s="29"/>
      <c r="V30" s="29"/>
      <c r="W30" s="29"/>
      <c r="X30" s="29"/>
      <c r="Y30" s="29"/>
      <c r="Z30" s="29"/>
      <c r="AA30" s="29"/>
      <c r="AB30" s="29" t="e">
        <f>+P29+AB29</f>
        <v>#REF!</v>
      </c>
      <c r="AC30" s="40"/>
      <c r="AD30" s="29"/>
      <c r="AE30" s="64"/>
    </row>
    <row r="31" spans="1:35" s="13" customFormat="1" ht="30" hidden="1" customHeight="1" x14ac:dyDescent="0.35">
      <c r="H31" s="463" t="s">
        <v>139</v>
      </c>
      <c r="I31" s="15" t="s">
        <v>140</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3"/>
    </row>
    <row r="32" spans="1:35" s="13" customFormat="1" ht="30" hidden="1" customHeight="1" x14ac:dyDescent="0.35">
      <c r="H32" s="461"/>
      <c r="I32" s="15" t="s">
        <v>141</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3"/>
    </row>
    <row r="33" spans="2:31" s="13" customFormat="1" ht="30" hidden="1" customHeight="1" x14ac:dyDescent="0.35">
      <c r="H33" s="461"/>
      <c r="I33" s="15" t="s">
        <v>142</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4"/>
    </row>
    <row r="34" spans="2:31" s="13" customFormat="1" ht="30" hidden="1" customHeight="1" x14ac:dyDescent="0.35">
      <c r="H34" s="462"/>
      <c r="I34" s="20" t="s">
        <v>143</v>
      </c>
      <c r="J34" s="19"/>
      <c r="K34" s="35"/>
      <c r="L34" s="35"/>
      <c r="M34" s="35"/>
      <c r="N34" s="35"/>
      <c r="O34" s="35"/>
      <c r="P34" s="35"/>
      <c r="Q34" s="38"/>
      <c r="R34" s="35"/>
      <c r="S34" s="35"/>
      <c r="T34" s="28"/>
      <c r="U34" s="29"/>
      <c r="V34" s="29"/>
      <c r="W34" s="29"/>
      <c r="X34" s="29"/>
      <c r="Y34" s="29"/>
      <c r="Z34" s="29"/>
      <c r="AA34" s="29"/>
      <c r="AB34" s="29" t="e">
        <f>+P33+AB33</f>
        <v>#REF!</v>
      </c>
      <c r="AC34" s="40"/>
      <c r="AD34" s="41"/>
      <c r="AE34" s="64"/>
    </row>
    <row r="35" spans="2:31" ht="30" hidden="1" customHeight="1" x14ac:dyDescent="0.35">
      <c r="H35" s="24"/>
      <c r="I35" s="372" t="s">
        <v>144</v>
      </c>
      <c r="J35" s="372"/>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5"/>
    </row>
    <row r="36" spans="2:31" ht="30" hidden="1" customHeight="1" x14ac:dyDescent="0.35">
      <c r="H36" s="24"/>
      <c r="I36" s="373" t="s">
        <v>145</v>
      </c>
      <c r="J36" s="373"/>
      <c r="K36" s="47"/>
      <c r="L36" s="47"/>
      <c r="M36" s="47"/>
      <c r="N36" s="47"/>
      <c r="O36" s="47" t="e">
        <f>+O27/$F$27</f>
        <v>#REF!</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6"/>
    </row>
    <row r="37" spans="2:31" ht="30" hidden="1" customHeight="1" x14ac:dyDescent="0.35">
      <c r="I37" s="372" t="s">
        <v>146</v>
      </c>
      <c r="J37" s="372"/>
      <c r="K37" s="50"/>
      <c r="L37" s="50"/>
      <c r="M37" s="50"/>
      <c r="N37" s="50"/>
      <c r="O37" s="50"/>
      <c r="P37" s="47" t="e">
        <f>+P28/P32</f>
        <v>#REF!</v>
      </c>
      <c r="Q37" s="51"/>
      <c r="R37" s="50"/>
      <c r="S37" s="50"/>
      <c r="T37" s="47" t="e">
        <f>+T28/T32</f>
        <v>#REF!</v>
      </c>
      <c r="U37" s="50"/>
      <c r="V37" s="50"/>
      <c r="W37" s="50"/>
      <c r="X37" s="47" t="e">
        <f>+X28/X32</f>
        <v>#REF!</v>
      </c>
      <c r="Y37" s="50"/>
      <c r="Z37" s="50"/>
      <c r="AA37" s="50"/>
      <c r="AB37" s="47" t="e">
        <f>+AB28/AB32</f>
        <v>#REF!</v>
      </c>
      <c r="AC37" s="51"/>
      <c r="AD37" s="50"/>
      <c r="AE37" s="67"/>
    </row>
    <row r="38" spans="2:31" ht="30" hidden="1" customHeight="1" x14ac:dyDescent="0.35">
      <c r="I38" s="373" t="s">
        <v>147</v>
      </c>
      <c r="J38" s="373"/>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7"/>
    </row>
    <row r="39" spans="2:31" ht="30" hidden="1" customHeight="1" x14ac:dyDescent="0.35">
      <c r="I39" s="372" t="s">
        <v>148</v>
      </c>
      <c r="J39" s="372"/>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7"/>
    </row>
    <row r="40" spans="2:31" ht="30" hidden="1" customHeight="1" x14ac:dyDescent="0.35">
      <c r="I40" s="372" t="s">
        <v>149</v>
      </c>
      <c r="J40" s="372"/>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7"/>
    </row>
    <row r="41" spans="2:31" ht="15" hidden="1" customHeight="1" x14ac:dyDescent="0.35"/>
    <row r="42" spans="2:31" ht="35.15" hidden="1" customHeight="1" x14ac:dyDescent="0.35">
      <c r="H42" s="432" t="s">
        <v>150</v>
      </c>
      <c r="I42" s="432"/>
      <c r="J42" s="30" t="e">
        <f>+#REF!</f>
        <v>#REF!</v>
      </c>
      <c r="K42" s="32"/>
      <c r="L42" s="32"/>
      <c r="M42" s="32"/>
      <c r="N42" s="32"/>
      <c r="O42" s="32"/>
    </row>
    <row r="43" spans="2:31" ht="35.15" hidden="1" customHeight="1" x14ac:dyDescent="0.35">
      <c r="H43" s="432" t="s">
        <v>151</v>
      </c>
      <c r="I43" s="432"/>
      <c r="J43" s="25">
        <f>+F27</f>
        <v>1</v>
      </c>
      <c r="K43" s="32"/>
      <c r="L43" s="32"/>
      <c r="M43" s="32"/>
      <c r="N43" s="32"/>
      <c r="O43" s="32"/>
    </row>
    <row r="44" spans="2:31" ht="35.15" hidden="1" customHeight="1" x14ac:dyDescent="0.35">
      <c r="H44" s="432" t="s">
        <v>152</v>
      </c>
      <c r="I44" s="432"/>
      <c r="J44" s="31" t="e">
        <f>+J42/J43</f>
        <v>#REF!</v>
      </c>
      <c r="K44" s="32"/>
      <c r="L44" s="32"/>
      <c r="M44" s="32"/>
      <c r="N44" s="32"/>
      <c r="O44" s="32"/>
    </row>
    <row r="45" spans="2:31" ht="15" hidden="1" customHeight="1" x14ac:dyDescent="0.35">
      <c r="B45" s="368" t="s">
        <v>53</v>
      </c>
      <c r="C45" s="368" t="s">
        <v>54</v>
      </c>
      <c r="D45" s="368" t="s">
        <v>55</v>
      </c>
      <c r="E45" s="368" t="s">
        <v>56</v>
      </c>
      <c r="F45" s="368" t="s">
        <v>31</v>
      </c>
      <c r="G45" s="370" t="s">
        <v>57</v>
      </c>
      <c r="M45" s="370" t="s">
        <v>687</v>
      </c>
      <c r="N45" s="32"/>
      <c r="O45" s="32"/>
    </row>
    <row r="46" spans="2:31" ht="15" hidden="1" customHeight="1" x14ac:dyDescent="0.35">
      <c r="B46" s="369"/>
      <c r="C46" s="369"/>
      <c r="D46" s="369"/>
      <c r="E46" s="369"/>
      <c r="F46" s="369"/>
      <c r="G46" s="369"/>
      <c r="M46" s="369"/>
      <c r="N46" s="32"/>
      <c r="O46" s="32"/>
    </row>
    <row r="47" spans="2:31" ht="15" hidden="1" customHeight="1" x14ac:dyDescent="0.35">
      <c r="B47" s="1" t="s">
        <v>688</v>
      </c>
      <c r="C47" s="1" t="s">
        <v>689</v>
      </c>
      <c r="D47" s="1" t="s">
        <v>121</v>
      </c>
      <c r="E47" s="1" t="s">
        <v>122</v>
      </c>
      <c r="F47" s="1" t="s">
        <v>690</v>
      </c>
      <c r="G47" s="1" t="s">
        <v>691</v>
      </c>
      <c r="M47" s="13" t="s">
        <v>692</v>
      </c>
      <c r="N47" s="32"/>
      <c r="O47" s="32"/>
    </row>
    <row r="48" spans="2:31" ht="15" hidden="1" customHeight="1" x14ac:dyDescent="0.35">
      <c r="B48" s="1" t="s">
        <v>693</v>
      </c>
      <c r="C48" s="1" t="s">
        <v>694</v>
      </c>
      <c r="D48" s="1" t="s">
        <v>300</v>
      </c>
      <c r="E48" s="1" t="s">
        <v>695</v>
      </c>
      <c r="F48" s="1" t="s">
        <v>696</v>
      </c>
      <c r="G48" s="1" t="s">
        <v>697</v>
      </c>
      <c r="M48" s="13" t="s">
        <v>698</v>
      </c>
    </row>
    <row r="49" spans="2:13" ht="15" hidden="1" customHeight="1" x14ac:dyDescent="0.35">
      <c r="B49" s="1" t="s">
        <v>699</v>
      </c>
      <c r="C49" s="1" t="s">
        <v>700</v>
      </c>
      <c r="D49" s="1" t="s">
        <v>86</v>
      </c>
      <c r="E49" s="1" t="s">
        <v>301</v>
      </c>
      <c r="F49" s="1" t="s">
        <v>701</v>
      </c>
      <c r="G49" s="1" t="s">
        <v>702</v>
      </c>
      <c r="M49" s="13" t="s">
        <v>703</v>
      </c>
    </row>
    <row r="50" spans="2:13" ht="15" hidden="1" customHeight="1" x14ac:dyDescent="0.35">
      <c r="B50" s="1" t="s">
        <v>704</v>
      </c>
      <c r="C50" s="1" t="s">
        <v>705</v>
      </c>
      <c r="D50" s="1" t="s">
        <v>168</v>
      </c>
      <c r="E50" s="1" t="s">
        <v>706</v>
      </c>
      <c r="F50" s="1" t="s">
        <v>707</v>
      </c>
      <c r="G50" s="1" t="s">
        <v>708</v>
      </c>
    </row>
    <row r="51" spans="2:13" ht="15" hidden="1" customHeight="1" x14ac:dyDescent="0.35">
      <c r="B51" s="1" t="s">
        <v>709</v>
      </c>
      <c r="C51" s="1" t="s">
        <v>710</v>
      </c>
      <c r="D51" s="1" t="s">
        <v>711</v>
      </c>
      <c r="E51" s="1" t="s">
        <v>712</v>
      </c>
      <c r="F51" s="1" t="s">
        <v>713</v>
      </c>
      <c r="G51" s="1" t="s">
        <v>714</v>
      </c>
    </row>
    <row r="52" spans="2:13" ht="15" hidden="1" customHeight="1" x14ac:dyDescent="0.35">
      <c r="B52" s="1" t="s">
        <v>715</v>
      </c>
      <c r="C52" s="1" t="s">
        <v>716</v>
      </c>
      <c r="D52" s="1" t="s">
        <v>717</v>
      </c>
      <c r="E52" s="1" t="s">
        <v>154</v>
      </c>
      <c r="F52" s="1" t="s">
        <v>290</v>
      </c>
      <c r="G52" s="1" t="s">
        <v>463</v>
      </c>
    </row>
    <row r="53" spans="2:13" ht="15" hidden="1" customHeight="1" x14ac:dyDescent="0.35">
      <c r="B53" s="1" t="s">
        <v>718</v>
      </c>
      <c r="C53" s="1" t="s">
        <v>719</v>
      </c>
      <c r="D53" s="1" t="s">
        <v>720</v>
      </c>
      <c r="E53" s="1" t="s">
        <v>115</v>
      </c>
      <c r="F53" s="1" t="s">
        <v>721</v>
      </c>
      <c r="G53" s="1" t="s">
        <v>722</v>
      </c>
    </row>
    <row r="54" spans="2:13" ht="15" hidden="1" customHeight="1" x14ac:dyDescent="0.35">
      <c r="B54" s="1" t="s">
        <v>723</v>
      </c>
      <c r="C54" s="1" t="s">
        <v>724</v>
      </c>
      <c r="E54" s="1" t="s">
        <v>627</v>
      </c>
      <c r="F54" s="1" t="s">
        <v>725</v>
      </c>
      <c r="G54" s="1" t="s">
        <v>571</v>
      </c>
    </row>
    <row r="55" spans="2:13" ht="15" hidden="1" customHeight="1" x14ac:dyDescent="0.35">
      <c r="C55" s="1" t="s">
        <v>726</v>
      </c>
      <c r="E55" s="1" t="s">
        <v>126</v>
      </c>
      <c r="F55" s="1" t="s">
        <v>727</v>
      </c>
      <c r="G55" s="1" t="s">
        <v>100</v>
      </c>
    </row>
    <row r="56" spans="2:13" ht="15" hidden="1" customHeight="1" x14ac:dyDescent="0.35">
      <c r="C56" s="1" t="s">
        <v>728</v>
      </c>
      <c r="E56" s="1" t="s">
        <v>729</v>
      </c>
      <c r="F56" s="1" t="s">
        <v>730</v>
      </c>
      <c r="G56" s="1" t="s">
        <v>123</v>
      </c>
    </row>
    <row r="57" spans="2:13" ht="15" hidden="1" customHeight="1" x14ac:dyDescent="0.35">
      <c r="E57" s="1" t="s">
        <v>87</v>
      </c>
      <c r="F57" s="1" t="s">
        <v>731</v>
      </c>
      <c r="G57" s="1" t="s">
        <v>111</v>
      </c>
    </row>
    <row r="58" spans="2:13" ht="15" hidden="1" customHeight="1" x14ac:dyDescent="0.35">
      <c r="E58" s="1" t="s">
        <v>732</v>
      </c>
      <c r="F58" s="1" t="s">
        <v>733</v>
      </c>
      <c r="G58" s="1" t="s">
        <v>734</v>
      </c>
    </row>
    <row r="59" spans="2:13" ht="15" hidden="1" customHeight="1" x14ac:dyDescent="0.35">
      <c r="E59" s="1" t="s">
        <v>163</v>
      </c>
      <c r="G59" s="1" t="s">
        <v>735</v>
      </c>
    </row>
    <row r="60" spans="2:13" ht="15" hidden="1" customHeight="1" x14ac:dyDescent="0.35">
      <c r="E60" s="1" t="s">
        <v>736</v>
      </c>
      <c r="G60" s="1" t="s">
        <v>737</v>
      </c>
    </row>
    <row r="61" spans="2:13" ht="15" hidden="1" customHeight="1" x14ac:dyDescent="0.35">
      <c r="E61" s="1" t="s">
        <v>738</v>
      </c>
      <c r="G61" s="1" t="s">
        <v>739</v>
      </c>
    </row>
    <row r="62" spans="2:13" ht="15" hidden="1" customHeight="1" x14ac:dyDescent="0.35">
      <c r="E62" s="1" t="s">
        <v>110</v>
      </c>
      <c r="G62" s="1" t="s">
        <v>740</v>
      </c>
    </row>
    <row r="63" spans="2:13" ht="15" hidden="1" customHeight="1" x14ac:dyDescent="0.35">
      <c r="E63" s="1" t="s">
        <v>741</v>
      </c>
      <c r="G63" s="1" t="s">
        <v>742</v>
      </c>
    </row>
    <row r="64" spans="2:13" ht="15" hidden="1" customHeight="1" x14ac:dyDescent="0.35">
      <c r="E64" s="1" t="s">
        <v>743</v>
      </c>
      <c r="G64" s="1" t="s">
        <v>744</v>
      </c>
    </row>
    <row r="65" spans="5:7" ht="15" hidden="1" customHeight="1" x14ac:dyDescent="0.35">
      <c r="E65" s="1" t="s">
        <v>745</v>
      </c>
      <c r="G65" s="1" t="s">
        <v>746</v>
      </c>
    </row>
    <row r="66" spans="5:7" ht="15" hidden="1" customHeight="1" x14ac:dyDescent="0.35">
      <c r="G66" s="1" t="s">
        <v>747</v>
      </c>
    </row>
    <row r="67" spans="5:7" ht="15" hidden="1" customHeight="1" x14ac:dyDescent="0.35">
      <c r="G67" s="1" t="s">
        <v>748</v>
      </c>
    </row>
    <row r="68" spans="5:7" ht="15" hidden="1" customHeight="1" x14ac:dyDescent="0.35">
      <c r="G68" s="1" t="s">
        <v>749</v>
      </c>
    </row>
    <row r="69" spans="5:7" ht="15" hidden="1" customHeight="1" x14ac:dyDescent="0.35">
      <c r="G69" s="1" t="s">
        <v>750</v>
      </c>
    </row>
    <row r="70" spans="5:7" ht="15" hidden="1" customHeight="1" x14ac:dyDescent="0.35">
      <c r="G70" s="1" t="s">
        <v>751</v>
      </c>
    </row>
    <row r="71" spans="5:7" ht="15" hidden="1" customHeight="1" x14ac:dyDescent="0.35">
      <c r="G71" s="1" t="s">
        <v>752</v>
      </c>
    </row>
    <row r="72" spans="5:7" ht="15" hidden="1" customHeight="1" x14ac:dyDescent="0.35">
      <c r="G72" s="1" t="s">
        <v>753</v>
      </c>
    </row>
    <row r="73" spans="5:7" ht="15" hidden="1" customHeight="1" x14ac:dyDescent="0.35">
      <c r="G73" s="1" t="s">
        <v>754</v>
      </c>
    </row>
    <row r="74" spans="5:7" ht="15" hidden="1" customHeight="1" x14ac:dyDescent="0.35">
      <c r="G74" s="1" t="s">
        <v>755</v>
      </c>
    </row>
    <row r="75" spans="5:7" ht="15" hidden="1" customHeight="1" x14ac:dyDescent="0.35">
      <c r="G75" s="1" t="s">
        <v>756</v>
      </c>
    </row>
    <row r="76" spans="5:7" ht="15" hidden="1" customHeight="1" x14ac:dyDescent="0.35">
      <c r="G76" s="1" t="s">
        <v>757</v>
      </c>
    </row>
    <row r="77" spans="5:7" ht="15" hidden="1" customHeight="1" x14ac:dyDescent="0.35">
      <c r="G77" s="1" t="s">
        <v>758</v>
      </c>
    </row>
    <row r="78" spans="5:7" ht="15" hidden="1" customHeight="1" x14ac:dyDescent="0.35">
      <c r="G78" s="1" t="s">
        <v>759</v>
      </c>
    </row>
    <row r="79" spans="5:7" ht="15" hidden="1" customHeight="1" x14ac:dyDescent="0.35">
      <c r="G79" s="1" t="s">
        <v>760</v>
      </c>
    </row>
    <row r="80" spans="5:7" ht="15" hidden="1" customHeight="1" x14ac:dyDescent="0.35">
      <c r="G80" s="1" t="s">
        <v>127</v>
      </c>
    </row>
    <row r="81" spans="7:7" ht="15" hidden="1" customHeight="1" x14ac:dyDescent="0.35">
      <c r="G81" s="1" t="s">
        <v>761</v>
      </c>
    </row>
    <row r="82" spans="7:7" ht="15" hidden="1" customHeight="1" x14ac:dyDescent="0.35">
      <c r="G82" s="1" t="s">
        <v>762</v>
      </c>
    </row>
    <row r="83" spans="7:7" ht="15" hidden="1" customHeight="1" x14ac:dyDescent="0.35">
      <c r="G83" s="1" t="s">
        <v>763</v>
      </c>
    </row>
    <row r="84" spans="7:7" ht="15" hidden="1" customHeight="1" x14ac:dyDescent="0.35">
      <c r="G84" s="1" t="s">
        <v>764</v>
      </c>
    </row>
    <row r="85" spans="7:7" ht="15" hidden="1" customHeight="1" x14ac:dyDescent="0.35">
      <c r="G85" s="1" t="s">
        <v>89</v>
      </c>
    </row>
    <row r="86" spans="7:7" ht="15" hidden="1" customHeight="1" x14ac:dyDescent="0.35">
      <c r="G86" s="1" t="s">
        <v>765</v>
      </c>
    </row>
    <row r="87" spans="7:7" ht="15" hidden="1" customHeight="1" x14ac:dyDescent="0.35">
      <c r="G87" s="1" t="s">
        <v>766</v>
      </c>
    </row>
    <row r="88" spans="7:7" ht="15" hidden="1" customHeight="1" x14ac:dyDescent="0.35">
      <c r="G88" s="1" t="s">
        <v>307</v>
      </c>
    </row>
    <row r="89" spans="7:7" ht="15" hidden="1" customHeight="1" x14ac:dyDescent="0.35">
      <c r="G89" s="1" t="s">
        <v>767</v>
      </c>
    </row>
    <row r="90" spans="7:7" ht="15" hidden="1" customHeight="1" x14ac:dyDescent="0.35">
      <c r="G90" s="1" t="s">
        <v>768</v>
      </c>
    </row>
    <row r="91" spans="7:7" ht="15" hidden="1" customHeight="1" x14ac:dyDescent="0.35">
      <c r="G91" s="1" t="s">
        <v>769</v>
      </c>
    </row>
    <row r="92" spans="7:7" ht="15" hidden="1" customHeight="1" x14ac:dyDescent="0.35">
      <c r="G92" s="1" t="s">
        <v>770</v>
      </c>
    </row>
    <row r="93" spans="7:7" ht="15" hidden="1" customHeight="1" x14ac:dyDescent="0.35">
      <c r="G93" s="1" t="s">
        <v>771</v>
      </c>
    </row>
    <row r="94" spans="7:7" ht="15" hidden="1" customHeight="1" x14ac:dyDescent="0.35">
      <c r="G94" s="1" t="s">
        <v>772</v>
      </c>
    </row>
    <row r="95" spans="7:7" ht="15" hidden="1" customHeight="1" x14ac:dyDescent="0.35">
      <c r="G95" s="1" t="s">
        <v>773</v>
      </c>
    </row>
    <row r="96" spans="7:7" ht="15" hidden="1" customHeight="1" x14ac:dyDescent="0.35">
      <c r="G96" s="1" t="s">
        <v>774</v>
      </c>
    </row>
    <row r="97" spans="7:7" ht="15" hidden="1" customHeight="1" x14ac:dyDescent="0.35">
      <c r="G97" s="1" t="s">
        <v>775</v>
      </c>
    </row>
    <row r="98" spans="7:7" ht="15" hidden="1" customHeight="1" x14ac:dyDescent="0.35">
      <c r="G98" s="1" t="s">
        <v>305</v>
      </c>
    </row>
    <row r="99" spans="7:7" ht="15" hidden="1" customHeight="1" x14ac:dyDescent="0.35">
      <c r="G99" s="1" t="s">
        <v>40</v>
      </c>
    </row>
    <row r="100" spans="7:7" ht="15" hidden="1" customHeight="1" x14ac:dyDescent="0.35">
      <c r="G100" s="1" t="s">
        <v>157</v>
      </c>
    </row>
    <row r="101" spans="7:7" ht="15" hidden="1" customHeight="1" x14ac:dyDescent="0.35">
      <c r="G101" s="1" t="s">
        <v>776</v>
      </c>
    </row>
    <row r="102" spans="7:7" ht="15" hidden="1" customHeight="1" x14ac:dyDescent="0.35">
      <c r="G102" s="1" t="s">
        <v>777</v>
      </c>
    </row>
    <row r="103" spans="7:7" ht="15" hidden="1" customHeight="1" x14ac:dyDescent="0.35">
      <c r="G103" s="1" t="s">
        <v>778</v>
      </c>
    </row>
    <row r="104" spans="7:7" ht="15" hidden="1" customHeight="1" x14ac:dyDescent="0.35">
      <c r="G104" s="1" t="s">
        <v>779</v>
      </c>
    </row>
    <row r="105" spans="7:7" ht="15" hidden="1" customHeight="1" x14ac:dyDescent="0.35">
      <c r="G105" s="1" t="s">
        <v>780</v>
      </c>
    </row>
    <row r="106" spans="7:7" ht="15" hidden="1" customHeight="1" x14ac:dyDescent="0.35">
      <c r="G106" s="1" t="s">
        <v>781</v>
      </c>
    </row>
  </sheetData>
  <sheetProtection algorithmName="SHA-512" hashValue="tm9GPI1UOpuKZ9gzCa9IBJvJYdGrEgXhJvz4KTLlYaCdFU5csrp69YpXQbpyX2BQ2Ddj+x8abfLfzm5B9UHGtA==" saltValue="aWD54eZ2flS8KMPZ+3uIpQ==" spinCount="100000" sheet="1" formatCells="0" formatColumns="0" formatRows="0" insertColumns="0" insertRows="0" insertHyperlinks="0" deleteColumns="0" deleteRows="0" sort="0" autoFilter="0" pivotTables="0"/>
  <autoFilter ref="A13:AI13" xr:uid="{3BB1347B-EBF9-4B9E-B402-EBAAC9B87EF8}"/>
  <mergeCells count="193">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D27:E27"/>
    <mergeCell ref="H27:H30"/>
    <mergeCell ref="D28:E28"/>
    <mergeCell ref="H31:H34"/>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L12:L13"/>
    <mergeCell ref="A12:A13"/>
    <mergeCell ref="B16:B17"/>
    <mergeCell ref="C16:C17"/>
    <mergeCell ref="D16:D17"/>
    <mergeCell ref="E16:E17"/>
    <mergeCell ref="F16:F17"/>
    <mergeCell ref="G16:G17"/>
    <mergeCell ref="H16:H17"/>
    <mergeCell ref="L14:L15"/>
    <mergeCell ref="I14:I15"/>
    <mergeCell ref="J14:J15"/>
    <mergeCell ref="K14:K15"/>
    <mergeCell ref="AF20:AF21"/>
    <mergeCell ref="AG20:AG21"/>
    <mergeCell ref="O16:O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I20:I21"/>
    <mergeCell ref="J20:J21"/>
    <mergeCell ref="K20:K21"/>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O24:O25"/>
    <mergeCell ref="AF24:AF25"/>
    <mergeCell ref="AG24:AG25"/>
    <mergeCell ref="AH24:AH25"/>
    <mergeCell ref="I24:I25"/>
    <mergeCell ref="J24:J25"/>
    <mergeCell ref="K24:K25"/>
    <mergeCell ref="L24:L25"/>
    <mergeCell ref="M24:M25"/>
    <mergeCell ref="N24:N25"/>
    <mergeCell ref="H42:I42"/>
    <mergeCell ref="H43:I43"/>
    <mergeCell ref="H44:I44"/>
    <mergeCell ref="I35:J35"/>
    <mergeCell ref="I36:J36"/>
    <mergeCell ref="I37:J37"/>
    <mergeCell ref="I38:J38"/>
    <mergeCell ref="I39:J39"/>
    <mergeCell ref="I40:J40"/>
  </mergeCells>
  <conditionalFormatting sqref="I4">
    <cfRule type="cellIs" dxfId="149" priority="19" operator="lessThanOrEqual">
      <formula>$C$4</formula>
    </cfRule>
  </conditionalFormatting>
  <conditionalFormatting sqref="J6">
    <cfRule type="cellIs" dxfId="148" priority="20" operator="greaterThanOrEqual">
      <formula>$C$5</formula>
    </cfRule>
    <cfRule type="cellIs" dxfId="147" priority="21" operator="lessThanOrEqual">
      <formula>$C$4</formula>
    </cfRule>
    <cfRule type="cellIs" dxfId="146" priority="22" operator="between">
      <formula>$C$5</formula>
      <formula>$C$4</formula>
    </cfRule>
  </conditionalFormatting>
  <conditionalFormatting sqref="P6">
    <cfRule type="cellIs" dxfId="145" priority="16" operator="greaterThanOrEqual">
      <formula>$I$5</formula>
    </cfRule>
    <cfRule type="cellIs" dxfId="144" priority="17" operator="lessThanOrEqual">
      <formula>$I$4</formula>
    </cfRule>
    <cfRule type="cellIs" dxfId="143" priority="18" operator="between">
      <formula>$I$5</formula>
      <formula>$I$4</formula>
    </cfRule>
  </conditionalFormatting>
  <conditionalFormatting sqref="R14:R25">
    <cfRule type="cellIs" dxfId="142" priority="13" operator="greaterThanOrEqual">
      <formula>$C$5</formula>
    </cfRule>
    <cfRule type="cellIs" dxfId="141" priority="14" operator="lessThanOrEqual">
      <formula>$C$4</formula>
    </cfRule>
    <cfRule type="cellIs" dxfId="140" priority="15" operator="between">
      <formula>$C$5</formula>
      <formula>$C$4</formula>
    </cfRule>
  </conditionalFormatting>
  <conditionalFormatting sqref="T35:T38 X35:X38 P35:P40 AB35:AB40 K36:O36 Q36:S36 U36:W36 Y36:AA36 AC36:AE36 J44">
    <cfRule type="cellIs" dxfId="139" priority="23" operator="greaterThanOrEqual">
      <formula>$D$9</formula>
    </cfRule>
    <cfRule type="cellIs" dxfId="138" priority="24" operator="lessThanOrEqual">
      <formula>$C$6</formula>
    </cfRule>
    <cfRule type="cellIs" dxfId="137" priority="25" operator="between">
      <formula>$C$6</formula>
      <formula>$D$9</formula>
    </cfRule>
  </conditionalFormatting>
  <conditionalFormatting sqref="W6">
    <cfRule type="cellIs" dxfId="136" priority="10" operator="greaterThanOrEqual">
      <formula>$I$5</formula>
    </cfRule>
    <cfRule type="cellIs" dxfId="135" priority="11" operator="lessThanOrEqual">
      <formula>$I$4</formula>
    </cfRule>
    <cfRule type="cellIs" dxfId="134" priority="12" operator="between">
      <formula>$I$5</formula>
      <formula>$I$4</formula>
    </cfRule>
  </conditionalFormatting>
  <conditionalFormatting sqref="AE6">
    <cfRule type="cellIs" dxfId="133" priority="1" operator="greaterThanOrEqual">
      <formula>$I$5</formula>
    </cfRule>
    <cfRule type="cellIs" dxfId="132" priority="2" operator="lessThanOrEqual">
      <formula>$I$4</formula>
    </cfRule>
    <cfRule type="cellIs" dxfId="131" priority="3" operator="between">
      <formula>$I$5</formula>
      <formula>$I$4</formula>
    </cfRule>
  </conditionalFormatting>
  <conditionalFormatting sqref="AH6">
    <cfRule type="cellIs" dxfId="130" priority="4" operator="greaterThanOrEqual">
      <formula>$I$5</formula>
    </cfRule>
    <cfRule type="cellIs" dxfId="129" priority="5" operator="lessThanOrEqual">
      <formula>$I$4</formula>
    </cfRule>
    <cfRule type="cellIs" dxfId="128" priority="6" operator="between">
      <formula>$I$5</formula>
      <formula>$I$4</formula>
    </cfRule>
  </conditionalFormatting>
  <dataValidations count="9">
    <dataValidation allowBlank="1" showErrorMessage="1" sqref="R14:R25" xr:uid="{668C2E6E-6849-4D50-8400-DEB90648B25D}"/>
    <dataValidation type="decimal" allowBlank="1" showInputMessage="1" showErrorMessage="1" prompt="% de avance en la actividad - indique el % programado de avance durante esta semana_x000a_" sqref="S14:U23 S25:U25 V14:AE25"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xr:uid="{05BA2F3B-9109-46C6-850A-0F4DCC4FAB44}">
      <formula1>0</formula1>
      <formula2>1</formula2>
    </dataValidation>
    <dataValidation type="list" allowBlank="1" showInputMessage="1" showErrorMessage="1" sqref="B14:B25" xr:uid="{7BCF11F9-69B0-4C56-9F94-34C6BFE99640}">
      <formula1>$B$47:$B$54</formula1>
    </dataValidation>
    <dataValidation type="list" allowBlank="1" showInputMessage="1" showErrorMessage="1" sqref="C14:C25" xr:uid="{5E77D0F2-8070-4882-A380-57B7E46BFAF9}">
      <formula1>$C$47:$C$56</formula1>
    </dataValidation>
    <dataValidation type="list" allowBlank="1" showInputMessage="1" showErrorMessage="1" sqref="D14:D25" xr:uid="{81449EE0-525A-4CF1-AA34-A11EA32D7175}">
      <formula1>$D$48:$D$53</formula1>
    </dataValidation>
    <dataValidation type="list" allowBlank="1" showInputMessage="1" showErrorMessage="1" sqref="E14:E25" xr:uid="{C6985619-1580-4085-9A5D-0E416DE64A49}">
      <formula1>$E$47:$E$65</formula1>
    </dataValidation>
    <dataValidation type="list" allowBlank="1" showInputMessage="1" showErrorMessage="1" sqref="G14:G25" xr:uid="{0CCCE230-83C8-412D-B008-D8450F356FAE}">
      <formula1>$G$47:$G$106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dimension ref="A1:AF415"/>
  <sheetViews>
    <sheetView view="pageBreakPreview" zoomScale="50" zoomScaleNormal="60" zoomScaleSheetLayoutView="50" workbookViewId="0">
      <selection activeCell="B12" sqref="B12"/>
    </sheetView>
  </sheetViews>
  <sheetFormatPr baseColWidth="10" defaultColWidth="11.453125" defaultRowHeight="14.5" x14ac:dyDescent="0.35"/>
  <cols>
    <col min="1" max="1" width="77" style="70" customWidth="1"/>
    <col min="2" max="2" width="93" style="70" bestFit="1" customWidth="1"/>
    <col min="3" max="3" width="30.453125" style="70" customWidth="1"/>
    <col min="4" max="4" width="19.453125" style="70" customWidth="1"/>
    <col min="5" max="5" width="31.7265625" style="70" customWidth="1"/>
    <col min="6" max="6" width="18" style="70" customWidth="1"/>
    <col min="7" max="7" width="29.26953125" style="70" customWidth="1"/>
    <col min="8" max="8" width="30.453125" style="70" customWidth="1"/>
    <col min="9" max="9" width="22.26953125" style="70" bestFit="1" customWidth="1"/>
    <col min="10" max="10" width="18.54296875" style="70" customWidth="1"/>
    <col min="11" max="11" width="27.54296875" style="70" customWidth="1"/>
    <col min="12" max="14" width="23" style="70" customWidth="1"/>
    <col min="15" max="15" width="51.1796875" style="70" bestFit="1" customWidth="1"/>
    <col min="16" max="16" width="23" style="70" customWidth="1"/>
    <col min="17" max="17" width="30.6328125" style="70" bestFit="1" customWidth="1"/>
    <col min="18" max="27" width="23" style="70" customWidth="1"/>
    <col min="28" max="16384" width="11.453125" style="70"/>
  </cols>
  <sheetData>
    <row r="1" spans="1:32" ht="40" customHeight="1" x14ac:dyDescent="0.35">
      <c r="A1" s="471"/>
      <c r="B1" s="473" t="s">
        <v>831</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row>
    <row r="2" spans="1:32" ht="40" customHeight="1" x14ac:dyDescent="0.35">
      <c r="A2" s="472"/>
      <c r="B2" s="473"/>
      <c r="C2" s="474"/>
      <c r="D2" s="474"/>
      <c r="E2" s="474"/>
      <c r="F2" s="474"/>
      <c r="G2" s="474"/>
      <c r="H2" s="474"/>
      <c r="I2" s="474"/>
      <c r="J2" s="474"/>
      <c r="K2" s="474"/>
      <c r="L2" s="474"/>
      <c r="M2" s="474"/>
      <c r="N2" s="474"/>
      <c r="O2" s="474"/>
      <c r="P2" s="474"/>
      <c r="Q2" s="474"/>
      <c r="R2" s="474"/>
      <c r="S2" s="474"/>
      <c r="T2" s="474"/>
      <c r="U2" s="474"/>
      <c r="V2" s="474"/>
      <c r="W2" s="474"/>
      <c r="X2" s="474"/>
      <c r="Y2" s="474"/>
      <c r="Z2" s="474"/>
      <c r="AA2" s="474"/>
    </row>
    <row r="3" spans="1:32" ht="40" customHeight="1" thickBot="1" x14ac:dyDescent="0.4">
      <c r="A3" s="472"/>
      <c r="B3" s="473"/>
      <c r="C3" s="474"/>
      <c r="D3" s="474"/>
      <c r="E3" s="474"/>
      <c r="F3" s="474"/>
      <c r="G3" s="474"/>
      <c r="H3" s="474"/>
      <c r="I3" s="474"/>
      <c r="J3" s="474"/>
      <c r="K3" s="474"/>
      <c r="L3" s="474"/>
      <c r="M3" s="474"/>
      <c r="N3" s="474"/>
      <c r="O3" s="474"/>
      <c r="P3" s="474"/>
      <c r="Q3" s="474"/>
      <c r="R3" s="474"/>
      <c r="S3" s="474"/>
      <c r="T3" s="474"/>
      <c r="U3" s="474"/>
      <c r="V3" s="474"/>
      <c r="W3" s="474"/>
      <c r="X3" s="474"/>
      <c r="Y3" s="474"/>
      <c r="Z3" s="474"/>
      <c r="AA3" s="474"/>
    </row>
    <row r="4" spans="1:32" s="58" customFormat="1" ht="46.5" hidden="1" thickBot="1" x14ac:dyDescent="0.4">
      <c r="A4" s="337" t="s">
        <v>35</v>
      </c>
      <c r="B4" s="10"/>
      <c r="C4" s="10"/>
      <c r="D4" s="9"/>
      <c r="E4" s="337" t="s">
        <v>37</v>
      </c>
      <c r="F4" s="8" t="s">
        <v>36</v>
      </c>
      <c r="G4" s="10">
        <v>0.7</v>
      </c>
      <c r="H4" s="59"/>
      <c r="I4" s="60"/>
      <c r="J4" s="60"/>
      <c r="K4" s="60"/>
      <c r="L4" s="60"/>
      <c r="M4" s="60"/>
      <c r="N4" s="60"/>
      <c r="O4" s="60"/>
      <c r="P4" s="60"/>
      <c r="Q4" s="60"/>
      <c r="R4" s="60"/>
      <c r="S4" s="60"/>
      <c r="T4" s="60"/>
      <c r="U4" s="60"/>
      <c r="V4" s="60"/>
      <c r="W4" s="60"/>
      <c r="X4" s="60"/>
      <c r="Y4" s="60"/>
      <c r="Z4" s="60"/>
      <c r="AA4" s="60"/>
      <c r="AB4" s="60"/>
      <c r="AC4" s="60"/>
      <c r="AD4" s="60"/>
      <c r="AE4" s="60"/>
      <c r="AF4" s="60"/>
    </row>
    <row r="5" spans="1:32" s="58" customFormat="1" ht="46.5" hidden="1" thickBot="1" x14ac:dyDescent="0.4">
      <c r="A5" s="470"/>
      <c r="B5" s="11"/>
      <c r="C5" s="11"/>
      <c r="D5" s="11">
        <v>1</v>
      </c>
      <c r="E5" s="470"/>
      <c r="F5" s="8" t="s">
        <v>38</v>
      </c>
      <c r="G5" s="11">
        <v>0.95</v>
      </c>
      <c r="H5" s="59"/>
      <c r="I5" s="60"/>
      <c r="J5" s="60"/>
      <c r="K5" s="60"/>
      <c r="L5" s="60"/>
      <c r="M5" s="60"/>
      <c r="N5" s="60"/>
      <c r="O5" s="60"/>
      <c r="P5" s="60"/>
      <c r="Q5" s="60"/>
      <c r="R5" s="60"/>
      <c r="S5" s="60"/>
      <c r="T5" s="60"/>
      <c r="U5" s="60"/>
      <c r="V5" s="60"/>
      <c r="W5" s="60"/>
      <c r="X5" s="60"/>
      <c r="Y5" s="60"/>
      <c r="Z5" s="60"/>
      <c r="AA5" s="60"/>
      <c r="AB5" s="60"/>
      <c r="AC5" s="60"/>
      <c r="AD5" s="60"/>
      <c r="AE5" s="60"/>
      <c r="AF5" s="60"/>
    </row>
    <row r="6" spans="1:32" s="1" customFormat="1" ht="20.149999999999999" hidden="1" customHeight="1" x14ac:dyDescent="0.35">
      <c r="A6" s="437" t="s">
        <v>39</v>
      </c>
      <c r="B6" s="475"/>
      <c r="C6" s="448" t="s">
        <v>41</v>
      </c>
      <c r="D6" s="449"/>
      <c r="E6" s="409">
        <v>1</v>
      </c>
      <c r="F6" s="448" t="s">
        <v>42</v>
      </c>
      <c r="G6" s="449"/>
      <c r="H6" s="331">
        <f>262/315</f>
        <v>0.83174603174603179</v>
      </c>
      <c r="I6" s="448" t="s">
        <v>43</v>
      </c>
      <c r="J6" s="449"/>
      <c r="K6" s="409">
        <v>0.95</v>
      </c>
      <c r="L6" s="437" t="s">
        <v>44</v>
      </c>
      <c r="M6" s="455"/>
      <c r="N6" s="285">
        <f>(92/187)</f>
        <v>0.49197860962566847</v>
      </c>
      <c r="O6" s="286"/>
      <c r="P6" s="464" t="s">
        <v>45</v>
      </c>
      <c r="Q6" s="480"/>
      <c r="R6" s="484">
        <f>184/193</f>
        <v>0.95336787564766834</v>
      </c>
      <c r="S6" s="485"/>
      <c r="T6" s="464" t="s">
        <v>46</v>
      </c>
      <c r="U6" s="480"/>
      <c r="V6" s="285">
        <v>0.83</v>
      </c>
      <c r="W6" s="286"/>
      <c r="X6" s="464" t="s">
        <v>47</v>
      </c>
      <c r="Y6" s="465"/>
      <c r="Z6" s="287"/>
      <c r="AA6" s="325"/>
    </row>
    <row r="7" spans="1:32" s="1" customFormat="1" ht="14.9" hidden="1" customHeight="1" x14ac:dyDescent="0.35">
      <c r="A7" s="438"/>
      <c r="B7" s="476"/>
      <c r="C7" s="450"/>
      <c r="D7" s="451"/>
      <c r="E7" s="410"/>
      <c r="F7" s="450"/>
      <c r="G7" s="451"/>
      <c r="H7" s="332"/>
      <c r="I7" s="450"/>
      <c r="J7" s="451"/>
      <c r="K7" s="410"/>
      <c r="L7" s="438"/>
      <c r="M7" s="457"/>
      <c r="N7" s="287"/>
      <c r="O7" s="288"/>
      <c r="P7" s="466"/>
      <c r="Q7" s="481"/>
      <c r="R7" s="486"/>
      <c r="S7" s="487"/>
      <c r="T7" s="466"/>
      <c r="U7" s="481"/>
      <c r="V7" s="287"/>
      <c r="W7" s="288"/>
      <c r="X7" s="466"/>
      <c r="Y7" s="467"/>
      <c r="Z7" s="287"/>
      <c r="AA7" s="325"/>
    </row>
    <row r="8" spans="1:32" s="1" customFormat="1" ht="14.9" hidden="1" customHeight="1" x14ac:dyDescent="0.35">
      <c r="A8" s="438"/>
      <c r="B8" s="476"/>
      <c r="C8" s="450"/>
      <c r="D8" s="451"/>
      <c r="E8" s="410"/>
      <c r="F8" s="450"/>
      <c r="G8" s="451"/>
      <c r="H8" s="332"/>
      <c r="I8" s="450"/>
      <c r="J8" s="451"/>
      <c r="K8" s="410"/>
      <c r="L8" s="438"/>
      <c r="M8" s="457"/>
      <c r="N8" s="287"/>
      <c r="O8" s="288"/>
      <c r="P8" s="466"/>
      <c r="Q8" s="481"/>
      <c r="R8" s="486"/>
      <c r="S8" s="487"/>
      <c r="T8" s="466"/>
      <c r="U8" s="481"/>
      <c r="V8" s="287"/>
      <c r="W8" s="288"/>
      <c r="X8" s="466"/>
      <c r="Y8" s="467"/>
      <c r="Z8" s="287"/>
      <c r="AA8" s="325"/>
    </row>
    <row r="9" spans="1:32" s="1" customFormat="1" ht="14.9" hidden="1" customHeight="1" x14ac:dyDescent="0.35">
      <c r="A9" s="438"/>
      <c r="B9" s="476"/>
      <c r="C9" s="450"/>
      <c r="D9" s="451"/>
      <c r="E9" s="410"/>
      <c r="F9" s="450"/>
      <c r="G9" s="451"/>
      <c r="H9" s="332"/>
      <c r="I9" s="450"/>
      <c r="J9" s="451"/>
      <c r="K9" s="410"/>
      <c r="L9" s="438"/>
      <c r="M9" s="457"/>
      <c r="N9" s="287"/>
      <c r="O9" s="288"/>
      <c r="P9" s="466"/>
      <c r="Q9" s="481"/>
      <c r="R9" s="486"/>
      <c r="S9" s="487"/>
      <c r="T9" s="466"/>
      <c r="U9" s="481"/>
      <c r="V9" s="287"/>
      <c r="W9" s="288"/>
      <c r="X9" s="466"/>
      <c r="Y9" s="467"/>
      <c r="Z9" s="287"/>
      <c r="AA9" s="325"/>
    </row>
    <row r="10" spans="1:32" s="1" customFormat="1" ht="15" hidden="1" customHeight="1" x14ac:dyDescent="0.35">
      <c r="A10" s="439"/>
      <c r="B10" s="477"/>
      <c r="C10" s="478"/>
      <c r="D10" s="479"/>
      <c r="E10" s="444"/>
      <c r="F10" s="478"/>
      <c r="G10" s="479"/>
      <c r="H10" s="333"/>
      <c r="I10" s="452"/>
      <c r="J10" s="453"/>
      <c r="K10" s="444"/>
      <c r="L10" s="439"/>
      <c r="M10" s="459"/>
      <c r="N10" s="412"/>
      <c r="O10" s="413"/>
      <c r="P10" s="482"/>
      <c r="Q10" s="483"/>
      <c r="R10" s="488"/>
      <c r="S10" s="489"/>
      <c r="T10" s="468"/>
      <c r="U10" s="490"/>
      <c r="V10" s="289"/>
      <c r="W10" s="290"/>
      <c r="X10" s="468"/>
      <c r="Y10" s="469"/>
      <c r="Z10" s="287"/>
      <c r="AA10" s="325"/>
    </row>
    <row r="11" spans="1:32" ht="80" customHeight="1" x14ac:dyDescent="0.35">
      <c r="A11" s="222" t="s">
        <v>210</v>
      </c>
      <c r="B11" s="871" t="s">
        <v>1345</v>
      </c>
      <c r="C11" s="223" t="s">
        <v>211</v>
      </c>
      <c r="D11" s="223" t="s">
        <v>212</v>
      </c>
      <c r="E11" s="223" t="s">
        <v>213</v>
      </c>
      <c r="F11" s="223" t="s">
        <v>214</v>
      </c>
      <c r="G11" s="223" t="s">
        <v>215</v>
      </c>
      <c r="H11" s="223" t="s">
        <v>216</v>
      </c>
      <c r="I11" s="223" t="s">
        <v>217</v>
      </c>
      <c r="J11" s="223" t="s">
        <v>218</v>
      </c>
      <c r="K11" s="223" t="s">
        <v>219</v>
      </c>
      <c r="L11" s="223" t="s">
        <v>220</v>
      </c>
      <c r="M11" s="223" t="s">
        <v>221</v>
      </c>
      <c r="N11" s="223" t="s">
        <v>222</v>
      </c>
      <c r="O11" s="223" t="s">
        <v>223</v>
      </c>
      <c r="P11" s="223" t="s">
        <v>224</v>
      </c>
      <c r="Q11" s="223" t="s">
        <v>225</v>
      </c>
      <c r="R11" s="223" t="s">
        <v>226</v>
      </c>
      <c r="S11" s="224" t="s">
        <v>227</v>
      </c>
    </row>
    <row r="12" spans="1:32" ht="43" customHeight="1" x14ac:dyDescent="0.35">
      <c r="A12" s="230">
        <v>80101500</v>
      </c>
      <c r="B12" s="847" t="s">
        <v>1021</v>
      </c>
      <c r="C12" s="230" t="s">
        <v>70</v>
      </c>
      <c r="D12" s="230" t="s">
        <v>71</v>
      </c>
      <c r="E12" s="230">
        <v>3</v>
      </c>
      <c r="F12" s="174" t="s">
        <v>1353</v>
      </c>
      <c r="G12" s="233" t="s">
        <v>1354</v>
      </c>
      <c r="H12" s="233" t="s">
        <v>1359</v>
      </c>
      <c r="I12" s="878">
        <v>95200000</v>
      </c>
      <c r="J12" s="886">
        <v>95200000</v>
      </c>
      <c r="K12" s="847" t="s">
        <v>1365</v>
      </c>
      <c r="L12" s="851" t="s">
        <v>1366</v>
      </c>
      <c r="M12" s="856" t="s">
        <v>1367</v>
      </c>
      <c r="N12" s="856" t="s">
        <v>1368</v>
      </c>
      <c r="O12" s="856" t="s">
        <v>1369</v>
      </c>
      <c r="P12" s="856" t="s">
        <v>1370</v>
      </c>
      <c r="Q12" s="856" t="s">
        <v>1371</v>
      </c>
      <c r="R12" s="856" t="s">
        <v>1365</v>
      </c>
      <c r="S12" s="232" t="s">
        <v>1365</v>
      </c>
    </row>
    <row r="13" spans="1:32" ht="43" customHeight="1" x14ac:dyDescent="0.35">
      <c r="A13" s="230">
        <v>80101500</v>
      </c>
      <c r="B13" s="847" t="s">
        <v>1022</v>
      </c>
      <c r="C13" s="230" t="s">
        <v>75</v>
      </c>
      <c r="D13" s="230" t="s">
        <v>76</v>
      </c>
      <c r="E13" s="230">
        <v>1</v>
      </c>
      <c r="F13" s="174" t="s">
        <v>1353</v>
      </c>
      <c r="G13" s="233" t="s">
        <v>1355</v>
      </c>
      <c r="H13" s="233" t="s">
        <v>1359</v>
      </c>
      <c r="I13" s="878">
        <v>11900000</v>
      </c>
      <c r="J13" s="886">
        <v>11900000</v>
      </c>
      <c r="K13" s="847" t="s">
        <v>1365</v>
      </c>
      <c r="L13" s="851" t="s">
        <v>1366</v>
      </c>
      <c r="M13" s="856" t="s">
        <v>1367</v>
      </c>
      <c r="N13" s="856" t="s">
        <v>1368</v>
      </c>
      <c r="O13" s="856" t="s">
        <v>1369</v>
      </c>
      <c r="P13" s="856" t="s">
        <v>1370</v>
      </c>
      <c r="Q13" s="856" t="s">
        <v>1371</v>
      </c>
      <c r="R13" s="856" t="s">
        <v>1365</v>
      </c>
      <c r="S13" s="232" t="s">
        <v>1365</v>
      </c>
    </row>
    <row r="14" spans="1:32" ht="43" customHeight="1" x14ac:dyDescent="0.35">
      <c r="A14" s="229">
        <v>92121604</v>
      </c>
      <c r="B14" s="232" t="s">
        <v>1023</v>
      </c>
      <c r="C14" s="230" t="s">
        <v>69</v>
      </c>
      <c r="D14" s="230" t="s">
        <v>69</v>
      </c>
      <c r="E14" s="230">
        <v>12</v>
      </c>
      <c r="F14" s="174" t="s">
        <v>1353</v>
      </c>
      <c r="G14" s="233" t="s">
        <v>1355</v>
      </c>
      <c r="H14" s="233" t="s">
        <v>1359</v>
      </c>
      <c r="I14" s="878">
        <v>44182320</v>
      </c>
      <c r="J14" s="886">
        <v>44182320</v>
      </c>
      <c r="K14" s="847" t="s">
        <v>1365</v>
      </c>
      <c r="L14" s="851" t="s">
        <v>1366</v>
      </c>
      <c r="M14" s="856" t="s">
        <v>1367</v>
      </c>
      <c r="N14" s="856" t="s">
        <v>1368</v>
      </c>
      <c r="O14" s="856" t="s">
        <v>1372</v>
      </c>
      <c r="P14" s="856" t="s">
        <v>1370</v>
      </c>
      <c r="Q14" s="856" t="s">
        <v>1371</v>
      </c>
      <c r="R14" s="856" t="s">
        <v>1365</v>
      </c>
      <c r="S14" s="232" t="s">
        <v>1365</v>
      </c>
    </row>
    <row r="15" spans="1:32" ht="43" customHeight="1" x14ac:dyDescent="0.35">
      <c r="A15" s="231">
        <v>43231500</v>
      </c>
      <c r="B15" s="232" t="s">
        <v>1024</v>
      </c>
      <c r="C15" s="230" t="s">
        <v>78</v>
      </c>
      <c r="D15" s="230" t="s">
        <v>80</v>
      </c>
      <c r="E15" s="230">
        <v>24</v>
      </c>
      <c r="F15" s="174" t="s">
        <v>1353</v>
      </c>
      <c r="G15" s="233" t="s">
        <v>1355</v>
      </c>
      <c r="H15" s="233" t="s">
        <v>1359</v>
      </c>
      <c r="I15" s="878">
        <v>417334709.60159999</v>
      </c>
      <c r="J15" s="886">
        <v>195016219.44</v>
      </c>
      <c r="K15" s="847" t="s">
        <v>1373</v>
      </c>
      <c r="L15" s="851" t="s">
        <v>1374</v>
      </c>
      <c r="M15" s="856" t="s">
        <v>1367</v>
      </c>
      <c r="N15" s="856" t="s">
        <v>1368</v>
      </c>
      <c r="O15" s="856" t="s">
        <v>1375</v>
      </c>
      <c r="P15" s="856" t="s">
        <v>1370</v>
      </c>
      <c r="Q15" s="856" t="s">
        <v>1371</v>
      </c>
      <c r="R15" s="856" t="s">
        <v>1365</v>
      </c>
      <c r="S15" s="232" t="s">
        <v>1365</v>
      </c>
    </row>
    <row r="16" spans="1:32" ht="43" customHeight="1" x14ac:dyDescent="0.35">
      <c r="A16" s="231">
        <v>43231500</v>
      </c>
      <c r="B16" s="847" t="s">
        <v>1025</v>
      </c>
      <c r="C16" s="230" t="s">
        <v>75</v>
      </c>
      <c r="D16" s="230" t="s">
        <v>78</v>
      </c>
      <c r="E16" s="230">
        <v>24</v>
      </c>
      <c r="F16" s="174" t="s">
        <v>1353</v>
      </c>
      <c r="G16" s="233" t="s">
        <v>1355</v>
      </c>
      <c r="H16" s="233" t="s">
        <v>1359</v>
      </c>
      <c r="I16" s="878">
        <v>76197970.519999996</v>
      </c>
      <c r="J16" s="887">
        <v>19853932</v>
      </c>
      <c r="K16" s="847" t="s">
        <v>1373</v>
      </c>
      <c r="L16" s="851" t="s">
        <v>1374</v>
      </c>
      <c r="M16" s="856" t="s">
        <v>1367</v>
      </c>
      <c r="N16" s="856" t="s">
        <v>1368</v>
      </c>
      <c r="O16" s="856" t="s">
        <v>1376</v>
      </c>
      <c r="P16" s="856" t="s">
        <v>1370</v>
      </c>
      <c r="Q16" s="856" t="s">
        <v>1371</v>
      </c>
      <c r="R16" s="856" t="s">
        <v>1365</v>
      </c>
      <c r="S16" s="232" t="s">
        <v>1365</v>
      </c>
    </row>
    <row r="17" spans="1:19" ht="43" customHeight="1" x14ac:dyDescent="0.35">
      <c r="A17" s="231">
        <v>43231500</v>
      </c>
      <c r="B17" s="848" t="s">
        <v>1026</v>
      </c>
      <c r="C17" s="230" t="s">
        <v>76</v>
      </c>
      <c r="D17" s="230" t="s">
        <v>77</v>
      </c>
      <c r="E17" s="230">
        <v>12</v>
      </c>
      <c r="F17" s="174" t="s">
        <v>1353</v>
      </c>
      <c r="G17" s="233" t="s">
        <v>1355</v>
      </c>
      <c r="H17" s="233" t="s">
        <v>1359</v>
      </c>
      <c r="I17" s="878">
        <v>54264000</v>
      </c>
      <c r="J17" s="886">
        <v>54264000</v>
      </c>
      <c r="K17" s="847" t="s">
        <v>1365</v>
      </c>
      <c r="L17" s="851" t="s">
        <v>1366</v>
      </c>
      <c r="M17" s="856" t="s">
        <v>1367</v>
      </c>
      <c r="N17" s="856" t="s">
        <v>1368</v>
      </c>
      <c r="O17" s="856" t="s">
        <v>1376</v>
      </c>
      <c r="P17" s="856" t="s">
        <v>1370</v>
      </c>
      <c r="Q17" s="856" t="s">
        <v>1371</v>
      </c>
      <c r="R17" s="856" t="s">
        <v>1365</v>
      </c>
      <c r="S17" s="232" t="s">
        <v>1365</v>
      </c>
    </row>
    <row r="18" spans="1:19" ht="43" customHeight="1" x14ac:dyDescent="0.35">
      <c r="A18" s="231">
        <v>43232300</v>
      </c>
      <c r="B18" s="847" t="s">
        <v>1027</v>
      </c>
      <c r="C18" s="230" t="s">
        <v>69</v>
      </c>
      <c r="D18" s="230" t="s">
        <v>69</v>
      </c>
      <c r="E18" s="230">
        <v>12</v>
      </c>
      <c r="F18" s="174" t="s">
        <v>1353</v>
      </c>
      <c r="G18" s="233" t="s">
        <v>1355</v>
      </c>
      <c r="H18" s="233" t="s">
        <v>1359</v>
      </c>
      <c r="I18" s="878">
        <v>15812549.83</v>
      </c>
      <c r="J18" s="886">
        <v>15812550</v>
      </c>
      <c r="K18" s="847" t="s">
        <v>1365</v>
      </c>
      <c r="L18" s="851" t="s">
        <v>1366</v>
      </c>
      <c r="M18" s="856" t="s">
        <v>1367</v>
      </c>
      <c r="N18" s="856" t="s">
        <v>1368</v>
      </c>
      <c r="O18" s="856" t="s">
        <v>1375</v>
      </c>
      <c r="P18" s="856" t="s">
        <v>1370</v>
      </c>
      <c r="Q18" s="856" t="s">
        <v>1371</v>
      </c>
      <c r="R18" s="856" t="s">
        <v>1365</v>
      </c>
      <c r="S18" s="232" t="s">
        <v>1365</v>
      </c>
    </row>
    <row r="19" spans="1:19" ht="43" customHeight="1" x14ac:dyDescent="0.35">
      <c r="A19" s="231">
        <v>43232300</v>
      </c>
      <c r="B19" s="849" t="s">
        <v>1028</v>
      </c>
      <c r="C19" s="230" t="s">
        <v>78</v>
      </c>
      <c r="D19" s="230" t="s">
        <v>1346</v>
      </c>
      <c r="E19" s="230">
        <v>12</v>
      </c>
      <c r="F19" s="174" t="s">
        <v>1353</v>
      </c>
      <c r="G19" s="233" t="s">
        <v>1355</v>
      </c>
      <c r="H19" s="233" t="s">
        <v>1359</v>
      </c>
      <c r="I19" s="878">
        <v>22015000</v>
      </c>
      <c r="J19" s="886">
        <v>22015000</v>
      </c>
      <c r="K19" s="847" t="s">
        <v>1365</v>
      </c>
      <c r="L19" s="851" t="s">
        <v>1366</v>
      </c>
      <c r="M19" s="856" t="s">
        <v>1367</v>
      </c>
      <c r="N19" s="856" t="s">
        <v>1368</v>
      </c>
      <c r="O19" s="856" t="s">
        <v>1375</v>
      </c>
      <c r="P19" s="856" t="s">
        <v>1370</v>
      </c>
      <c r="Q19" s="856" t="s">
        <v>1371</v>
      </c>
      <c r="R19" s="856" t="s">
        <v>1365</v>
      </c>
      <c r="S19" s="232" t="s">
        <v>1365</v>
      </c>
    </row>
    <row r="20" spans="1:19" ht="43" customHeight="1" x14ac:dyDescent="0.35">
      <c r="A20" s="231">
        <v>81112500</v>
      </c>
      <c r="B20" s="847" t="s">
        <v>1029</v>
      </c>
      <c r="C20" s="230" t="s">
        <v>69</v>
      </c>
      <c r="D20" s="230" t="s">
        <v>69</v>
      </c>
      <c r="E20" s="230">
        <v>24</v>
      </c>
      <c r="F20" s="174" t="s">
        <v>1353</v>
      </c>
      <c r="G20" s="233" t="s">
        <v>1355</v>
      </c>
      <c r="H20" s="233" t="s">
        <v>1359</v>
      </c>
      <c r="I20" s="878">
        <v>264506358.69</v>
      </c>
      <c r="J20" s="887">
        <v>123605300</v>
      </c>
      <c r="K20" s="847" t="s">
        <v>1373</v>
      </c>
      <c r="L20" s="851" t="s">
        <v>1374</v>
      </c>
      <c r="M20" s="856" t="s">
        <v>1367</v>
      </c>
      <c r="N20" s="856" t="s">
        <v>1368</v>
      </c>
      <c r="O20" s="856" t="s">
        <v>1372</v>
      </c>
      <c r="P20" s="856" t="s">
        <v>1370</v>
      </c>
      <c r="Q20" s="856" t="s">
        <v>1371</v>
      </c>
      <c r="R20" s="856" t="s">
        <v>1365</v>
      </c>
      <c r="S20" s="232" t="s">
        <v>1365</v>
      </c>
    </row>
    <row r="21" spans="1:19" ht="43" customHeight="1" x14ac:dyDescent="0.35">
      <c r="A21" s="231">
        <v>43232300</v>
      </c>
      <c r="B21" s="850" t="s">
        <v>1030</v>
      </c>
      <c r="C21" s="230" t="s">
        <v>69</v>
      </c>
      <c r="D21" s="230" t="s">
        <v>70</v>
      </c>
      <c r="E21" s="230">
        <v>12</v>
      </c>
      <c r="F21" s="174" t="s">
        <v>1353</v>
      </c>
      <c r="G21" s="233" t="s">
        <v>1355</v>
      </c>
      <c r="H21" s="233" t="s">
        <v>1359</v>
      </c>
      <c r="I21" s="878">
        <v>160607160</v>
      </c>
      <c r="J21" s="886">
        <v>160607160</v>
      </c>
      <c r="K21" s="847" t="s">
        <v>1365</v>
      </c>
      <c r="L21" s="851" t="s">
        <v>1366</v>
      </c>
      <c r="M21" s="856" t="s">
        <v>1367</v>
      </c>
      <c r="N21" s="856" t="s">
        <v>1368</v>
      </c>
      <c r="O21" s="856" t="s">
        <v>1377</v>
      </c>
      <c r="P21" s="856" t="s">
        <v>1370</v>
      </c>
      <c r="Q21" s="856" t="s">
        <v>1371</v>
      </c>
      <c r="R21" s="856" t="s">
        <v>1365</v>
      </c>
      <c r="S21" s="232" t="s">
        <v>1365</v>
      </c>
    </row>
    <row r="22" spans="1:19" ht="43" customHeight="1" x14ac:dyDescent="0.35">
      <c r="A22" s="229">
        <v>80101500</v>
      </c>
      <c r="B22" s="847" t="s">
        <v>1031</v>
      </c>
      <c r="C22" s="230" t="s">
        <v>69</v>
      </c>
      <c r="D22" s="230" t="s">
        <v>70</v>
      </c>
      <c r="E22" s="230">
        <v>5</v>
      </c>
      <c r="F22" s="174" t="s">
        <v>1353</v>
      </c>
      <c r="G22" s="233" t="s">
        <v>1355</v>
      </c>
      <c r="H22" s="233" t="s">
        <v>1359</v>
      </c>
      <c r="I22" s="878">
        <v>43624210</v>
      </c>
      <c r="J22" s="886">
        <v>43624210</v>
      </c>
      <c r="K22" s="847" t="s">
        <v>1365</v>
      </c>
      <c r="L22" s="851" t="s">
        <v>1366</v>
      </c>
      <c r="M22" s="856" t="s">
        <v>1367</v>
      </c>
      <c r="N22" s="856" t="s">
        <v>1368</v>
      </c>
      <c r="O22" s="856" t="s">
        <v>1377</v>
      </c>
      <c r="P22" s="856" t="s">
        <v>1370</v>
      </c>
      <c r="Q22" s="856" t="s">
        <v>1371</v>
      </c>
      <c r="R22" s="856" t="s">
        <v>1365</v>
      </c>
      <c r="S22" s="232" t="s">
        <v>1365</v>
      </c>
    </row>
    <row r="23" spans="1:19" ht="43" customHeight="1" x14ac:dyDescent="0.35">
      <c r="A23" s="229">
        <v>80101500</v>
      </c>
      <c r="B23" s="847" t="s">
        <v>1032</v>
      </c>
      <c r="C23" s="230" t="s">
        <v>70</v>
      </c>
      <c r="D23" s="230" t="s">
        <v>71</v>
      </c>
      <c r="E23" s="230">
        <v>5</v>
      </c>
      <c r="F23" s="174" t="s">
        <v>1353</v>
      </c>
      <c r="G23" s="233" t="s">
        <v>1355</v>
      </c>
      <c r="H23" s="233" t="s">
        <v>1359</v>
      </c>
      <c r="I23" s="878">
        <v>43624210</v>
      </c>
      <c r="J23" s="886">
        <v>43624210</v>
      </c>
      <c r="K23" s="847" t="s">
        <v>1365</v>
      </c>
      <c r="L23" s="851" t="s">
        <v>1366</v>
      </c>
      <c r="M23" s="856" t="s">
        <v>1367</v>
      </c>
      <c r="N23" s="856" t="s">
        <v>1368</v>
      </c>
      <c r="O23" s="856" t="s">
        <v>1375</v>
      </c>
      <c r="P23" s="856" t="s">
        <v>1370</v>
      </c>
      <c r="Q23" s="856" t="s">
        <v>1371</v>
      </c>
      <c r="R23" s="856" t="s">
        <v>1365</v>
      </c>
      <c r="S23" s="232" t="s">
        <v>1365</v>
      </c>
    </row>
    <row r="24" spans="1:19" ht="43" customHeight="1" x14ac:dyDescent="0.35">
      <c r="A24" s="229">
        <v>84121702</v>
      </c>
      <c r="B24" s="847" t="s">
        <v>1033</v>
      </c>
      <c r="C24" s="230" t="s">
        <v>77</v>
      </c>
      <c r="D24" s="230" t="s">
        <v>80</v>
      </c>
      <c r="E24" s="230">
        <v>24</v>
      </c>
      <c r="F24" s="174" t="s">
        <v>1353</v>
      </c>
      <c r="G24" s="233" t="s">
        <v>1355</v>
      </c>
      <c r="H24" s="233" t="s">
        <v>1359</v>
      </c>
      <c r="I24" s="878">
        <v>315204422.54000002</v>
      </c>
      <c r="J24" s="886">
        <v>0</v>
      </c>
      <c r="K24" s="847" t="s">
        <v>1373</v>
      </c>
      <c r="L24" s="851" t="s">
        <v>1374</v>
      </c>
      <c r="M24" s="856" t="s">
        <v>1367</v>
      </c>
      <c r="N24" s="856" t="s">
        <v>1368</v>
      </c>
      <c r="O24" s="856" t="s">
        <v>1376</v>
      </c>
      <c r="P24" s="856" t="s">
        <v>1370</v>
      </c>
      <c r="Q24" s="856" t="s">
        <v>1371</v>
      </c>
      <c r="R24" s="856" t="s">
        <v>1365</v>
      </c>
      <c r="S24" s="232" t="s">
        <v>1365</v>
      </c>
    </row>
    <row r="25" spans="1:19" ht="43" customHeight="1" x14ac:dyDescent="0.35">
      <c r="A25" s="231">
        <v>80101500</v>
      </c>
      <c r="B25" s="847" t="s">
        <v>1034</v>
      </c>
      <c r="C25" s="229" t="s">
        <v>80</v>
      </c>
      <c r="D25" s="229" t="s">
        <v>69</v>
      </c>
      <c r="E25" s="231">
        <v>12</v>
      </c>
      <c r="F25" s="174" t="s">
        <v>1353</v>
      </c>
      <c r="G25" s="233" t="s">
        <v>1355</v>
      </c>
      <c r="H25" s="233" t="s">
        <v>1359</v>
      </c>
      <c r="I25" s="878">
        <v>35960763.509999998</v>
      </c>
      <c r="J25" s="886">
        <v>35960764</v>
      </c>
      <c r="K25" s="847" t="s">
        <v>1365</v>
      </c>
      <c r="L25" s="851" t="s">
        <v>1366</v>
      </c>
      <c r="M25" s="856" t="s">
        <v>1367</v>
      </c>
      <c r="N25" s="856" t="s">
        <v>1368</v>
      </c>
      <c r="O25" s="856" t="s">
        <v>1378</v>
      </c>
      <c r="P25" s="856" t="s">
        <v>1370</v>
      </c>
      <c r="Q25" s="856" t="s">
        <v>1371</v>
      </c>
      <c r="R25" s="856" t="s">
        <v>1365</v>
      </c>
      <c r="S25" s="232" t="s">
        <v>1365</v>
      </c>
    </row>
    <row r="26" spans="1:19" ht="43" customHeight="1" x14ac:dyDescent="0.35">
      <c r="A26" s="230">
        <v>76121501</v>
      </c>
      <c r="B26" s="851" t="s">
        <v>1035</v>
      </c>
      <c r="C26" s="230" t="s">
        <v>75</v>
      </c>
      <c r="D26" s="230" t="s">
        <v>92</v>
      </c>
      <c r="E26" s="835">
        <v>12</v>
      </c>
      <c r="F26" s="174" t="s">
        <v>1353</v>
      </c>
      <c r="G26" s="233" t="s">
        <v>1355</v>
      </c>
      <c r="H26" s="233" t="s">
        <v>1359</v>
      </c>
      <c r="I26" s="879">
        <v>53550000</v>
      </c>
      <c r="J26" s="888">
        <v>53550000</v>
      </c>
      <c r="K26" s="847" t="s">
        <v>1365</v>
      </c>
      <c r="L26" s="851" t="s">
        <v>1366</v>
      </c>
      <c r="M26" s="903" t="s">
        <v>1379</v>
      </c>
      <c r="N26" s="856" t="s">
        <v>1368</v>
      </c>
      <c r="O26" s="856" t="s">
        <v>1380</v>
      </c>
      <c r="P26" s="856" t="s">
        <v>1370</v>
      </c>
      <c r="Q26" s="856" t="s">
        <v>1371</v>
      </c>
      <c r="R26" s="856" t="s">
        <v>1365</v>
      </c>
      <c r="S26" s="232" t="s">
        <v>1365</v>
      </c>
    </row>
    <row r="27" spans="1:19" ht="43" customHeight="1" x14ac:dyDescent="0.35">
      <c r="A27" s="230">
        <v>81101600</v>
      </c>
      <c r="B27" s="851" t="s">
        <v>1036</v>
      </c>
      <c r="C27" s="230" t="s">
        <v>71</v>
      </c>
      <c r="D27" s="230" t="s">
        <v>92</v>
      </c>
      <c r="E27" s="835">
        <v>36</v>
      </c>
      <c r="F27" s="174" t="s">
        <v>1353</v>
      </c>
      <c r="G27" s="230" t="s">
        <v>1356</v>
      </c>
      <c r="H27" s="233" t="s">
        <v>1359</v>
      </c>
      <c r="I27" s="879">
        <v>6902641093</v>
      </c>
      <c r="J27" s="889">
        <v>1992947033</v>
      </c>
      <c r="K27" s="847" t="s">
        <v>1373</v>
      </c>
      <c r="L27" s="851" t="s">
        <v>1374</v>
      </c>
      <c r="M27" s="903" t="s">
        <v>1379</v>
      </c>
      <c r="N27" s="856" t="s">
        <v>1368</v>
      </c>
      <c r="O27" s="856" t="s">
        <v>1381</v>
      </c>
      <c r="P27" s="856" t="s">
        <v>1370</v>
      </c>
      <c r="Q27" s="856" t="s">
        <v>1371</v>
      </c>
      <c r="R27" s="856" t="s">
        <v>1365</v>
      </c>
      <c r="S27" s="232" t="s">
        <v>1365</v>
      </c>
    </row>
    <row r="28" spans="1:19" ht="43" customHeight="1" x14ac:dyDescent="0.35">
      <c r="A28" s="230">
        <v>81111700</v>
      </c>
      <c r="B28" s="851" t="s">
        <v>1037</v>
      </c>
      <c r="C28" s="230" t="s">
        <v>75</v>
      </c>
      <c r="D28" s="230" t="s">
        <v>92</v>
      </c>
      <c r="E28" s="835">
        <v>24</v>
      </c>
      <c r="F28" s="174" t="s">
        <v>1353</v>
      </c>
      <c r="G28" s="230" t="s">
        <v>1355</v>
      </c>
      <c r="H28" s="233" t="s">
        <v>1359</v>
      </c>
      <c r="I28" s="879">
        <v>762246408</v>
      </c>
      <c r="J28" s="890">
        <v>363171816</v>
      </c>
      <c r="K28" s="847" t="s">
        <v>1373</v>
      </c>
      <c r="L28" s="851" t="s">
        <v>1374</v>
      </c>
      <c r="M28" s="903" t="s">
        <v>1379</v>
      </c>
      <c r="N28" s="856" t="s">
        <v>1368</v>
      </c>
      <c r="O28" s="856" t="s">
        <v>1381</v>
      </c>
      <c r="P28" s="856" t="s">
        <v>1370</v>
      </c>
      <c r="Q28" s="856" t="s">
        <v>1371</v>
      </c>
      <c r="R28" s="856" t="s">
        <v>1365</v>
      </c>
      <c r="S28" s="232" t="s">
        <v>1365</v>
      </c>
    </row>
    <row r="29" spans="1:19" ht="43" customHeight="1" x14ac:dyDescent="0.35">
      <c r="A29" s="230">
        <v>95141706</v>
      </c>
      <c r="B29" s="851" t="s">
        <v>1038</v>
      </c>
      <c r="C29" s="230" t="s">
        <v>70</v>
      </c>
      <c r="D29" s="230" t="s">
        <v>92</v>
      </c>
      <c r="E29" s="835">
        <v>36</v>
      </c>
      <c r="F29" s="174" t="s">
        <v>1353</v>
      </c>
      <c r="G29" s="230" t="s">
        <v>1356</v>
      </c>
      <c r="H29" s="233" t="s">
        <v>1359</v>
      </c>
      <c r="I29" s="879">
        <v>1960625014.0000002</v>
      </c>
      <c r="J29" s="890">
        <v>533797110</v>
      </c>
      <c r="K29" s="847" t="s">
        <v>1373</v>
      </c>
      <c r="L29" s="851" t="s">
        <v>1374</v>
      </c>
      <c r="M29" s="903" t="s">
        <v>1379</v>
      </c>
      <c r="N29" s="856" t="s">
        <v>1368</v>
      </c>
      <c r="O29" s="856" t="s">
        <v>1381</v>
      </c>
      <c r="P29" s="856" t="s">
        <v>1370</v>
      </c>
      <c r="Q29" s="856" t="s">
        <v>1371</v>
      </c>
      <c r="R29" s="856" t="s">
        <v>1365</v>
      </c>
      <c r="S29" s="232" t="s">
        <v>1365</v>
      </c>
    </row>
    <row r="30" spans="1:19" ht="43" customHeight="1" x14ac:dyDescent="0.35">
      <c r="A30" s="230">
        <v>80161702</v>
      </c>
      <c r="B30" s="851" t="s">
        <v>1039</v>
      </c>
      <c r="C30" s="230" t="s">
        <v>72</v>
      </c>
      <c r="D30" s="230" t="s">
        <v>92</v>
      </c>
      <c r="E30" s="835">
        <v>36</v>
      </c>
      <c r="F30" s="174" t="s">
        <v>1353</v>
      </c>
      <c r="G30" s="233" t="s">
        <v>1355</v>
      </c>
      <c r="H30" s="233" t="s">
        <v>1359</v>
      </c>
      <c r="I30" s="879">
        <v>53550000</v>
      </c>
      <c r="J30" s="890">
        <v>53550000</v>
      </c>
      <c r="K30" s="852" t="s">
        <v>1373</v>
      </c>
      <c r="L30" s="851" t="s">
        <v>1374</v>
      </c>
      <c r="M30" s="903" t="s">
        <v>1379</v>
      </c>
      <c r="N30" s="856" t="s">
        <v>1368</v>
      </c>
      <c r="O30" s="856" t="s">
        <v>1381</v>
      </c>
      <c r="P30" s="856" t="s">
        <v>1370</v>
      </c>
      <c r="Q30" s="856" t="s">
        <v>1371</v>
      </c>
      <c r="R30" s="856" t="s">
        <v>1365</v>
      </c>
      <c r="S30" s="232" t="s">
        <v>1365</v>
      </c>
    </row>
    <row r="31" spans="1:19" ht="43" customHeight="1" x14ac:dyDescent="0.35">
      <c r="A31" s="230">
        <v>80101510</v>
      </c>
      <c r="B31" s="851" t="s">
        <v>1040</v>
      </c>
      <c r="C31" s="230" t="s">
        <v>75</v>
      </c>
      <c r="D31" s="872" t="s">
        <v>76</v>
      </c>
      <c r="E31" s="876">
        <v>12</v>
      </c>
      <c r="F31" s="174" t="s">
        <v>1353</v>
      </c>
      <c r="G31" s="872" t="s">
        <v>1355</v>
      </c>
      <c r="H31" s="233" t="s">
        <v>1359</v>
      </c>
      <c r="I31" s="879">
        <v>4455000000.0100002</v>
      </c>
      <c r="J31" s="890">
        <v>4455000000</v>
      </c>
      <c r="K31" s="847" t="s">
        <v>1365</v>
      </c>
      <c r="L31" s="851" t="s">
        <v>1366</v>
      </c>
      <c r="M31" s="903" t="s">
        <v>1379</v>
      </c>
      <c r="N31" s="856" t="s">
        <v>1368</v>
      </c>
      <c r="O31" s="856" t="s">
        <v>1382</v>
      </c>
      <c r="P31" s="856" t="s">
        <v>1370</v>
      </c>
      <c r="Q31" s="856" t="s">
        <v>1371</v>
      </c>
      <c r="R31" s="856" t="s">
        <v>1365</v>
      </c>
      <c r="S31" s="232" t="s">
        <v>1365</v>
      </c>
    </row>
    <row r="32" spans="1:19" ht="43" customHeight="1" x14ac:dyDescent="0.35">
      <c r="A32" s="230">
        <v>85122201</v>
      </c>
      <c r="B32" s="851" t="s">
        <v>1041</v>
      </c>
      <c r="C32" s="230" t="s">
        <v>76</v>
      </c>
      <c r="D32" s="230" t="s">
        <v>77</v>
      </c>
      <c r="E32" s="230">
        <v>24</v>
      </c>
      <c r="F32" s="174" t="s">
        <v>1353</v>
      </c>
      <c r="G32" s="233" t="s">
        <v>1355</v>
      </c>
      <c r="H32" s="233" t="s">
        <v>1359</v>
      </c>
      <c r="I32" s="879">
        <v>1000000000</v>
      </c>
      <c r="J32" s="890">
        <v>1000000000</v>
      </c>
      <c r="K32" s="847" t="s">
        <v>1365</v>
      </c>
      <c r="L32" s="851" t="s">
        <v>1366</v>
      </c>
      <c r="M32" s="903" t="s">
        <v>1379</v>
      </c>
      <c r="N32" s="856" t="s">
        <v>1368</v>
      </c>
      <c r="O32" s="856" t="s">
        <v>1383</v>
      </c>
      <c r="P32" s="856" t="s">
        <v>1370</v>
      </c>
      <c r="Q32" s="856" t="s">
        <v>1371</v>
      </c>
      <c r="R32" s="856" t="s">
        <v>1365</v>
      </c>
      <c r="S32" s="232" t="s">
        <v>1365</v>
      </c>
    </row>
    <row r="33" spans="1:19" ht="43" customHeight="1" x14ac:dyDescent="0.35">
      <c r="A33" s="831" t="s">
        <v>973</v>
      </c>
      <c r="B33" s="847" t="s">
        <v>1042</v>
      </c>
      <c r="C33" s="230" t="s">
        <v>71</v>
      </c>
      <c r="D33" s="230" t="s">
        <v>77</v>
      </c>
      <c r="E33" s="230">
        <v>24</v>
      </c>
      <c r="F33" s="174" t="s">
        <v>1353</v>
      </c>
      <c r="G33" s="233" t="s">
        <v>1355</v>
      </c>
      <c r="H33" s="233" t="s">
        <v>1359</v>
      </c>
      <c r="I33" s="878">
        <v>999600000</v>
      </c>
      <c r="J33" s="886">
        <v>499800000</v>
      </c>
      <c r="K33" s="847" t="s">
        <v>1373</v>
      </c>
      <c r="L33" s="847" t="s">
        <v>1374</v>
      </c>
      <c r="M33" s="856" t="s">
        <v>1384</v>
      </c>
      <c r="N33" s="856" t="s">
        <v>1368</v>
      </c>
      <c r="O33" s="856" t="s">
        <v>1385</v>
      </c>
      <c r="P33" s="856" t="s">
        <v>1370</v>
      </c>
      <c r="Q33" s="856" t="s">
        <v>1371</v>
      </c>
      <c r="R33" s="856" t="s">
        <v>1365</v>
      </c>
      <c r="S33" s="232" t="s">
        <v>1365</v>
      </c>
    </row>
    <row r="34" spans="1:19" ht="43" customHeight="1" x14ac:dyDescent="0.35">
      <c r="A34" s="831">
        <v>84101501</v>
      </c>
      <c r="B34" s="847" t="s">
        <v>1043</v>
      </c>
      <c r="C34" s="230" t="s">
        <v>75</v>
      </c>
      <c r="D34" s="230" t="s">
        <v>75</v>
      </c>
      <c r="E34" s="230">
        <v>6</v>
      </c>
      <c r="F34" s="174" t="s">
        <v>1353</v>
      </c>
      <c r="G34" s="233" t="s">
        <v>1355</v>
      </c>
      <c r="H34" s="233" t="s">
        <v>1359</v>
      </c>
      <c r="I34" s="878">
        <v>54264000</v>
      </c>
      <c r="J34" s="886">
        <v>54264000</v>
      </c>
      <c r="K34" s="847" t="s">
        <v>1365</v>
      </c>
      <c r="L34" s="847" t="s">
        <v>1366</v>
      </c>
      <c r="M34" s="856" t="s">
        <v>1384</v>
      </c>
      <c r="N34" s="856" t="s">
        <v>1368</v>
      </c>
      <c r="O34" s="856" t="s">
        <v>1386</v>
      </c>
      <c r="P34" s="856" t="s">
        <v>1370</v>
      </c>
      <c r="Q34" s="856" t="s">
        <v>1371</v>
      </c>
      <c r="R34" s="856" t="s">
        <v>1365</v>
      </c>
      <c r="S34" s="232" t="s">
        <v>1365</v>
      </c>
    </row>
    <row r="35" spans="1:19" ht="43" customHeight="1" x14ac:dyDescent="0.35">
      <c r="A35" s="831">
        <v>84121701</v>
      </c>
      <c r="B35" s="852" t="s">
        <v>1044</v>
      </c>
      <c r="C35" s="835" t="s">
        <v>70</v>
      </c>
      <c r="D35" s="835" t="s">
        <v>70</v>
      </c>
      <c r="E35" s="835">
        <v>12</v>
      </c>
      <c r="F35" s="174" t="s">
        <v>1353</v>
      </c>
      <c r="G35" s="233" t="s">
        <v>1355</v>
      </c>
      <c r="H35" s="233" t="s">
        <v>1359</v>
      </c>
      <c r="I35" s="878">
        <v>6000000</v>
      </c>
      <c r="J35" s="886">
        <v>6000000</v>
      </c>
      <c r="K35" s="852" t="s">
        <v>1365</v>
      </c>
      <c r="L35" s="852" t="s">
        <v>1366</v>
      </c>
      <c r="M35" s="852" t="s">
        <v>1384</v>
      </c>
      <c r="N35" s="856" t="s">
        <v>1368</v>
      </c>
      <c r="O35" s="856" t="s">
        <v>1387</v>
      </c>
      <c r="P35" s="856" t="s">
        <v>1370</v>
      </c>
      <c r="Q35" s="856" t="s">
        <v>1371</v>
      </c>
      <c r="R35" s="856" t="s">
        <v>1365</v>
      </c>
      <c r="S35" s="232" t="s">
        <v>1365</v>
      </c>
    </row>
    <row r="36" spans="1:19" ht="43" customHeight="1" x14ac:dyDescent="0.35">
      <c r="A36" s="831">
        <v>84121704</v>
      </c>
      <c r="B36" s="852" t="s">
        <v>1045</v>
      </c>
      <c r="C36" s="835" t="s">
        <v>71</v>
      </c>
      <c r="D36" s="835" t="s">
        <v>71</v>
      </c>
      <c r="E36" s="835">
        <v>12</v>
      </c>
      <c r="F36" s="174" t="s">
        <v>1353</v>
      </c>
      <c r="G36" s="233" t="s">
        <v>1355</v>
      </c>
      <c r="H36" s="233" t="s">
        <v>1359</v>
      </c>
      <c r="I36" s="878">
        <v>19337500</v>
      </c>
      <c r="J36" s="886">
        <v>10829000</v>
      </c>
      <c r="K36" s="852" t="s">
        <v>1373</v>
      </c>
      <c r="L36" s="852" t="s">
        <v>1374</v>
      </c>
      <c r="M36" s="852" t="s">
        <v>1384</v>
      </c>
      <c r="N36" s="856" t="s">
        <v>1368</v>
      </c>
      <c r="O36" s="856" t="s">
        <v>1387</v>
      </c>
      <c r="P36" s="856" t="s">
        <v>1370</v>
      </c>
      <c r="Q36" s="856" t="s">
        <v>1371</v>
      </c>
      <c r="R36" s="856" t="s">
        <v>1365</v>
      </c>
      <c r="S36" s="232" t="s">
        <v>1365</v>
      </c>
    </row>
    <row r="37" spans="1:19" ht="43" customHeight="1" x14ac:dyDescent="0.35">
      <c r="A37" s="831">
        <v>84121704</v>
      </c>
      <c r="B37" s="852" t="s">
        <v>1046</v>
      </c>
      <c r="C37" s="835" t="s">
        <v>74</v>
      </c>
      <c r="D37" s="835" t="s">
        <v>74</v>
      </c>
      <c r="E37" s="835">
        <v>12</v>
      </c>
      <c r="F37" s="174" t="s">
        <v>1353</v>
      </c>
      <c r="G37" s="233" t="s">
        <v>1355</v>
      </c>
      <c r="H37" s="233" t="s">
        <v>1359</v>
      </c>
      <c r="I37" s="878">
        <v>2019300</v>
      </c>
      <c r="J37" s="886">
        <v>2019300</v>
      </c>
      <c r="K37" s="852" t="s">
        <v>1365</v>
      </c>
      <c r="L37" s="852" t="s">
        <v>1366</v>
      </c>
      <c r="M37" s="852" t="s">
        <v>1384</v>
      </c>
      <c r="N37" s="856" t="s">
        <v>1368</v>
      </c>
      <c r="O37" s="856" t="s">
        <v>1387</v>
      </c>
      <c r="P37" s="856" t="s">
        <v>1370</v>
      </c>
      <c r="Q37" s="856" t="s">
        <v>1371</v>
      </c>
      <c r="R37" s="856" t="s">
        <v>1365</v>
      </c>
      <c r="S37" s="232" t="s">
        <v>1365</v>
      </c>
    </row>
    <row r="38" spans="1:19" ht="43" customHeight="1" x14ac:dyDescent="0.35">
      <c r="A38" s="831">
        <v>84121806</v>
      </c>
      <c r="B38" s="852" t="s">
        <v>1047</v>
      </c>
      <c r="C38" s="835" t="s">
        <v>75</v>
      </c>
      <c r="D38" s="835" t="s">
        <v>76</v>
      </c>
      <c r="E38" s="835">
        <v>36</v>
      </c>
      <c r="F38" s="174" t="s">
        <v>1353</v>
      </c>
      <c r="G38" s="230" t="s">
        <v>1355</v>
      </c>
      <c r="H38" s="233" t="s">
        <v>1359</v>
      </c>
      <c r="I38" s="878">
        <v>1341405029</v>
      </c>
      <c r="J38" s="886">
        <v>98499554.649999991</v>
      </c>
      <c r="K38" s="852" t="s">
        <v>1373</v>
      </c>
      <c r="L38" s="852" t="s">
        <v>1374</v>
      </c>
      <c r="M38" s="852" t="s">
        <v>1384</v>
      </c>
      <c r="N38" s="856" t="s">
        <v>1368</v>
      </c>
      <c r="O38" s="856" t="s">
        <v>1387</v>
      </c>
      <c r="P38" s="856" t="s">
        <v>1370</v>
      </c>
      <c r="Q38" s="856" t="s">
        <v>1371</v>
      </c>
      <c r="R38" s="856" t="s">
        <v>1365</v>
      </c>
      <c r="S38" s="232" t="s">
        <v>1365</v>
      </c>
    </row>
    <row r="39" spans="1:19" ht="43" customHeight="1" x14ac:dyDescent="0.35">
      <c r="A39" s="831" t="s">
        <v>974</v>
      </c>
      <c r="B39" s="852" t="s">
        <v>1048</v>
      </c>
      <c r="C39" s="835" t="s">
        <v>75</v>
      </c>
      <c r="D39" s="835" t="s">
        <v>76</v>
      </c>
      <c r="E39" s="835">
        <v>36</v>
      </c>
      <c r="F39" s="174" t="s">
        <v>1353</v>
      </c>
      <c r="G39" s="230" t="s">
        <v>1355</v>
      </c>
      <c r="H39" s="233" t="s">
        <v>1359</v>
      </c>
      <c r="I39" s="878">
        <v>154456345</v>
      </c>
      <c r="J39" s="886">
        <v>9520000</v>
      </c>
      <c r="K39" s="852" t="s">
        <v>1373</v>
      </c>
      <c r="L39" s="852" t="s">
        <v>1374</v>
      </c>
      <c r="M39" s="852" t="s">
        <v>1384</v>
      </c>
      <c r="N39" s="856" t="s">
        <v>1368</v>
      </c>
      <c r="O39" s="856" t="s">
        <v>1387</v>
      </c>
      <c r="P39" s="856" t="s">
        <v>1370</v>
      </c>
      <c r="Q39" s="856" t="s">
        <v>1371</v>
      </c>
      <c r="R39" s="856" t="s">
        <v>1365</v>
      </c>
      <c r="S39" s="232" t="s">
        <v>1365</v>
      </c>
    </row>
    <row r="40" spans="1:19" ht="43" customHeight="1" x14ac:dyDescent="0.35">
      <c r="A40" s="831">
        <v>84121702</v>
      </c>
      <c r="B40" s="852" t="s">
        <v>1049</v>
      </c>
      <c r="C40" s="835" t="s">
        <v>77</v>
      </c>
      <c r="D40" s="835" t="s">
        <v>77</v>
      </c>
      <c r="E40" s="835">
        <v>24</v>
      </c>
      <c r="F40" s="174" t="s">
        <v>1353</v>
      </c>
      <c r="G40" s="230" t="s">
        <v>1355</v>
      </c>
      <c r="H40" s="233" t="s">
        <v>1359</v>
      </c>
      <c r="I40" s="878">
        <v>323827603</v>
      </c>
      <c r="J40" s="886">
        <v>0</v>
      </c>
      <c r="K40" s="852" t="s">
        <v>1373</v>
      </c>
      <c r="L40" s="852" t="s">
        <v>1374</v>
      </c>
      <c r="M40" s="852" t="s">
        <v>1384</v>
      </c>
      <c r="N40" s="856" t="s">
        <v>1368</v>
      </c>
      <c r="O40" s="856" t="s">
        <v>1387</v>
      </c>
      <c r="P40" s="856" t="s">
        <v>1370</v>
      </c>
      <c r="Q40" s="856" t="s">
        <v>1371</v>
      </c>
      <c r="R40" s="856" t="s">
        <v>1365</v>
      </c>
      <c r="S40" s="232" t="s">
        <v>1365</v>
      </c>
    </row>
    <row r="41" spans="1:19" ht="43" customHeight="1" x14ac:dyDescent="0.35">
      <c r="A41" s="831">
        <v>94101610</v>
      </c>
      <c r="B41" s="852" t="s">
        <v>1050</v>
      </c>
      <c r="C41" s="835" t="s">
        <v>72</v>
      </c>
      <c r="D41" s="835" t="s">
        <v>73</v>
      </c>
      <c r="E41" s="835">
        <v>12</v>
      </c>
      <c r="F41" s="174" t="s">
        <v>1353</v>
      </c>
      <c r="G41" s="233" t="s">
        <v>1355</v>
      </c>
      <c r="H41" s="233" t="s">
        <v>1359</v>
      </c>
      <c r="I41" s="879">
        <v>3804819.13</v>
      </c>
      <c r="J41" s="886">
        <v>3804819</v>
      </c>
      <c r="K41" s="852" t="s">
        <v>1365</v>
      </c>
      <c r="L41" s="852" t="s">
        <v>1366</v>
      </c>
      <c r="M41" s="852" t="s">
        <v>1384</v>
      </c>
      <c r="N41" s="856" t="s">
        <v>1368</v>
      </c>
      <c r="O41" s="856" t="s">
        <v>1388</v>
      </c>
      <c r="P41" s="856" t="s">
        <v>1370</v>
      </c>
      <c r="Q41" s="856" t="s">
        <v>1371</v>
      </c>
      <c r="R41" s="856" t="s">
        <v>1365</v>
      </c>
      <c r="S41" s="232" t="s">
        <v>1365</v>
      </c>
    </row>
    <row r="42" spans="1:19" ht="43" customHeight="1" x14ac:dyDescent="0.35">
      <c r="A42" s="831">
        <v>80101505</v>
      </c>
      <c r="B42" s="852" t="s">
        <v>1051</v>
      </c>
      <c r="C42" s="835" t="s">
        <v>75</v>
      </c>
      <c r="D42" s="835" t="s">
        <v>78</v>
      </c>
      <c r="E42" s="835">
        <v>36</v>
      </c>
      <c r="F42" s="174" t="s">
        <v>1353</v>
      </c>
      <c r="G42" s="230" t="s">
        <v>1354</v>
      </c>
      <c r="H42" s="233" t="s">
        <v>1359</v>
      </c>
      <c r="I42" s="879">
        <v>349860000</v>
      </c>
      <c r="J42" s="886">
        <v>26299000</v>
      </c>
      <c r="K42" s="852" t="s">
        <v>1373</v>
      </c>
      <c r="L42" s="852" t="s">
        <v>1374</v>
      </c>
      <c r="M42" s="852" t="s">
        <v>1384</v>
      </c>
      <c r="N42" s="856" t="s">
        <v>1368</v>
      </c>
      <c r="O42" s="856" t="s">
        <v>1389</v>
      </c>
      <c r="P42" s="856" t="s">
        <v>1370</v>
      </c>
      <c r="Q42" s="856" t="s">
        <v>1371</v>
      </c>
      <c r="R42" s="856" t="s">
        <v>1365</v>
      </c>
      <c r="S42" s="232" t="s">
        <v>1365</v>
      </c>
    </row>
    <row r="43" spans="1:19" ht="43" customHeight="1" x14ac:dyDescent="0.35">
      <c r="A43" s="831">
        <v>93161800</v>
      </c>
      <c r="B43" s="852" t="s">
        <v>1052</v>
      </c>
      <c r="C43" s="835" t="s">
        <v>69</v>
      </c>
      <c r="D43" s="835" t="s">
        <v>76</v>
      </c>
      <c r="E43" s="835">
        <v>12</v>
      </c>
      <c r="F43" s="174" t="s">
        <v>1353</v>
      </c>
      <c r="G43" s="233" t="s">
        <v>1355</v>
      </c>
      <c r="H43" s="233" t="s">
        <v>1359</v>
      </c>
      <c r="I43" s="879">
        <v>29750000</v>
      </c>
      <c r="J43" s="886">
        <v>29750000</v>
      </c>
      <c r="K43" s="852" t="s">
        <v>1365</v>
      </c>
      <c r="L43" s="852" t="s">
        <v>1366</v>
      </c>
      <c r="M43" s="852" t="s">
        <v>1384</v>
      </c>
      <c r="N43" s="856" t="s">
        <v>1368</v>
      </c>
      <c r="O43" s="856" t="s">
        <v>1388</v>
      </c>
      <c r="P43" s="856" t="s">
        <v>1370</v>
      </c>
      <c r="Q43" s="856" t="s">
        <v>1371</v>
      </c>
      <c r="R43" s="856" t="s">
        <v>1365</v>
      </c>
      <c r="S43" s="232" t="s">
        <v>1365</v>
      </c>
    </row>
    <row r="44" spans="1:19" ht="43" customHeight="1" x14ac:dyDescent="0.35">
      <c r="A44" s="831">
        <v>84111506</v>
      </c>
      <c r="B44" s="852" t="s">
        <v>1053</v>
      </c>
      <c r="C44" s="835" t="s">
        <v>70</v>
      </c>
      <c r="D44" s="835" t="s">
        <v>72</v>
      </c>
      <c r="E44" s="835">
        <v>36</v>
      </c>
      <c r="F44" s="174" t="s">
        <v>1353</v>
      </c>
      <c r="G44" s="230" t="s">
        <v>1356</v>
      </c>
      <c r="H44" s="233" t="s">
        <v>1359</v>
      </c>
      <c r="I44" s="879">
        <v>911957912.19000006</v>
      </c>
      <c r="J44" s="886">
        <v>100965468.25418958</v>
      </c>
      <c r="K44" s="852" t="s">
        <v>1373</v>
      </c>
      <c r="L44" s="852" t="s">
        <v>1374</v>
      </c>
      <c r="M44" s="852" t="s">
        <v>1384</v>
      </c>
      <c r="N44" s="856" t="s">
        <v>1368</v>
      </c>
      <c r="O44" s="856" t="s">
        <v>1388</v>
      </c>
      <c r="P44" s="856" t="s">
        <v>1370</v>
      </c>
      <c r="Q44" s="856" t="s">
        <v>1371</v>
      </c>
      <c r="R44" s="856" t="s">
        <v>1365</v>
      </c>
      <c r="S44" s="232" t="s">
        <v>1365</v>
      </c>
    </row>
    <row r="45" spans="1:19" ht="43" customHeight="1" x14ac:dyDescent="0.35">
      <c r="A45" s="230" t="s">
        <v>975</v>
      </c>
      <c r="B45" s="847" t="s">
        <v>1054</v>
      </c>
      <c r="C45" s="230" t="s">
        <v>69</v>
      </c>
      <c r="D45" s="230" t="s">
        <v>70</v>
      </c>
      <c r="E45" s="230">
        <v>3</v>
      </c>
      <c r="F45" s="174" t="s">
        <v>1353</v>
      </c>
      <c r="G45" s="233" t="s">
        <v>1355</v>
      </c>
      <c r="H45" s="233" t="s">
        <v>1359</v>
      </c>
      <c r="I45" s="878">
        <v>65000000</v>
      </c>
      <c r="J45" s="886">
        <v>54621848.739495799</v>
      </c>
      <c r="K45" s="847" t="s">
        <v>1365</v>
      </c>
      <c r="L45" s="851" t="s">
        <v>1366</v>
      </c>
      <c r="M45" s="856" t="s">
        <v>1390</v>
      </c>
      <c r="N45" s="856" t="s">
        <v>1368</v>
      </c>
      <c r="O45" s="856" t="s">
        <v>1391</v>
      </c>
      <c r="P45" s="856" t="s">
        <v>1370</v>
      </c>
      <c r="Q45" s="856" t="s">
        <v>1371</v>
      </c>
      <c r="R45" s="856" t="s">
        <v>1365</v>
      </c>
      <c r="S45" s="232" t="s">
        <v>1365</v>
      </c>
    </row>
    <row r="46" spans="1:19" ht="43" customHeight="1" x14ac:dyDescent="0.35">
      <c r="A46" s="230" t="s">
        <v>975</v>
      </c>
      <c r="B46" s="847" t="s">
        <v>1055</v>
      </c>
      <c r="C46" s="230" t="s">
        <v>71</v>
      </c>
      <c r="D46" s="230" t="s">
        <v>72</v>
      </c>
      <c r="E46" s="230">
        <v>8</v>
      </c>
      <c r="F46" s="174" t="s">
        <v>1353</v>
      </c>
      <c r="G46" s="233" t="s">
        <v>1354</v>
      </c>
      <c r="H46" s="233" t="s">
        <v>1359</v>
      </c>
      <c r="I46" s="878">
        <v>172999999.99999997</v>
      </c>
      <c r="J46" s="886">
        <v>145378151.26050419</v>
      </c>
      <c r="K46" s="847" t="s">
        <v>1365</v>
      </c>
      <c r="L46" s="851" t="s">
        <v>1366</v>
      </c>
      <c r="M46" s="856" t="s">
        <v>1390</v>
      </c>
      <c r="N46" s="856" t="s">
        <v>1368</v>
      </c>
      <c r="O46" s="856" t="s">
        <v>1391</v>
      </c>
      <c r="P46" s="856" t="s">
        <v>1370</v>
      </c>
      <c r="Q46" s="856" t="s">
        <v>1371</v>
      </c>
      <c r="R46" s="856" t="s">
        <v>1365</v>
      </c>
      <c r="S46" s="232" t="s">
        <v>1365</v>
      </c>
    </row>
    <row r="47" spans="1:19" ht="43" customHeight="1" x14ac:dyDescent="0.35">
      <c r="A47" s="230" t="s">
        <v>976</v>
      </c>
      <c r="B47" s="847" t="s">
        <v>1056</v>
      </c>
      <c r="C47" s="230" t="s">
        <v>69</v>
      </c>
      <c r="D47" s="230" t="s">
        <v>80</v>
      </c>
      <c r="E47" s="230">
        <v>12</v>
      </c>
      <c r="F47" s="174" t="s">
        <v>1353</v>
      </c>
      <c r="G47" s="233" t="s">
        <v>1355</v>
      </c>
      <c r="H47" s="233" t="s">
        <v>1359</v>
      </c>
      <c r="I47" s="878">
        <v>179800000.74399999</v>
      </c>
      <c r="J47" s="886">
        <v>116000000.47999999</v>
      </c>
      <c r="K47" s="847" t="s">
        <v>1365</v>
      </c>
      <c r="L47" s="851" t="s">
        <v>1366</v>
      </c>
      <c r="M47" s="856" t="s">
        <v>1390</v>
      </c>
      <c r="N47" s="856" t="s">
        <v>1368</v>
      </c>
      <c r="O47" s="856" t="s">
        <v>1391</v>
      </c>
      <c r="P47" s="856" t="s">
        <v>1370</v>
      </c>
      <c r="Q47" s="856" t="s">
        <v>1371</v>
      </c>
      <c r="R47" s="856" t="s">
        <v>1365</v>
      </c>
      <c r="S47" s="232" t="s">
        <v>1365</v>
      </c>
    </row>
    <row r="48" spans="1:19" ht="43" customHeight="1" x14ac:dyDescent="0.35">
      <c r="A48" s="228" t="s">
        <v>975</v>
      </c>
      <c r="B48" s="847" t="s">
        <v>1057</v>
      </c>
      <c r="C48" s="230" t="s">
        <v>73</v>
      </c>
      <c r="D48" s="230" t="s">
        <v>74</v>
      </c>
      <c r="E48" s="230">
        <v>6</v>
      </c>
      <c r="F48" s="174" t="s">
        <v>1353</v>
      </c>
      <c r="G48" s="233" t="s">
        <v>1355</v>
      </c>
      <c r="H48" s="233" t="s">
        <v>1359</v>
      </c>
      <c r="I48" s="878">
        <v>64090000.170000002</v>
      </c>
      <c r="J48" s="886">
        <v>64090000.169999994</v>
      </c>
      <c r="K48" s="847" t="s">
        <v>1365</v>
      </c>
      <c r="L48" s="851" t="s">
        <v>1366</v>
      </c>
      <c r="M48" s="866" t="s">
        <v>1390</v>
      </c>
      <c r="N48" s="856" t="s">
        <v>1368</v>
      </c>
      <c r="O48" s="856" t="s">
        <v>1392</v>
      </c>
      <c r="P48" s="856" t="s">
        <v>1370</v>
      </c>
      <c r="Q48" s="856" t="s">
        <v>1371</v>
      </c>
      <c r="R48" s="856" t="s">
        <v>1365</v>
      </c>
      <c r="S48" s="232" t="s">
        <v>1365</v>
      </c>
    </row>
    <row r="49" spans="1:19" ht="43" customHeight="1" x14ac:dyDescent="0.35">
      <c r="A49" s="230" t="s">
        <v>976</v>
      </c>
      <c r="B49" s="847" t="s">
        <v>1058</v>
      </c>
      <c r="C49" s="230" t="s">
        <v>75</v>
      </c>
      <c r="D49" s="230" t="s">
        <v>76</v>
      </c>
      <c r="E49" s="230">
        <v>12</v>
      </c>
      <c r="F49" s="174" t="s">
        <v>1353</v>
      </c>
      <c r="G49" s="233" t="s">
        <v>1355</v>
      </c>
      <c r="H49" s="233" t="s">
        <v>1359</v>
      </c>
      <c r="I49" s="878">
        <v>58285800.280000001</v>
      </c>
      <c r="J49" s="886">
        <v>24399678</v>
      </c>
      <c r="K49" s="847" t="s">
        <v>1373</v>
      </c>
      <c r="L49" s="851" t="s">
        <v>1374</v>
      </c>
      <c r="M49" s="856" t="s">
        <v>1390</v>
      </c>
      <c r="N49" s="856" t="s">
        <v>1368</v>
      </c>
      <c r="O49" s="856" t="s">
        <v>1393</v>
      </c>
      <c r="P49" s="856" t="s">
        <v>1370</v>
      </c>
      <c r="Q49" s="856" t="s">
        <v>1371</v>
      </c>
      <c r="R49" s="856" t="s">
        <v>1365</v>
      </c>
      <c r="S49" s="232" t="s">
        <v>1365</v>
      </c>
    </row>
    <row r="50" spans="1:19" ht="43" customHeight="1" x14ac:dyDescent="0.35">
      <c r="A50" s="230" t="s">
        <v>977</v>
      </c>
      <c r="B50" s="849" t="s">
        <v>1059</v>
      </c>
      <c r="C50" s="230" t="s">
        <v>75</v>
      </c>
      <c r="D50" s="230" t="s">
        <v>76</v>
      </c>
      <c r="E50" s="230">
        <v>12</v>
      </c>
      <c r="F50" s="174" t="s">
        <v>1353</v>
      </c>
      <c r="G50" s="233" t="s">
        <v>1355</v>
      </c>
      <c r="H50" s="233" t="s">
        <v>1359</v>
      </c>
      <c r="I50" s="878">
        <v>42482196.274000004</v>
      </c>
      <c r="J50" s="886">
        <v>35209784.973999999</v>
      </c>
      <c r="K50" s="847" t="s">
        <v>1373</v>
      </c>
      <c r="L50" s="851" t="s">
        <v>1374</v>
      </c>
      <c r="M50" s="856" t="s">
        <v>1390</v>
      </c>
      <c r="N50" s="856" t="s">
        <v>1368</v>
      </c>
      <c r="O50" s="856" t="s">
        <v>1394</v>
      </c>
      <c r="P50" s="856" t="s">
        <v>1370</v>
      </c>
      <c r="Q50" s="856" t="s">
        <v>1371</v>
      </c>
      <c r="R50" s="856" t="s">
        <v>1365</v>
      </c>
      <c r="S50" s="232" t="s">
        <v>1365</v>
      </c>
    </row>
    <row r="51" spans="1:19" ht="43" customHeight="1" x14ac:dyDescent="0.35">
      <c r="A51" s="230" t="s">
        <v>978</v>
      </c>
      <c r="B51" s="853" t="s">
        <v>1060</v>
      </c>
      <c r="C51" s="230" t="s">
        <v>75</v>
      </c>
      <c r="D51" s="230" t="s">
        <v>76</v>
      </c>
      <c r="E51" s="230">
        <v>6</v>
      </c>
      <c r="F51" s="174" t="s">
        <v>1353</v>
      </c>
      <c r="G51" s="233" t="s">
        <v>1355</v>
      </c>
      <c r="H51" s="233" t="s">
        <v>1359</v>
      </c>
      <c r="I51" s="878">
        <v>24024136.5</v>
      </c>
      <c r="J51" s="886">
        <v>24024136.5</v>
      </c>
      <c r="K51" s="847" t="s">
        <v>1365</v>
      </c>
      <c r="L51" s="851" t="s">
        <v>1366</v>
      </c>
      <c r="M51" s="856" t="s">
        <v>1390</v>
      </c>
      <c r="N51" s="856" t="s">
        <v>1368</v>
      </c>
      <c r="O51" s="856" t="s">
        <v>1395</v>
      </c>
      <c r="P51" s="856" t="s">
        <v>1370</v>
      </c>
      <c r="Q51" s="856" t="s">
        <v>1371</v>
      </c>
      <c r="R51" s="856" t="s">
        <v>1365</v>
      </c>
      <c r="S51" s="232" t="s">
        <v>1365</v>
      </c>
    </row>
    <row r="52" spans="1:19" ht="43" customHeight="1" x14ac:dyDescent="0.35">
      <c r="A52" s="230" t="s">
        <v>975</v>
      </c>
      <c r="B52" s="854" t="s">
        <v>1061</v>
      </c>
      <c r="C52" s="230" t="s">
        <v>70</v>
      </c>
      <c r="D52" s="230" t="s">
        <v>73</v>
      </c>
      <c r="E52" s="230">
        <v>8</v>
      </c>
      <c r="F52" s="174" t="s">
        <v>1353</v>
      </c>
      <c r="G52" s="233" t="s">
        <v>1354</v>
      </c>
      <c r="H52" s="233" t="s">
        <v>1359</v>
      </c>
      <c r="I52" s="878">
        <v>119000000</v>
      </c>
      <c r="J52" s="886">
        <v>119000000</v>
      </c>
      <c r="K52" s="847" t="s">
        <v>1365</v>
      </c>
      <c r="L52" s="851" t="s">
        <v>1366</v>
      </c>
      <c r="M52" s="856" t="s">
        <v>1390</v>
      </c>
      <c r="N52" s="856" t="s">
        <v>1368</v>
      </c>
      <c r="O52" s="856" t="s">
        <v>1396</v>
      </c>
      <c r="P52" s="856" t="s">
        <v>1370</v>
      </c>
      <c r="Q52" s="856" t="s">
        <v>1371</v>
      </c>
      <c r="R52" s="856" t="s">
        <v>1365</v>
      </c>
      <c r="S52" s="232" t="s">
        <v>1365</v>
      </c>
    </row>
    <row r="53" spans="1:19" ht="43" customHeight="1" x14ac:dyDescent="0.35">
      <c r="A53" s="230" t="s">
        <v>975</v>
      </c>
      <c r="B53" s="847" t="s">
        <v>1062</v>
      </c>
      <c r="C53" s="230" t="s">
        <v>70</v>
      </c>
      <c r="D53" s="230" t="s">
        <v>73</v>
      </c>
      <c r="E53" s="230">
        <v>3</v>
      </c>
      <c r="F53" s="174" t="s">
        <v>1353</v>
      </c>
      <c r="G53" s="233" t="s">
        <v>1354</v>
      </c>
      <c r="H53" s="233" t="s">
        <v>1359</v>
      </c>
      <c r="I53" s="878">
        <v>119000000</v>
      </c>
      <c r="J53" s="886">
        <v>119000000</v>
      </c>
      <c r="K53" s="847" t="s">
        <v>1365</v>
      </c>
      <c r="L53" s="851" t="s">
        <v>1366</v>
      </c>
      <c r="M53" s="856" t="s">
        <v>1390</v>
      </c>
      <c r="N53" s="856" t="s">
        <v>1368</v>
      </c>
      <c r="O53" s="856" t="s">
        <v>1397</v>
      </c>
      <c r="P53" s="856" t="s">
        <v>1370</v>
      </c>
      <c r="Q53" s="856" t="s">
        <v>1371</v>
      </c>
      <c r="R53" s="856" t="s">
        <v>1365</v>
      </c>
      <c r="S53" s="232" t="s">
        <v>1365</v>
      </c>
    </row>
    <row r="54" spans="1:19" ht="43" customHeight="1" x14ac:dyDescent="0.35">
      <c r="A54" s="230" t="s">
        <v>979</v>
      </c>
      <c r="B54" s="847" t="s">
        <v>1063</v>
      </c>
      <c r="C54" s="230" t="s">
        <v>69</v>
      </c>
      <c r="D54" s="230" t="s">
        <v>71</v>
      </c>
      <c r="E54" s="230">
        <v>8</v>
      </c>
      <c r="F54" s="174" t="s">
        <v>1353</v>
      </c>
      <c r="G54" s="233" t="s">
        <v>1354</v>
      </c>
      <c r="H54" s="233" t="s">
        <v>1359</v>
      </c>
      <c r="I54" s="878">
        <v>476000000</v>
      </c>
      <c r="J54" s="886">
        <v>476000000</v>
      </c>
      <c r="K54" s="847" t="s">
        <v>1365</v>
      </c>
      <c r="L54" s="851" t="s">
        <v>1366</v>
      </c>
      <c r="M54" s="856" t="s">
        <v>1390</v>
      </c>
      <c r="N54" s="856" t="s">
        <v>1368</v>
      </c>
      <c r="O54" s="856" t="s">
        <v>1397</v>
      </c>
      <c r="P54" s="856" t="s">
        <v>1370</v>
      </c>
      <c r="Q54" s="856" t="s">
        <v>1371</v>
      </c>
      <c r="R54" s="856" t="s">
        <v>1365</v>
      </c>
      <c r="S54" s="232" t="s">
        <v>1365</v>
      </c>
    </row>
    <row r="55" spans="1:19" ht="43" customHeight="1" x14ac:dyDescent="0.35">
      <c r="A55" s="230" t="s">
        <v>980</v>
      </c>
      <c r="B55" s="847" t="s">
        <v>1064</v>
      </c>
      <c r="C55" s="230" t="s">
        <v>76</v>
      </c>
      <c r="D55" s="230" t="s">
        <v>79</v>
      </c>
      <c r="E55" s="230">
        <v>24</v>
      </c>
      <c r="F55" s="174" t="s">
        <v>1353</v>
      </c>
      <c r="G55" s="233" t="s">
        <v>1356</v>
      </c>
      <c r="H55" s="233" t="s">
        <v>1359</v>
      </c>
      <c r="I55" s="878">
        <v>6783000000</v>
      </c>
      <c r="J55" s="886">
        <v>595000000</v>
      </c>
      <c r="K55" s="847" t="s">
        <v>1373</v>
      </c>
      <c r="L55" s="851" t="s">
        <v>1374</v>
      </c>
      <c r="M55" s="856" t="s">
        <v>1390</v>
      </c>
      <c r="N55" s="856" t="s">
        <v>1368</v>
      </c>
      <c r="O55" s="856" t="s">
        <v>1397</v>
      </c>
      <c r="P55" s="856" t="s">
        <v>1370</v>
      </c>
      <c r="Q55" s="856" t="s">
        <v>1371</v>
      </c>
      <c r="R55" s="856" t="s">
        <v>1365</v>
      </c>
      <c r="S55" s="232" t="s">
        <v>1365</v>
      </c>
    </row>
    <row r="56" spans="1:19" ht="43" customHeight="1" x14ac:dyDescent="0.35">
      <c r="A56" s="230" t="s">
        <v>981</v>
      </c>
      <c r="B56" s="847" t="s">
        <v>1065</v>
      </c>
      <c r="C56" s="230" t="s">
        <v>71</v>
      </c>
      <c r="D56" s="230" t="s">
        <v>75</v>
      </c>
      <c r="E56" s="230">
        <v>3</v>
      </c>
      <c r="F56" s="174" t="s">
        <v>1353</v>
      </c>
      <c r="G56" s="233" t="s">
        <v>1354</v>
      </c>
      <c r="H56" s="233" t="s">
        <v>1359</v>
      </c>
      <c r="I56" s="878">
        <v>178500000</v>
      </c>
      <c r="J56" s="886">
        <v>178500000</v>
      </c>
      <c r="K56" s="847" t="s">
        <v>1365</v>
      </c>
      <c r="L56" s="851" t="s">
        <v>1366</v>
      </c>
      <c r="M56" s="856" t="s">
        <v>1390</v>
      </c>
      <c r="N56" s="856" t="s">
        <v>1368</v>
      </c>
      <c r="O56" s="856" t="s">
        <v>1398</v>
      </c>
      <c r="P56" s="856" t="s">
        <v>1370</v>
      </c>
      <c r="Q56" s="856" t="s">
        <v>1371</v>
      </c>
      <c r="R56" s="856" t="s">
        <v>1365</v>
      </c>
      <c r="S56" s="232" t="s">
        <v>1365</v>
      </c>
    </row>
    <row r="57" spans="1:19" ht="43" customHeight="1" x14ac:dyDescent="0.35">
      <c r="A57" s="230" t="s">
        <v>981</v>
      </c>
      <c r="B57" s="847" t="s">
        <v>1066</v>
      </c>
      <c r="C57" s="230" t="s">
        <v>75</v>
      </c>
      <c r="D57" s="230" t="s">
        <v>77</v>
      </c>
      <c r="E57" s="230">
        <v>4</v>
      </c>
      <c r="F57" s="174" t="s">
        <v>1353</v>
      </c>
      <c r="G57" s="233" t="s">
        <v>1354</v>
      </c>
      <c r="H57" s="233" t="s">
        <v>1359</v>
      </c>
      <c r="I57" s="878">
        <v>238000000</v>
      </c>
      <c r="J57" s="886">
        <v>238000000</v>
      </c>
      <c r="K57" s="847" t="s">
        <v>1365</v>
      </c>
      <c r="L57" s="851" t="s">
        <v>1366</v>
      </c>
      <c r="M57" s="856" t="s">
        <v>1390</v>
      </c>
      <c r="N57" s="856" t="s">
        <v>1368</v>
      </c>
      <c r="O57" s="856" t="s">
        <v>1398</v>
      </c>
      <c r="P57" s="856" t="s">
        <v>1370</v>
      </c>
      <c r="Q57" s="856" t="s">
        <v>1371</v>
      </c>
      <c r="R57" s="856" t="s">
        <v>1365</v>
      </c>
      <c r="S57" s="232" t="s">
        <v>1365</v>
      </c>
    </row>
    <row r="58" spans="1:19" ht="43" customHeight="1" x14ac:dyDescent="0.35">
      <c r="A58" s="230" t="s">
        <v>982</v>
      </c>
      <c r="B58" s="847" t="s">
        <v>1067</v>
      </c>
      <c r="C58" s="230" t="s">
        <v>73</v>
      </c>
      <c r="D58" s="230" t="s">
        <v>75</v>
      </c>
      <c r="E58" s="230">
        <v>5</v>
      </c>
      <c r="F58" s="174" t="s">
        <v>1353</v>
      </c>
      <c r="G58" s="233" t="s">
        <v>1354</v>
      </c>
      <c r="H58" s="233" t="s">
        <v>1359</v>
      </c>
      <c r="I58" s="878">
        <v>476000000</v>
      </c>
      <c r="J58" s="886">
        <v>476000000</v>
      </c>
      <c r="K58" s="847" t="s">
        <v>1365</v>
      </c>
      <c r="L58" s="851" t="s">
        <v>1366</v>
      </c>
      <c r="M58" s="856" t="s">
        <v>1390</v>
      </c>
      <c r="N58" s="856" t="s">
        <v>1368</v>
      </c>
      <c r="O58" s="856" t="s">
        <v>1397</v>
      </c>
      <c r="P58" s="856" t="s">
        <v>1370</v>
      </c>
      <c r="Q58" s="856" t="s">
        <v>1371</v>
      </c>
      <c r="R58" s="856" t="s">
        <v>1365</v>
      </c>
      <c r="S58" s="232" t="s">
        <v>1365</v>
      </c>
    </row>
    <row r="59" spans="1:19" ht="43" customHeight="1" x14ac:dyDescent="0.35">
      <c r="A59" s="230" t="s">
        <v>982</v>
      </c>
      <c r="B59" s="847" t="s">
        <v>1068</v>
      </c>
      <c r="C59" s="230" t="s">
        <v>72</v>
      </c>
      <c r="D59" s="230" t="s">
        <v>74</v>
      </c>
      <c r="E59" s="230">
        <v>6</v>
      </c>
      <c r="F59" s="174" t="s">
        <v>1353</v>
      </c>
      <c r="G59" s="233" t="s">
        <v>1354</v>
      </c>
      <c r="H59" s="233" t="s">
        <v>1359</v>
      </c>
      <c r="I59" s="878">
        <v>535500000</v>
      </c>
      <c r="J59" s="886">
        <v>535500000</v>
      </c>
      <c r="K59" s="847" t="s">
        <v>1365</v>
      </c>
      <c r="L59" s="851" t="s">
        <v>1366</v>
      </c>
      <c r="M59" s="856" t="s">
        <v>1390</v>
      </c>
      <c r="N59" s="856" t="s">
        <v>1368</v>
      </c>
      <c r="O59" s="856" t="s">
        <v>1397</v>
      </c>
      <c r="P59" s="856" t="s">
        <v>1370</v>
      </c>
      <c r="Q59" s="856" t="s">
        <v>1371</v>
      </c>
      <c r="R59" s="856" t="s">
        <v>1365</v>
      </c>
      <c r="S59" s="232" t="s">
        <v>1365</v>
      </c>
    </row>
    <row r="60" spans="1:19" ht="43" customHeight="1" x14ac:dyDescent="0.35">
      <c r="A60" s="230" t="s">
        <v>982</v>
      </c>
      <c r="B60" s="847" t="s">
        <v>1069</v>
      </c>
      <c r="C60" s="230" t="s">
        <v>71</v>
      </c>
      <c r="D60" s="230" t="s">
        <v>73</v>
      </c>
      <c r="E60" s="230">
        <v>6</v>
      </c>
      <c r="F60" s="174" t="s">
        <v>1353</v>
      </c>
      <c r="G60" s="233" t="s">
        <v>1354</v>
      </c>
      <c r="H60" s="233" t="s">
        <v>1359</v>
      </c>
      <c r="I60" s="878">
        <v>119000000</v>
      </c>
      <c r="J60" s="886">
        <v>119000000</v>
      </c>
      <c r="K60" s="847" t="s">
        <v>1365</v>
      </c>
      <c r="L60" s="851" t="s">
        <v>1366</v>
      </c>
      <c r="M60" s="856" t="s">
        <v>1390</v>
      </c>
      <c r="N60" s="856" t="s">
        <v>1368</v>
      </c>
      <c r="O60" s="856" t="s">
        <v>1398</v>
      </c>
      <c r="P60" s="856" t="s">
        <v>1370</v>
      </c>
      <c r="Q60" s="856" t="s">
        <v>1371</v>
      </c>
      <c r="R60" s="856" t="s">
        <v>1365</v>
      </c>
      <c r="S60" s="232" t="s">
        <v>1365</v>
      </c>
    </row>
    <row r="61" spans="1:19" ht="43" customHeight="1" x14ac:dyDescent="0.35">
      <c r="A61" s="230" t="s">
        <v>983</v>
      </c>
      <c r="B61" s="847" t="s">
        <v>1070</v>
      </c>
      <c r="C61" s="230" t="s">
        <v>78</v>
      </c>
      <c r="D61" s="230" t="s">
        <v>80</v>
      </c>
      <c r="E61" s="230">
        <v>12</v>
      </c>
      <c r="F61" s="174" t="s">
        <v>1353</v>
      </c>
      <c r="G61" s="233" t="s">
        <v>1355</v>
      </c>
      <c r="H61" s="233" t="s">
        <v>1359</v>
      </c>
      <c r="I61" s="878">
        <v>19984860</v>
      </c>
      <c r="J61" s="886">
        <v>19984860</v>
      </c>
      <c r="K61" s="847" t="s">
        <v>1365</v>
      </c>
      <c r="L61" s="851" t="s">
        <v>1366</v>
      </c>
      <c r="M61" s="856" t="s">
        <v>1390</v>
      </c>
      <c r="N61" s="856" t="s">
        <v>1368</v>
      </c>
      <c r="O61" s="856" t="s">
        <v>1397</v>
      </c>
      <c r="P61" s="856" t="s">
        <v>1370</v>
      </c>
      <c r="Q61" s="856" t="s">
        <v>1371</v>
      </c>
      <c r="R61" s="856" t="s">
        <v>1365</v>
      </c>
      <c r="S61" s="232" t="s">
        <v>1365</v>
      </c>
    </row>
    <row r="62" spans="1:19" ht="43" customHeight="1" x14ac:dyDescent="0.35">
      <c r="A62" s="230" t="s">
        <v>975</v>
      </c>
      <c r="B62" s="847" t="s">
        <v>1071</v>
      </c>
      <c r="C62" s="230" t="s">
        <v>72</v>
      </c>
      <c r="D62" s="230" t="s">
        <v>75</v>
      </c>
      <c r="E62" s="230">
        <v>2</v>
      </c>
      <c r="F62" s="174" t="s">
        <v>1353</v>
      </c>
      <c r="G62" s="233" t="s">
        <v>1354</v>
      </c>
      <c r="H62" s="233" t="s">
        <v>1359</v>
      </c>
      <c r="I62" s="878">
        <v>71400000</v>
      </c>
      <c r="J62" s="886">
        <v>71400000</v>
      </c>
      <c r="K62" s="847" t="s">
        <v>1365</v>
      </c>
      <c r="L62" s="851" t="s">
        <v>1366</v>
      </c>
      <c r="M62" s="856" t="s">
        <v>1390</v>
      </c>
      <c r="N62" s="856" t="s">
        <v>1368</v>
      </c>
      <c r="O62" s="856" t="s">
        <v>1397</v>
      </c>
      <c r="P62" s="856" t="s">
        <v>1370</v>
      </c>
      <c r="Q62" s="856" t="s">
        <v>1371</v>
      </c>
      <c r="R62" s="856" t="s">
        <v>1365</v>
      </c>
      <c r="S62" s="232" t="s">
        <v>1365</v>
      </c>
    </row>
    <row r="63" spans="1:19" ht="43" customHeight="1" x14ac:dyDescent="0.35">
      <c r="A63" s="230" t="s">
        <v>984</v>
      </c>
      <c r="B63" s="847" t="s">
        <v>1072</v>
      </c>
      <c r="C63" s="873" t="s">
        <v>72</v>
      </c>
      <c r="D63" s="230" t="s">
        <v>74</v>
      </c>
      <c r="E63" s="230">
        <v>4</v>
      </c>
      <c r="F63" s="174" t="s">
        <v>1353</v>
      </c>
      <c r="G63" s="233" t="s">
        <v>1355</v>
      </c>
      <c r="H63" s="233" t="s">
        <v>1359</v>
      </c>
      <c r="I63" s="878">
        <v>58310000</v>
      </c>
      <c r="J63" s="886">
        <v>58310000</v>
      </c>
      <c r="K63" s="847" t="s">
        <v>1365</v>
      </c>
      <c r="L63" s="851" t="s">
        <v>1366</v>
      </c>
      <c r="M63" s="856" t="s">
        <v>1390</v>
      </c>
      <c r="N63" s="856" t="s">
        <v>1368</v>
      </c>
      <c r="O63" s="856" t="s">
        <v>1397</v>
      </c>
      <c r="P63" s="856" t="s">
        <v>1370</v>
      </c>
      <c r="Q63" s="856" t="s">
        <v>1371</v>
      </c>
      <c r="R63" s="856" t="s">
        <v>1365</v>
      </c>
      <c r="S63" s="232" t="s">
        <v>1365</v>
      </c>
    </row>
    <row r="64" spans="1:19" ht="43" customHeight="1" x14ac:dyDescent="0.35">
      <c r="A64" s="230" t="s">
        <v>982</v>
      </c>
      <c r="B64" s="847" t="s">
        <v>1073</v>
      </c>
      <c r="C64" s="230" t="s">
        <v>70</v>
      </c>
      <c r="D64" s="230" t="s">
        <v>72</v>
      </c>
      <c r="E64" s="230">
        <v>8</v>
      </c>
      <c r="F64" s="174" t="s">
        <v>1353</v>
      </c>
      <c r="G64" s="233" t="s">
        <v>1354</v>
      </c>
      <c r="H64" s="233" t="s">
        <v>1359</v>
      </c>
      <c r="I64" s="878">
        <v>357000000</v>
      </c>
      <c r="J64" s="886">
        <v>357000000</v>
      </c>
      <c r="K64" s="847" t="s">
        <v>1365</v>
      </c>
      <c r="L64" s="851" t="s">
        <v>1366</v>
      </c>
      <c r="M64" s="856" t="s">
        <v>1390</v>
      </c>
      <c r="N64" s="856" t="s">
        <v>1368</v>
      </c>
      <c r="O64" s="856" t="s">
        <v>1397</v>
      </c>
      <c r="P64" s="856" t="s">
        <v>1370</v>
      </c>
      <c r="Q64" s="856" t="s">
        <v>1371</v>
      </c>
      <c r="R64" s="856" t="s">
        <v>1365</v>
      </c>
      <c r="S64" s="232" t="s">
        <v>1365</v>
      </c>
    </row>
    <row r="65" spans="1:19" ht="43" customHeight="1" x14ac:dyDescent="0.35">
      <c r="A65" s="230" t="s">
        <v>975</v>
      </c>
      <c r="B65" s="847" t="s">
        <v>1074</v>
      </c>
      <c r="C65" s="230" t="s">
        <v>76</v>
      </c>
      <c r="D65" s="230" t="s">
        <v>78</v>
      </c>
      <c r="E65" s="230">
        <v>2</v>
      </c>
      <c r="F65" s="174" t="s">
        <v>1353</v>
      </c>
      <c r="G65" s="233" t="s">
        <v>1355</v>
      </c>
      <c r="H65" s="233" t="s">
        <v>1359</v>
      </c>
      <c r="I65" s="878">
        <v>42800730</v>
      </c>
      <c r="J65" s="886">
        <v>42800730</v>
      </c>
      <c r="K65" s="847" t="s">
        <v>1365</v>
      </c>
      <c r="L65" s="851" t="s">
        <v>1366</v>
      </c>
      <c r="M65" s="856" t="s">
        <v>1390</v>
      </c>
      <c r="N65" s="856" t="s">
        <v>1368</v>
      </c>
      <c r="O65" s="856" t="s">
        <v>1397</v>
      </c>
      <c r="P65" s="856" t="s">
        <v>1370</v>
      </c>
      <c r="Q65" s="856" t="s">
        <v>1371</v>
      </c>
      <c r="R65" s="856" t="s">
        <v>1365</v>
      </c>
      <c r="S65" s="232" t="s">
        <v>1365</v>
      </c>
    </row>
    <row r="66" spans="1:19" ht="43" customHeight="1" x14ac:dyDescent="0.35">
      <c r="A66" s="230" t="s">
        <v>985</v>
      </c>
      <c r="B66" s="847" t="s">
        <v>1075</v>
      </c>
      <c r="C66" s="230" t="s">
        <v>76</v>
      </c>
      <c r="D66" s="230" t="s">
        <v>77</v>
      </c>
      <c r="E66" s="230">
        <v>24</v>
      </c>
      <c r="F66" s="174" t="s">
        <v>1353</v>
      </c>
      <c r="G66" s="233" t="s">
        <v>1355</v>
      </c>
      <c r="H66" s="233" t="s">
        <v>1359</v>
      </c>
      <c r="I66" s="878">
        <v>59297700</v>
      </c>
      <c r="J66" s="886">
        <v>59297700</v>
      </c>
      <c r="K66" s="847" t="s">
        <v>1365</v>
      </c>
      <c r="L66" s="851" t="s">
        <v>1366</v>
      </c>
      <c r="M66" s="856" t="s">
        <v>1390</v>
      </c>
      <c r="N66" s="856" t="s">
        <v>1368</v>
      </c>
      <c r="O66" s="856" t="s">
        <v>1397</v>
      </c>
      <c r="P66" s="856" t="s">
        <v>1370</v>
      </c>
      <c r="Q66" s="856" t="s">
        <v>1371</v>
      </c>
      <c r="R66" s="856" t="s">
        <v>1365</v>
      </c>
      <c r="S66" s="232" t="s">
        <v>1365</v>
      </c>
    </row>
    <row r="67" spans="1:19" ht="43" customHeight="1" x14ac:dyDescent="0.35">
      <c r="A67" s="230" t="s">
        <v>982</v>
      </c>
      <c r="B67" s="847" t="s">
        <v>1076</v>
      </c>
      <c r="C67" s="230" t="s">
        <v>71</v>
      </c>
      <c r="D67" s="230" t="s">
        <v>73</v>
      </c>
      <c r="E67" s="230">
        <v>7</v>
      </c>
      <c r="F67" s="174" t="s">
        <v>1353</v>
      </c>
      <c r="G67" s="233" t="s">
        <v>1354</v>
      </c>
      <c r="H67" s="233" t="s">
        <v>1359</v>
      </c>
      <c r="I67" s="878">
        <v>357000000</v>
      </c>
      <c r="J67" s="886">
        <v>357000000</v>
      </c>
      <c r="K67" s="847" t="s">
        <v>1365</v>
      </c>
      <c r="L67" s="851" t="s">
        <v>1366</v>
      </c>
      <c r="M67" s="856" t="s">
        <v>1390</v>
      </c>
      <c r="N67" s="856" t="s">
        <v>1368</v>
      </c>
      <c r="O67" s="856" t="s">
        <v>1397</v>
      </c>
      <c r="P67" s="856" t="s">
        <v>1370</v>
      </c>
      <c r="Q67" s="856" t="s">
        <v>1371</v>
      </c>
      <c r="R67" s="856" t="s">
        <v>1365</v>
      </c>
      <c r="S67" s="232" t="s">
        <v>1365</v>
      </c>
    </row>
    <row r="68" spans="1:19" ht="43" customHeight="1" x14ac:dyDescent="0.35">
      <c r="A68" s="230" t="s">
        <v>986</v>
      </c>
      <c r="B68" s="847" t="s">
        <v>1077</v>
      </c>
      <c r="C68" s="230" t="s">
        <v>70</v>
      </c>
      <c r="D68" s="230" t="s">
        <v>73</v>
      </c>
      <c r="E68" s="230">
        <v>12</v>
      </c>
      <c r="F68" s="174" t="s">
        <v>1353</v>
      </c>
      <c r="G68" s="233" t="s">
        <v>1356</v>
      </c>
      <c r="H68" s="233" t="s">
        <v>1359</v>
      </c>
      <c r="I68" s="878">
        <v>1190000000</v>
      </c>
      <c r="J68" s="886">
        <v>690200000</v>
      </c>
      <c r="K68" s="847" t="s">
        <v>1373</v>
      </c>
      <c r="L68" s="851" t="s">
        <v>1374</v>
      </c>
      <c r="M68" s="856" t="s">
        <v>1390</v>
      </c>
      <c r="N68" s="856" t="s">
        <v>1368</v>
      </c>
      <c r="O68" s="856" t="s">
        <v>1397</v>
      </c>
      <c r="P68" s="856" t="s">
        <v>1370</v>
      </c>
      <c r="Q68" s="856" t="s">
        <v>1371</v>
      </c>
      <c r="R68" s="856" t="s">
        <v>1365</v>
      </c>
      <c r="S68" s="232" t="s">
        <v>1365</v>
      </c>
    </row>
    <row r="69" spans="1:19" ht="43" customHeight="1" x14ac:dyDescent="0.35">
      <c r="A69" s="230" t="s">
        <v>987</v>
      </c>
      <c r="B69" s="847" t="s">
        <v>1078</v>
      </c>
      <c r="C69" s="230" t="s">
        <v>73</v>
      </c>
      <c r="D69" s="230" t="s">
        <v>75</v>
      </c>
      <c r="E69" s="230">
        <v>12</v>
      </c>
      <c r="F69" s="174" t="s">
        <v>1353</v>
      </c>
      <c r="G69" s="233" t="s">
        <v>1355</v>
      </c>
      <c r="H69" s="233" t="s">
        <v>1359</v>
      </c>
      <c r="I69" s="878">
        <v>19724250</v>
      </c>
      <c r="J69" s="886">
        <v>19724250</v>
      </c>
      <c r="K69" s="847" t="s">
        <v>1373</v>
      </c>
      <c r="L69" s="851" t="s">
        <v>1374</v>
      </c>
      <c r="M69" s="856" t="s">
        <v>1390</v>
      </c>
      <c r="N69" s="856" t="s">
        <v>1368</v>
      </c>
      <c r="O69" s="856" t="s">
        <v>1399</v>
      </c>
      <c r="P69" s="856" t="s">
        <v>1370</v>
      </c>
      <c r="Q69" s="856" t="s">
        <v>1371</v>
      </c>
      <c r="R69" s="856" t="s">
        <v>1365</v>
      </c>
      <c r="S69" s="232" t="s">
        <v>1365</v>
      </c>
    </row>
    <row r="70" spans="1:19" ht="43" customHeight="1" x14ac:dyDescent="0.35">
      <c r="A70" s="230" t="s">
        <v>988</v>
      </c>
      <c r="B70" s="847" t="s">
        <v>1079</v>
      </c>
      <c r="C70" s="230" t="s">
        <v>77</v>
      </c>
      <c r="D70" s="230" t="s">
        <v>79</v>
      </c>
      <c r="E70" s="230">
        <v>12</v>
      </c>
      <c r="F70" s="174" t="s">
        <v>1353</v>
      </c>
      <c r="G70" s="233" t="s">
        <v>1355</v>
      </c>
      <c r="H70" s="233" t="s">
        <v>1359</v>
      </c>
      <c r="I70" s="878">
        <v>27941704.559999999</v>
      </c>
      <c r="J70" s="886">
        <v>0</v>
      </c>
      <c r="K70" s="847" t="s">
        <v>1365</v>
      </c>
      <c r="L70" s="851" t="s">
        <v>1366</v>
      </c>
      <c r="M70" s="856" t="s">
        <v>1390</v>
      </c>
      <c r="N70" s="856" t="s">
        <v>1368</v>
      </c>
      <c r="O70" s="856" t="s">
        <v>1400</v>
      </c>
      <c r="P70" s="856" t="s">
        <v>1370</v>
      </c>
      <c r="Q70" s="856" t="s">
        <v>1371</v>
      </c>
      <c r="R70" s="856" t="s">
        <v>1365</v>
      </c>
      <c r="S70" s="232" t="s">
        <v>1365</v>
      </c>
    </row>
    <row r="71" spans="1:19" ht="43" customHeight="1" x14ac:dyDescent="0.35">
      <c r="A71" s="230" t="s">
        <v>988</v>
      </c>
      <c r="B71" s="847" t="s">
        <v>1080</v>
      </c>
      <c r="C71" s="230" t="s">
        <v>72</v>
      </c>
      <c r="D71" s="230" t="s">
        <v>75</v>
      </c>
      <c r="E71" s="230">
        <v>12</v>
      </c>
      <c r="F71" s="174" t="s">
        <v>1353</v>
      </c>
      <c r="G71" s="233" t="s">
        <v>1354</v>
      </c>
      <c r="H71" s="233" t="s">
        <v>1359</v>
      </c>
      <c r="I71" s="878">
        <v>595000000</v>
      </c>
      <c r="J71" s="886" t="s">
        <v>1360</v>
      </c>
      <c r="K71" s="847" t="s">
        <v>1373</v>
      </c>
      <c r="L71" s="851" t="s">
        <v>1374</v>
      </c>
      <c r="M71" s="856" t="s">
        <v>1390</v>
      </c>
      <c r="N71" s="856" t="s">
        <v>1368</v>
      </c>
      <c r="O71" s="856" t="s">
        <v>1400</v>
      </c>
      <c r="P71" s="856" t="s">
        <v>1370</v>
      </c>
      <c r="Q71" s="856" t="s">
        <v>1371</v>
      </c>
      <c r="R71" s="856" t="s">
        <v>1365</v>
      </c>
      <c r="S71" s="232" t="s">
        <v>1365</v>
      </c>
    </row>
    <row r="72" spans="1:19" ht="43" customHeight="1" x14ac:dyDescent="0.35">
      <c r="A72" s="230" t="s">
        <v>979</v>
      </c>
      <c r="B72" s="847" t="s">
        <v>1081</v>
      </c>
      <c r="C72" s="230" t="s">
        <v>70</v>
      </c>
      <c r="D72" s="230" t="s">
        <v>71</v>
      </c>
      <c r="E72" s="230">
        <v>12</v>
      </c>
      <c r="F72" s="174" t="s">
        <v>1353</v>
      </c>
      <c r="G72" s="233" t="s">
        <v>1357</v>
      </c>
      <c r="H72" s="233" t="s">
        <v>1359</v>
      </c>
      <c r="I72" s="878">
        <v>3429647514.6500001</v>
      </c>
      <c r="J72" s="886">
        <v>2790441615</v>
      </c>
      <c r="K72" s="847" t="s">
        <v>1373</v>
      </c>
      <c r="L72" s="851" t="s">
        <v>1401</v>
      </c>
      <c r="M72" s="856" t="s">
        <v>1390</v>
      </c>
      <c r="N72" s="856" t="s">
        <v>1368</v>
      </c>
      <c r="O72" s="856" t="s">
        <v>1402</v>
      </c>
      <c r="P72" s="856" t="s">
        <v>1370</v>
      </c>
      <c r="Q72" s="856" t="s">
        <v>1371</v>
      </c>
      <c r="R72" s="856" t="s">
        <v>1365</v>
      </c>
      <c r="S72" s="232" t="s">
        <v>1365</v>
      </c>
    </row>
    <row r="73" spans="1:19" ht="43" customHeight="1" x14ac:dyDescent="0.35">
      <c r="A73" s="230">
        <v>81161700</v>
      </c>
      <c r="B73" s="847" t="s">
        <v>1082</v>
      </c>
      <c r="C73" s="230" t="s">
        <v>71</v>
      </c>
      <c r="D73" s="230" t="s">
        <v>73</v>
      </c>
      <c r="E73" s="230">
        <v>26</v>
      </c>
      <c r="F73" s="174" t="s">
        <v>1353</v>
      </c>
      <c r="G73" s="233" t="s">
        <v>1356</v>
      </c>
      <c r="H73" s="233" t="s">
        <v>1359</v>
      </c>
      <c r="I73" s="878">
        <v>3529677959.0799999</v>
      </c>
      <c r="J73" s="886">
        <v>543027378</v>
      </c>
      <c r="K73" s="847" t="s">
        <v>1373</v>
      </c>
      <c r="L73" s="851" t="s">
        <v>1374</v>
      </c>
      <c r="M73" s="856" t="s">
        <v>1390</v>
      </c>
      <c r="N73" s="856" t="s">
        <v>1368</v>
      </c>
      <c r="O73" s="856" t="s">
        <v>1403</v>
      </c>
      <c r="P73" s="856" t="s">
        <v>1370</v>
      </c>
      <c r="Q73" s="856" t="s">
        <v>1371</v>
      </c>
      <c r="R73" s="856" t="s">
        <v>1365</v>
      </c>
      <c r="S73" s="232" t="s">
        <v>1365</v>
      </c>
    </row>
    <row r="74" spans="1:19" ht="43" customHeight="1" x14ac:dyDescent="0.35">
      <c r="A74" s="230">
        <v>43233205</v>
      </c>
      <c r="B74" s="847" t="s">
        <v>1083</v>
      </c>
      <c r="C74" s="230" t="s">
        <v>71</v>
      </c>
      <c r="D74" s="230" t="s">
        <v>74</v>
      </c>
      <c r="E74" s="230">
        <v>48</v>
      </c>
      <c r="F74" s="174" t="s">
        <v>1353</v>
      </c>
      <c r="G74" s="233" t="s">
        <v>1356</v>
      </c>
      <c r="H74" s="233" t="s">
        <v>1359</v>
      </c>
      <c r="I74" s="878">
        <v>923287737.12</v>
      </c>
      <c r="J74" s="886" t="s">
        <v>1361</v>
      </c>
      <c r="K74" s="847" t="s">
        <v>1373</v>
      </c>
      <c r="L74" s="851" t="s">
        <v>1374</v>
      </c>
      <c r="M74" s="856" t="s">
        <v>1390</v>
      </c>
      <c r="N74" s="856" t="s">
        <v>1368</v>
      </c>
      <c r="O74" s="856" t="s">
        <v>1404</v>
      </c>
      <c r="P74" s="856" t="s">
        <v>1370</v>
      </c>
      <c r="Q74" s="856" t="s">
        <v>1371</v>
      </c>
      <c r="R74" s="856" t="s">
        <v>1365</v>
      </c>
      <c r="S74" s="232" t="s">
        <v>1365</v>
      </c>
    </row>
    <row r="75" spans="1:19" ht="43" customHeight="1" x14ac:dyDescent="0.35">
      <c r="A75" s="230" t="s">
        <v>988</v>
      </c>
      <c r="B75" s="847" t="s">
        <v>1084</v>
      </c>
      <c r="C75" s="230" t="s">
        <v>75</v>
      </c>
      <c r="D75" s="230" t="s">
        <v>77</v>
      </c>
      <c r="E75" s="230">
        <v>36</v>
      </c>
      <c r="F75" s="174" t="s">
        <v>1353</v>
      </c>
      <c r="G75" s="233" t="s">
        <v>1356</v>
      </c>
      <c r="H75" s="233" t="s">
        <v>1359</v>
      </c>
      <c r="I75" s="878">
        <v>17850000000</v>
      </c>
      <c r="J75" s="886">
        <v>0</v>
      </c>
      <c r="K75" s="847" t="s">
        <v>1373</v>
      </c>
      <c r="L75" s="851" t="s">
        <v>1374</v>
      </c>
      <c r="M75" s="856" t="s">
        <v>1390</v>
      </c>
      <c r="N75" s="856" t="s">
        <v>1368</v>
      </c>
      <c r="O75" s="856" t="s">
        <v>1405</v>
      </c>
      <c r="P75" s="856" t="s">
        <v>1370</v>
      </c>
      <c r="Q75" s="856" t="s">
        <v>1371</v>
      </c>
      <c r="R75" s="856" t="s">
        <v>1365</v>
      </c>
      <c r="S75" s="232" t="s">
        <v>1365</v>
      </c>
    </row>
    <row r="76" spans="1:19" ht="43" customHeight="1" x14ac:dyDescent="0.35">
      <c r="A76" s="230">
        <v>81112300</v>
      </c>
      <c r="B76" s="847" t="s">
        <v>1085</v>
      </c>
      <c r="C76" s="230" t="s">
        <v>76</v>
      </c>
      <c r="D76" s="230" t="s">
        <v>79</v>
      </c>
      <c r="E76" s="230">
        <v>12</v>
      </c>
      <c r="F76" s="174" t="s">
        <v>1353</v>
      </c>
      <c r="G76" s="233" t="s">
        <v>1355</v>
      </c>
      <c r="H76" s="233" t="s">
        <v>1359</v>
      </c>
      <c r="I76" s="878">
        <v>4760000</v>
      </c>
      <c r="J76" s="886">
        <v>4760000</v>
      </c>
      <c r="K76" s="847" t="s">
        <v>1365</v>
      </c>
      <c r="L76" s="851" t="s">
        <v>1366</v>
      </c>
      <c r="M76" s="856" t="s">
        <v>1390</v>
      </c>
      <c r="N76" s="856" t="s">
        <v>1368</v>
      </c>
      <c r="O76" s="856" t="s">
        <v>1405</v>
      </c>
      <c r="P76" s="856" t="s">
        <v>1370</v>
      </c>
      <c r="Q76" s="856" t="s">
        <v>1371</v>
      </c>
      <c r="R76" s="856" t="s">
        <v>1365</v>
      </c>
      <c r="S76" s="232" t="s">
        <v>1365</v>
      </c>
    </row>
    <row r="77" spans="1:19" ht="43" customHeight="1" x14ac:dyDescent="0.35">
      <c r="A77" s="230" t="s">
        <v>988</v>
      </c>
      <c r="B77" s="847" t="s">
        <v>1086</v>
      </c>
      <c r="C77" s="230" t="s">
        <v>70</v>
      </c>
      <c r="D77" s="230" t="s">
        <v>72</v>
      </c>
      <c r="E77" s="230">
        <v>12</v>
      </c>
      <c r="F77" s="174" t="s">
        <v>1353</v>
      </c>
      <c r="G77" s="233" t="s">
        <v>1355</v>
      </c>
      <c r="H77" s="233" t="s">
        <v>1359</v>
      </c>
      <c r="I77" s="878">
        <v>45269044.659999996</v>
      </c>
      <c r="J77" s="886">
        <v>15269045</v>
      </c>
      <c r="K77" s="847" t="s">
        <v>1365</v>
      </c>
      <c r="L77" s="851" t="s">
        <v>1366</v>
      </c>
      <c r="M77" s="856" t="s">
        <v>1390</v>
      </c>
      <c r="N77" s="856" t="s">
        <v>1368</v>
      </c>
      <c r="O77" s="856" t="s">
        <v>1406</v>
      </c>
      <c r="P77" s="856" t="s">
        <v>1370</v>
      </c>
      <c r="Q77" s="856" t="s">
        <v>1371</v>
      </c>
      <c r="R77" s="856" t="s">
        <v>1365</v>
      </c>
      <c r="S77" s="232" t="s">
        <v>1365</v>
      </c>
    </row>
    <row r="78" spans="1:19" ht="43" customHeight="1" x14ac:dyDescent="0.35">
      <c r="A78" s="230" t="s">
        <v>988</v>
      </c>
      <c r="B78" s="847" t="s">
        <v>1087</v>
      </c>
      <c r="C78" s="230" t="s">
        <v>71</v>
      </c>
      <c r="D78" s="230" t="s">
        <v>76</v>
      </c>
      <c r="E78" s="230">
        <v>36</v>
      </c>
      <c r="F78" s="174" t="s">
        <v>1353</v>
      </c>
      <c r="G78" s="233" t="s">
        <v>1356</v>
      </c>
      <c r="H78" s="233" t="s">
        <v>1359</v>
      </c>
      <c r="I78" s="878">
        <v>5481191240</v>
      </c>
      <c r="J78" s="886">
        <v>750850000</v>
      </c>
      <c r="K78" s="847" t="s">
        <v>1373</v>
      </c>
      <c r="L78" s="851" t="s">
        <v>1374</v>
      </c>
      <c r="M78" s="856" t="s">
        <v>1390</v>
      </c>
      <c r="N78" s="856" t="s">
        <v>1368</v>
      </c>
      <c r="O78" s="856" t="s">
        <v>1405</v>
      </c>
      <c r="P78" s="856" t="s">
        <v>1370</v>
      </c>
      <c r="Q78" s="856" t="s">
        <v>1371</v>
      </c>
      <c r="R78" s="856" t="s">
        <v>1365</v>
      </c>
      <c r="S78" s="232" t="s">
        <v>1365</v>
      </c>
    </row>
    <row r="79" spans="1:19" ht="43" customHeight="1" x14ac:dyDescent="0.35">
      <c r="A79" s="230">
        <v>81112205</v>
      </c>
      <c r="B79" s="847" t="s">
        <v>1088</v>
      </c>
      <c r="C79" s="230" t="s">
        <v>76</v>
      </c>
      <c r="D79" s="230" t="s">
        <v>77</v>
      </c>
      <c r="E79" s="230">
        <v>24</v>
      </c>
      <c r="F79" s="174" t="s">
        <v>1353</v>
      </c>
      <c r="G79" s="233" t="s">
        <v>1355</v>
      </c>
      <c r="H79" s="233" t="s">
        <v>1359</v>
      </c>
      <c r="I79" s="878">
        <v>607719300.72000003</v>
      </c>
      <c r="J79" s="886">
        <v>0</v>
      </c>
      <c r="K79" s="847" t="s">
        <v>1373</v>
      </c>
      <c r="L79" s="851" t="s">
        <v>1374</v>
      </c>
      <c r="M79" s="856" t="s">
        <v>1390</v>
      </c>
      <c r="N79" s="856" t="s">
        <v>1368</v>
      </c>
      <c r="O79" s="856" t="s">
        <v>1407</v>
      </c>
      <c r="P79" s="856" t="s">
        <v>1370</v>
      </c>
      <c r="Q79" s="856" t="s">
        <v>1371</v>
      </c>
      <c r="R79" s="856" t="s">
        <v>1365</v>
      </c>
      <c r="S79" s="232" t="s">
        <v>1365</v>
      </c>
    </row>
    <row r="80" spans="1:19" ht="43" customHeight="1" x14ac:dyDescent="0.35">
      <c r="A80" s="230">
        <v>43231501</v>
      </c>
      <c r="B80" s="847" t="s">
        <v>1089</v>
      </c>
      <c r="C80" s="230" t="s">
        <v>70</v>
      </c>
      <c r="D80" s="230" t="s">
        <v>73</v>
      </c>
      <c r="E80" s="230">
        <v>36</v>
      </c>
      <c r="F80" s="174" t="s">
        <v>1353</v>
      </c>
      <c r="G80" s="233" t="s">
        <v>1356</v>
      </c>
      <c r="H80" s="233" t="s">
        <v>1359</v>
      </c>
      <c r="I80" s="878">
        <v>6587551218</v>
      </c>
      <c r="J80" s="891">
        <v>456068297</v>
      </c>
      <c r="K80" s="847" t="s">
        <v>1373</v>
      </c>
      <c r="L80" s="851" t="s">
        <v>1374</v>
      </c>
      <c r="M80" s="856" t="s">
        <v>1390</v>
      </c>
      <c r="N80" s="856" t="s">
        <v>1368</v>
      </c>
      <c r="O80" s="856" t="s">
        <v>1408</v>
      </c>
      <c r="P80" s="856" t="s">
        <v>1370</v>
      </c>
      <c r="Q80" s="856" t="s">
        <v>1371</v>
      </c>
      <c r="R80" s="856" t="s">
        <v>1365</v>
      </c>
      <c r="S80" s="232" t="s">
        <v>1365</v>
      </c>
    </row>
    <row r="81" spans="1:19" ht="43" customHeight="1" x14ac:dyDescent="0.35">
      <c r="A81" s="230">
        <v>81112306</v>
      </c>
      <c r="B81" s="847" t="s">
        <v>1090</v>
      </c>
      <c r="C81" s="230" t="s">
        <v>71</v>
      </c>
      <c r="D81" s="230" t="s">
        <v>74</v>
      </c>
      <c r="E81" s="230">
        <v>36</v>
      </c>
      <c r="F81" s="174" t="s">
        <v>1353</v>
      </c>
      <c r="G81" s="233" t="s">
        <v>1356</v>
      </c>
      <c r="H81" s="233" t="s">
        <v>1359</v>
      </c>
      <c r="I81" s="878">
        <v>4417739631.5500002</v>
      </c>
      <c r="J81" s="886">
        <v>189235536</v>
      </c>
      <c r="K81" s="847" t="s">
        <v>1373</v>
      </c>
      <c r="L81" s="851" t="s">
        <v>1374</v>
      </c>
      <c r="M81" s="856" t="s">
        <v>1390</v>
      </c>
      <c r="N81" s="856" t="s">
        <v>1368</v>
      </c>
      <c r="O81" s="856" t="s">
        <v>1408</v>
      </c>
      <c r="P81" s="856" t="s">
        <v>1370</v>
      </c>
      <c r="Q81" s="856" t="s">
        <v>1371</v>
      </c>
      <c r="R81" s="856" t="s">
        <v>1365</v>
      </c>
      <c r="S81" s="232" t="s">
        <v>1365</v>
      </c>
    </row>
    <row r="82" spans="1:19" ht="43" customHeight="1" x14ac:dyDescent="0.35">
      <c r="A82" s="230">
        <v>81111508</v>
      </c>
      <c r="B82" s="847" t="s">
        <v>1091</v>
      </c>
      <c r="C82" s="230" t="s">
        <v>75</v>
      </c>
      <c r="D82" s="230" t="s">
        <v>79</v>
      </c>
      <c r="E82" s="230">
        <v>24</v>
      </c>
      <c r="F82" s="174" t="s">
        <v>1353</v>
      </c>
      <c r="G82" s="233" t="s">
        <v>1354</v>
      </c>
      <c r="H82" s="233" t="s">
        <v>1359</v>
      </c>
      <c r="I82" s="878">
        <v>374000000</v>
      </c>
      <c r="J82" s="886"/>
      <c r="K82" s="847" t="s">
        <v>1373</v>
      </c>
      <c r="L82" s="851" t="s">
        <v>1374</v>
      </c>
      <c r="M82" s="856" t="s">
        <v>1390</v>
      </c>
      <c r="N82" s="856" t="s">
        <v>1368</v>
      </c>
      <c r="O82" s="856" t="s">
        <v>1405</v>
      </c>
      <c r="P82" s="856" t="s">
        <v>1370</v>
      </c>
      <c r="Q82" s="856" t="s">
        <v>1371</v>
      </c>
      <c r="R82" s="856" t="s">
        <v>1365</v>
      </c>
      <c r="S82" s="232" t="s">
        <v>1365</v>
      </c>
    </row>
    <row r="83" spans="1:19" ht="43" customHeight="1" x14ac:dyDescent="0.35">
      <c r="A83" s="230">
        <v>81111508</v>
      </c>
      <c r="B83" s="847" t="s">
        <v>1092</v>
      </c>
      <c r="C83" s="230" t="s">
        <v>75</v>
      </c>
      <c r="D83" s="230" t="s">
        <v>78</v>
      </c>
      <c r="E83" s="230">
        <v>24</v>
      </c>
      <c r="F83" s="174" t="s">
        <v>1353</v>
      </c>
      <c r="G83" s="233" t="s">
        <v>1355</v>
      </c>
      <c r="H83" s="233" t="s">
        <v>1359</v>
      </c>
      <c r="I83" s="878">
        <v>51170000</v>
      </c>
      <c r="J83" s="886"/>
      <c r="K83" s="847" t="s">
        <v>1373</v>
      </c>
      <c r="L83" s="851" t="s">
        <v>1374</v>
      </c>
      <c r="M83" s="856" t="s">
        <v>1390</v>
      </c>
      <c r="N83" s="856" t="s">
        <v>1368</v>
      </c>
      <c r="O83" s="856" t="s">
        <v>1405</v>
      </c>
      <c r="P83" s="856" t="s">
        <v>1370</v>
      </c>
      <c r="Q83" s="856" t="s">
        <v>1371</v>
      </c>
      <c r="R83" s="856" t="s">
        <v>1365</v>
      </c>
      <c r="S83" s="232" t="s">
        <v>1365</v>
      </c>
    </row>
    <row r="84" spans="1:19" ht="43" customHeight="1" x14ac:dyDescent="0.35">
      <c r="A84" s="230">
        <v>81112208</v>
      </c>
      <c r="B84" s="847" t="s">
        <v>1093</v>
      </c>
      <c r="C84" s="230" t="s">
        <v>71</v>
      </c>
      <c r="D84" s="230" t="s">
        <v>73</v>
      </c>
      <c r="E84" s="230">
        <v>36</v>
      </c>
      <c r="F84" s="174" t="s">
        <v>1353</v>
      </c>
      <c r="G84" s="233" t="s">
        <v>1356</v>
      </c>
      <c r="H84" s="233" t="s">
        <v>1359</v>
      </c>
      <c r="I84" s="878">
        <v>2381189986</v>
      </c>
      <c r="J84" s="886" t="s">
        <v>1362</v>
      </c>
      <c r="K84" s="847" t="s">
        <v>1373</v>
      </c>
      <c r="L84" s="851" t="s">
        <v>1374</v>
      </c>
      <c r="M84" s="856" t="s">
        <v>1390</v>
      </c>
      <c r="N84" s="856" t="s">
        <v>1368</v>
      </c>
      <c r="O84" s="856" t="s">
        <v>1404</v>
      </c>
      <c r="P84" s="856" t="s">
        <v>1370</v>
      </c>
      <c r="Q84" s="856" t="s">
        <v>1371</v>
      </c>
      <c r="R84" s="856" t="s">
        <v>1365</v>
      </c>
      <c r="S84" s="232" t="s">
        <v>1365</v>
      </c>
    </row>
    <row r="85" spans="1:19" ht="43" customHeight="1" x14ac:dyDescent="0.35">
      <c r="A85" s="230">
        <v>81112105</v>
      </c>
      <c r="B85" s="847" t="s">
        <v>1094</v>
      </c>
      <c r="C85" s="230" t="s">
        <v>72</v>
      </c>
      <c r="D85" s="230" t="s">
        <v>74</v>
      </c>
      <c r="E85" s="230">
        <v>8</v>
      </c>
      <c r="F85" s="174" t="s">
        <v>1353</v>
      </c>
      <c r="G85" s="233" t="s">
        <v>1354</v>
      </c>
      <c r="H85" s="233" t="s">
        <v>1359</v>
      </c>
      <c r="I85" s="878">
        <v>547400000</v>
      </c>
      <c r="J85" s="886" t="s">
        <v>1363</v>
      </c>
      <c r="K85" s="847" t="s">
        <v>1365</v>
      </c>
      <c r="L85" s="851" t="s">
        <v>1366</v>
      </c>
      <c r="M85" s="856" t="s">
        <v>1390</v>
      </c>
      <c r="N85" s="856" t="s">
        <v>1368</v>
      </c>
      <c r="O85" s="856" t="s">
        <v>1409</v>
      </c>
      <c r="P85" s="856" t="s">
        <v>1370</v>
      </c>
      <c r="Q85" s="856" t="s">
        <v>1371</v>
      </c>
      <c r="R85" s="856" t="s">
        <v>1365</v>
      </c>
      <c r="S85" s="232" t="s">
        <v>1365</v>
      </c>
    </row>
    <row r="86" spans="1:19" ht="43" customHeight="1" x14ac:dyDescent="0.35">
      <c r="A86" s="230">
        <v>81111508</v>
      </c>
      <c r="B86" s="847" t="s">
        <v>1095</v>
      </c>
      <c r="C86" s="230" t="s">
        <v>70</v>
      </c>
      <c r="D86" s="230" t="s">
        <v>72</v>
      </c>
      <c r="E86" s="230">
        <v>36</v>
      </c>
      <c r="F86" s="174" t="s">
        <v>1353</v>
      </c>
      <c r="G86" s="233" t="s">
        <v>1356</v>
      </c>
      <c r="H86" s="233" t="s">
        <v>1359</v>
      </c>
      <c r="I86" s="878">
        <v>809836650</v>
      </c>
      <c r="J86" s="886">
        <v>95836650</v>
      </c>
      <c r="K86" s="847" t="s">
        <v>1373</v>
      </c>
      <c r="L86" s="851" t="s">
        <v>1374</v>
      </c>
      <c r="M86" s="856" t="s">
        <v>1390</v>
      </c>
      <c r="N86" s="856" t="s">
        <v>1368</v>
      </c>
      <c r="O86" s="856" t="s">
        <v>1404</v>
      </c>
      <c r="P86" s="856" t="s">
        <v>1370</v>
      </c>
      <c r="Q86" s="856" t="s">
        <v>1371</v>
      </c>
      <c r="R86" s="856" t="s">
        <v>1365</v>
      </c>
      <c r="S86" s="232" t="s">
        <v>1365</v>
      </c>
    </row>
    <row r="87" spans="1:19" ht="43" customHeight="1" x14ac:dyDescent="0.35">
      <c r="A87" s="230">
        <v>43231501</v>
      </c>
      <c r="B87" s="847" t="s">
        <v>1096</v>
      </c>
      <c r="C87" s="230" t="s">
        <v>71</v>
      </c>
      <c r="D87" s="230" t="s">
        <v>74</v>
      </c>
      <c r="E87" s="230">
        <v>36</v>
      </c>
      <c r="F87" s="174" t="s">
        <v>1353</v>
      </c>
      <c r="G87" s="233" t="s">
        <v>1355</v>
      </c>
      <c r="H87" s="233" t="s">
        <v>1359</v>
      </c>
      <c r="I87" s="878">
        <v>1828833755.9100001</v>
      </c>
      <c r="J87" s="886">
        <v>455439512</v>
      </c>
      <c r="K87" s="847" t="s">
        <v>1373</v>
      </c>
      <c r="L87" s="851" t="s">
        <v>1374</v>
      </c>
      <c r="M87" s="856" t="s">
        <v>1390</v>
      </c>
      <c r="N87" s="856" t="s">
        <v>1368</v>
      </c>
      <c r="O87" s="856" t="s">
        <v>1408</v>
      </c>
      <c r="P87" s="856" t="s">
        <v>1370</v>
      </c>
      <c r="Q87" s="856" t="s">
        <v>1371</v>
      </c>
      <c r="R87" s="856" t="s">
        <v>1365</v>
      </c>
      <c r="S87" s="232" t="s">
        <v>1365</v>
      </c>
    </row>
    <row r="88" spans="1:19" ht="43" customHeight="1" x14ac:dyDescent="0.35">
      <c r="A88" s="230">
        <v>81111508</v>
      </c>
      <c r="B88" s="847" t="s">
        <v>1097</v>
      </c>
      <c r="C88" s="230" t="s">
        <v>73</v>
      </c>
      <c r="D88" s="230" t="s">
        <v>75</v>
      </c>
      <c r="E88" s="230">
        <v>36</v>
      </c>
      <c r="F88" s="174" t="s">
        <v>1353</v>
      </c>
      <c r="G88" s="233" t="s">
        <v>1356</v>
      </c>
      <c r="H88" s="233" t="s">
        <v>1359</v>
      </c>
      <c r="I88" s="878">
        <v>2939058113.46</v>
      </c>
      <c r="J88" s="886" t="s">
        <v>1364</v>
      </c>
      <c r="K88" s="847" t="s">
        <v>1373</v>
      </c>
      <c r="L88" s="851" t="s">
        <v>1374</v>
      </c>
      <c r="M88" s="856" t="s">
        <v>1390</v>
      </c>
      <c r="N88" s="856" t="s">
        <v>1368</v>
      </c>
      <c r="O88" s="856" t="s">
        <v>1407</v>
      </c>
      <c r="P88" s="856" t="s">
        <v>1370</v>
      </c>
      <c r="Q88" s="856" t="s">
        <v>1371</v>
      </c>
      <c r="R88" s="856" t="s">
        <v>1365</v>
      </c>
      <c r="S88" s="232" t="s">
        <v>1365</v>
      </c>
    </row>
    <row r="89" spans="1:19" ht="43" customHeight="1" x14ac:dyDescent="0.35">
      <c r="A89" s="230">
        <v>43231500</v>
      </c>
      <c r="B89" s="847" t="s">
        <v>1098</v>
      </c>
      <c r="C89" s="230" t="s">
        <v>71</v>
      </c>
      <c r="D89" s="230" t="s">
        <v>73</v>
      </c>
      <c r="E89" s="230">
        <v>24</v>
      </c>
      <c r="F89" s="174" t="s">
        <v>1353</v>
      </c>
      <c r="G89" s="233" t="s">
        <v>1355</v>
      </c>
      <c r="H89" s="233" t="s">
        <v>1359</v>
      </c>
      <c r="I89" s="878">
        <v>449820000</v>
      </c>
      <c r="J89" s="886">
        <v>199920000</v>
      </c>
      <c r="K89" s="847" t="s">
        <v>1373</v>
      </c>
      <c r="L89" s="851" t="s">
        <v>1374</v>
      </c>
      <c r="M89" s="856" t="s">
        <v>1390</v>
      </c>
      <c r="N89" s="856" t="s">
        <v>1368</v>
      </c>
      <c r="O89" s="856" t="s">
        <v>1402</v>
      </c>
      <c r="P89" s="856" t="s">
        <v>1370</v>
      </c>
      <c r="Q89" s="856" t="s">
        <v>1371</v>
      </c>
      <c r="R89" s="856" t="s">
        <v>1365</v>
      </c>
      <c r="S89" s="232" t="s">
        <v>1365</v>
      </c>
    </row>
    <row r="90" spans="1:19" ht="43" customHeight="1" x14ac:dyDescent="0.35">
      <c r="A90" s="230">
        <v>81112208</v>
      </c>
      <c r="B90" s="855" t="s">
        <v>1099</v>
      </c>
      <c r="C90" s="835" t="s">
        <v>70</v>
      </c>
      <c r="D90" s="873" t="s">
        <v>74</v>
      </c>
      <c r="E90" s="230">
        <v>36</v>
      </c>
      <c r="F90" s="174" t="s">
        <v>1353</v>
      </c>
      <c r="G90" s="230" t="s">
        <v>1356</v>
      </c>
      <c r="H90" s="233" t="s">
        <v>1359</v>
      </c>
      <c r="I90" s="878">
        <v>2817612504</v>
      </c>
      <c r="J90" s="886">
        <v>313068056</v>
      </c>
      <c r="K90" s="852" t="s">
        <v>1373</v>
      </c>
      <c r="L90" s="852" t="s">
        <v>1374</v>
      </c>
      <c r="M90" s="856" t="s">
        <v>1390</v>
      </c>
      <c r="N90" s="856" t="s">
        <v>1368</v>
      </c>
      <c r="O90" s="904" t="s">
        <v>1404</v>
      </c>
      <c r="P90" s="856" t="s">
        <v>1370</v>
      </c>
      <c r="Q90" s="856" t="s">
        <v>1371</v>
      </c>
      <c r="R90" s="856" t="s">
        <v>1365</v>
      </c>
      <c r="S90" s="232" t="s">
        <v>1365</v>
      </c>
    </row>
    <row r="91" spans="1:19" ht="43" customHeight="1" x14ac:dyDescent="0.35">
      <c r="A91" s="832">
        <v>94131603</v>
      </c>
      <c r="B91" s="232" t="s">
        <v>1100</v>
      </c>
      <c r="C91" s="230" t="s">
        <v>80</v>
      </c>
      <c r="D91" s="230" t="s">
        <v>80</v>
      </c>
      <c r="E91" s="230">
        <v>12</v>
      </c>
      <c r="F91" s="174" t="s">
        <v>1353</v>
      </c>
      <c r="G91" s="233" t="s">
        <v>1354</v>
      </c>
      <c r="H91" s="233" t="s">
        <v>1359</v>
      </c>
      <c r="I91" s="878">
        <v>397305300</v>
      </c>
      <c r="J91" s="886">
        <v>397305300</v>
      </c>
      <c r="K91" s="847" t="s">
        <v>1365</v>
      </c>
      <c r="L91" s="847" t="s">
        <v>1366</v>
      </c>
      <c r="M91" s="856" t="s">
        <v>1410</v>
      </c>
      <c r="N91" s="856" t="s">
        <v>1368</v>
      </c>
      <c r="O91" s="856" t="s">
        <v>1411</v>
      </c>
      <c r="P91" s="856" t="s">
        <v>1370</v>
      </c>
      <c r="Q91" s="856" t="s">
        <v>1371</v>
      </c>
      <c r="R91" s="856" t="s">
        <v>1365</v>
      </c>
      <c r="S91" s="232" t="s">
        <v>1365</v>
      </c>
    </row>
    <row r="92" spans="1:19" ht="43" customHeight="1" x14ac:dyDescent="0.35">
      <c r="A92" s="832">
        <v>80121604</v>
      </c>
      <c r="B92" s="847" t="s">
        <v>1101</v>
      </c>
      <c r="C92" s="230" t="s">
        <v>80</v>
      </c>
      <c r="D92" s="230" t="s">
        <v>80</v>
      </c>
      <c r="E92" s="230">
        <v>12</v>
      </c>
      <c r="F92" s="174" t="s">
        <v>1353</v>
      </c>
      <c r="G92" s="233" t="s">
        <v>1355</v>
      </c>
      <c r="H92" s="233" t="s">
        <v>1359</v>
      </c>
      <c r="I92" s="878">
        <v>47600000</v>
      </c>
      <c r="J92" s="892">
        <v>48392472</v>
      </c>
      <c r="K92" s="847" t="s">
        <v>1365</v>
      </c>
      <c r="L92" s="851" t="s">
        <v>1366</v>
      </c>
      <c r="M92" s="905" t="s">
        <v>1410</v>
      </c>
      <c r="N92" s="856" t="s">
        <v>1368</v>
      </c>
      <c r="O92" s="856" t="s">
        <v>1411</v>
      </c>
      <c r="P92" s="856" t="s">
        <v>1370</v>
      </c>
      <c r="Q92" s="856" t="s">
        <v>1371</v>
      </c>
      <c r="R92" s="856" t="s">
        <v>1365</v>
      </c>
      <c r="S92" s="232" t="s">
        <v>1365</v>
      </c>
    </row>
    <row r="93" spans="1:19" ht="43" customHeight="1" x14ac:dyDescent="0.35">
      <c r="A93" s="832">
        <v>80121604</v>
      </c>
      <c r="B93" s="847" t="s">
        <v>1101</v>
      </c>
      <c r="C93" s="230" t="s">
        <v>80</v>
      </c>
      <c r="D93" s="230" t="s">
        <v>80</v>
      </c>
      <c r="E93" s="230">
        <v>12</v>
      </c>
      <c r="F93" s="174" t="s">
        <v>1353</v>
      </c>
      <c r="G93" s="233" t="s">
        <v>1355</v>
      </c>
      <c r="H93" s="233" t="s">
        <v>1359</v>
      </c>
      <c r="I93" s="878">
        <v>8392472</v>
      </c>
      <c r="J93" s="892">
        <v>8392472</v>
      </c>
      <c r="K93" s="847" t="s">
        <v>1365</v>
      </c>
      <c r="L93" s="851" t="s">
        <v>1366</v>
      </c>
      <c r="M93" s="905" t="s">
        <v>1410</v>
      </c>
      <c r="N93" s="856" t="s">
        <v>1368</v>
      </c>
      <c r="O93" s="856" t="s">
        <v>1411</v>
      </c>
      <c r="P93" s="856" t="s">
        <v>1370</v>
      </c>
      <c r="Q93" s="856" t="s">
        <v>1371</v>
      </c>
      <c r="R93" s="856" t="s">
        <v>1365</v>
      </c>
      <c r="S93" s="232" t="s">
        <v>1365</v>
      </c>
    </row>
    <row r="94" spans="1:19" ht="43" customHeight="1" x14ac:dyDescent="0.35">
      <c r="A94" s="832">
        <v>80121600</v>
      </c>
      <c r="B94" s="232" t="s">
        <v>1102</v>
      </c>
      <c r="C94" s="230" t="s">
        <v>80</v>
      </c>
      <c r="D94" s="230" t="s">
        <v>80</v>
      </c>
      <c r="E94" s="230">
        <v>12</v>
      </c>
      <c r="F94" s="174" t="s">
        <v>1353</v>
      </c>
      <c r="G94" s="233" t="s">
        <v>1355</v>
      </c>
      <c r="H94" s="233" t="s">
        <v>1359</v>
      </c>
      <c r="I94" s="878">
        <v>44182320</v>
      </c>
      <c r="J94" s="892">
        <v>44182320</v>
      </c>
      <c r="K94" s="847" t="s">
        <v>1365</v>
      </c>
      <c r="L94" s="851" t="s">
        <v>1366</v>
      </c>
      <c r="M94" s="856" t="s">
        <v>1410</v>
      </c>
      <c r="N94" s="856" t="s">
        <v>1368</v>
      </c>
      <c r="O94" s="856" t="s">
        <v>1411</v>
      </c>
      <c r="P94" s="856" t="s">
        <v>1370</v>
      </c>
      <c r="Q94" s="856" t="s">
        <v>1371</v>
      </c>
      <c r="R94" s="856" t="s">
        <v>1365</v>
      </c>
      <c r="S94" s="232" t="s">
        <v>1365</v>
      </c>
    </row>
    <row r="95" spans="1:19" ht="43" customHeight="1" x14ac:dyDescent="0.35">
      <c r="A95" s="832">
        <v>86132000</v>
      </c>
      <c r="B95" s="232" t="s">
        <v>1103</v>
      </c>
      <c r="C95" s="230" t="s">
        <v>76</v>
      </c>
      <c r="D95" s="230" t="s">
        <v>77</v>
      </c>
      <c r="E95" s="230">
        <v>1</v>
      </c>
      <c r="F95" s="174" t="s">
        <v>1353</v>
      </c>
      <c r="G95" s="233" t="s">
        <v>1355</v>
      </c>
      <c r="H95" s="233" t="s">
        <v>1359</v>
      </c>
      <c r="I95" s="878">
        <v>28928900</v>
      </c>
      <c r="J95" s="892">
        <v>28928900</v>
      </c>
      <c r="K95" s="847" t="s">
        <v>1365</v>
      </c>
      <c r="L95" s="851" t="s">
        <v>1366</v>
      </c>
      <c r="M95" s="856" t="s">
        <v>1410</v>
      </c>
      <c r="N95" s="856" t="s">
        <v>1368</v>
      </c>
      <c r="O95" s="856" t="s">
        <v>1412</v>
      </c>
      <c r="P95" s="856" t="s">
        <v>1370</v>
      </c>
      <c r="Q95" s="856" t="s">
        <v>1371</v>
      </c>
      <c r="R95" s="856" t="s">
        <v>1365</v>
      </c>
      <c r="S95" s="232" t="s">
        <v>1365</v>
      </c>
    </row>
    <row r="96" spans="1:19" ht="43" customHeight="1" x14ac:dyDescent="0.35">
      <c r="A96" s="833" t="s">
        <v>979</v>
      </c>
      <c r="B96" s="232" t="s">
        <v>1104</v>
      </c>
      <c r="C96" s="230" t="s">
        <v>76</v>
      </c>
      <c r="D96" s="230" t="s">
        <v>77</v>
      </c>
      <c r="E96" s="230">
        <v>4</v>
      </c>
      <c r="F96" s="174" t="s">
        <v>1353</v>
      </c>
      <c r="G96" s="233" t="s">
        <v>1355</v>
      </c>
      <c r="H96" s="233" t="s">
        <v>1359</v>
      </c>
      <c r="I96" s="878">
        <v>22486837.379999999</v>
      </c>
      <c r="J96" s="892">
        <v>22486837.379999999</v>
      </c>
      <c r="K96" s="847" t="s">
        <v>1365</v>
      </c>
      <c r="L96" s="851" t="s">
        <v>1366</v>
      </c>
      <c r="M96" s="856" t="s">
        <v>1410</v>
      </c>
      <c r="N96" s="856" t="s">
        <v>1368</v>
      </c>
      <c r="O96" s="856" t="s">
        <v>1411</v>
      </c>
      <c r="P96" s="856" t="s">
        <v>1370</v>
      </c>
      <c r="Q96" s="856" t="s">
        <v>1371</v>
      </c>
      <c r="R96" s="856" t="s">
        <v>1365</v>
      </c>
      <c r="S96" s="232" t="s">
        <v>1365</v>
      </c>
    </row>
    <row r="97" spans="1:19" ht="43" customHeight="1" x14ac:dyDescent="0.35">
      <c r="A97" s="833" t="s">
        <v>989</v>
      </c>
      <c r="B97" s="232" t="s">
        <v>1105</v>
      </c>
      <c r="C97" s="230" t="s">
        <v>69</v>
      </c>
      <c r="D97" s="230" t="s">
        <v>69</v>
      </c>
      <c r="E97" s="230">
        <v>11</v>
      </c>
      <c r="F97" s="174" t="s">
        <v>1353</v>
      </c>
      <c r="G97" s="233" t="s">
        <v>1355</v>
      </c>
      <c r="H97" s="233" t="s">
        <v>1359</v>
      </c>
      <c r="I97" s="878">
        <v>5367376</v>
      </c>
      <c r="J97" s="892">
        <v>4510400</v>
      </c>
      <c r="K97" s="847" t="s">
        <v>1365</v>
      </c>
      <c r="L97" s="851" t="s">
        <v>1366</v>
      </c>
      <c r="M97" s="856" t="s">
        <v>1410</v>
      </c>
      <c r="N97" s="856" t="s">
        <v>1368</v>
      </c>
      <c r="O97" s="866" t="s">
        <v>1413</v>
      </c>
      <c r="P97" s="856" t="s">
        <v>1370</v>
      </c>
      <c r="Q97" s="856" t="s">
        <v>1371</v>
      </c>
      <c r="R97" s="856" t="s">
        <v>1365</v>
      </c>
      <c r="S97" s="232" t="s">
        <v>1365</v>
      </c>
    </row>
    <row r="98" spans="1:19" ht="43" customHeight="1" x14ac:dyDescent="0.35">
      <c r="A98" s="833" t="s">
        <v>990</v>
      </c>
      <c r="B98" s="232" t="s">
        <v>1106</v>
      </c>
      <c r="C98" s="230" t="s">
        <v>69</v>
      </c>
      <c r="D98" s="230" t="s">
        <v>69</v>
      </c>
      <c r="E98" s="230">
        <v>4</v>
      </c>
      <c r="F98" s="174" t="s">
        <v>1353</v>
      </c>
      <c r="G98" s="233" t="s">
        <v>1355</v>
      </c>
      <c r="H98" s="233" t="s">
        <v>1359</v>
      </c>
      <c r="I98" s="878">
        <v>82889688</v>
      </c>
      <c r="J98" s="886">
        <v>82889688</v>
      </c>
      <c r="K98" s="847" t="s">
        <v>1365</v>
      </c>
      <c r="L98" s="851" t="s">
        <v>1366</v>
      </c>
      <c r="M98" s="856" t="s">
        <v>1410</v>
      </c>
      <c r="N98" s="856" t="s">
        <v>1368</v>
      </c>
      <c r="O98" s="856" t="s">
        <v>1413</v>
      </c>
      <c r="P98" s="856" t="s">
        <v>1370</v>
      </c>
      <c r="Q98" s="856" t="s">
        <v>1371</v>
      </c>
      <c r="R98" s="856" t="s">
        <v>1365</v>
      </c>
      <c r="S98" s="232" t="s">
        <v>1365</v>
      </c>
    </row>
    <row r="99" spans="1:19" ht="43" customHeight="1" x14ac:dyDescent="0.35">
      <c r="A99" s="833" t="s">
        <v>990</v>
      </c>
      <c r="B99" s="232" t="s">
        <v>1107</v>
      </c>
      <c r="C99" s="230" t="s">
        <v>72</v>
      </c>
      <c r="D99" s="230" t="s">
        <v>72</v>
      </c>
      <c r="E99" s="230">
        <v>12</v>
      </c>
      <c r="F99" s="174" t="s">
        <v>1353</v>
      </c>
      <c r="G99" s="233" t="s">
        <v>1355</v>
      </c>
      <c r="H99" s="233" t="s">
        <v>1359</v>
      </c>
      <c r="I99" s="878">
        <v>132644064</v>
      </c>
      <c r="J99" s="892">
        <v>0</v>
      </c>
      <c r="K99" s="847" t="s">
        <v>1365</v>
      </c>
      <c r="L99" s="851" t="s">
        <v>1366</v>
      </c>
      <c r="M99" s="856" t="s">
        <v>1410</v>
      </c>
      <c r="N99" s="856" t="s">
        <v>1368</v>
      </c>
      <c r="O99" s="856" t="s">
        <v>1413</v>
      </c>
      <c r="P99" s="856" t="s">
        <v>1370</v>
      </c>
      <c r="Q99" s="856" t="s">
        <v>1371</v>
      </c>
      <c r="R99" s="856" t="s">
        <v>1365</v>
      </c>
      <c r="S99" s="232" t="s">
        <v>1365</v>
      </c>
    </row>
    <row r="100" spans="1:19" ht="43" customHeight="1" x14ac:dyDescent="0.35">
      <c r="A100" s="833" t="s">
        <v>990</v>
      </c>
      <c r="B100" s="232" t="s">
        <v>1108</v>
      </c>
      <c r="C100" s="230" t="s">
        <v>70</v>
      </c>
      <c r="D100" s="230" t="s">
        <v>70</v>
      </c>
      <c r="E100" s="230">
        <v>12</v>
      </c>
      <c r="F100" s="174" t="s">
        <v>1353</v>
      </c>
      <c r="G100" s="233" t="s">
        <v>1355</v>
      </c>
      <c r="H100" s="233" t="s">
        <v>1359</v>
      </c>
      <c r="I100" s="878">
        <v>748034000</v>
      </c>
      <c r="J100" s="892">
        <v>0</v>
      </c>
      <c r="K100" s="847" t="s">
        <v>1365</v>
      </c>
      <c r="L100" s="851" t="s">
        <v>1366</v>
      </c>
      <c r="M100" s="856" t="s">
        <v>1410</v>
      </c>
      <c r="N100" s="856" t="s">
        <v>1368</v>
      </c>
      <c r="O100" s="856" t="s">
        <v>1413</v>
      </c>
      <c r="P100" s="856" t="s">
        <v>1370</v>
      </c>
      <c r="Q100" s="856" t="s">
        <v>1371</v>
      </c>
      <c r="R100" s="856" t="s">
        <v>1365</v>
      </c>
      <c r="S100" s="232" t="s">
        <v>1365</v>
      </c>
    </row>
    <row r="101" spans="1:19" ht="43" customHeight="1" x14ac:dyDescent="0.35">
      <c r="A101" s="833" t="s">
        <v>990</v>
      </c>
      <c r="B101" s="232" t="s">
        <v>1109</v>
      </c>
      <c r="C101" s="230" t="s">
        <v>69</v>
      </c>
      <c r="D101" s="230" t="s">
        <v>69</v>
      </c>
      <c r="E101" s="230">
        <v>12</v>
      </c>
      <c r="F101" s="174" t="s">
        <v>1353</v>
      </c>
      <c r="G101" s="233" t="s">
        <v>1355</v>
      </c>
      <c r="H101" s="233" t="s">
        <v>1359</v>
      </c>
      <c r="I101" s="878">
        <v>424217366.04514229</v>
      </c>
      <c r="J101" s="892">
        <v>424217366.04514229</v>
      </c>
      <c r="K101" s="847" t="s">
        <v>1365</v>
      </c>
      <c r="L101" s="851" t="s">
        <v>1366</v>
      </c>
      <c r="M101" s="856" t="s">
        <v>1410</v>
      </c>
      <c r="N101" s="856" t="s">
        <v>1368</v>
      </c>
      <c r="O101" s="856" t="s">
        <v>1413</v>
      </c>
      <c r="P101" s="856" t="s">
        <v>1370</v>
      </c>
      <c r="Q101" s="856" t="s">
        <v>1371</v>
      </c>
      <c r="R101" s="856" t="s">
        <v>1365</v>
      </c>
      <c r="S101" s="232" t="s">
        <v>1365</v>
      </c>
    </row>
    <row r="102" spans="1:19" ht="43" customHeight="1" x14ac:dyDescent="0.35">
      <c r="A102" s="833" t="s">
        <v>990</v>
      </c>
      <c r="B102" s="227" t="s">
        <v>1110</v>
      </c>
      <c r="C102" s="228" t="s">
        <v>69</v>
      </c>
      <c r="D102" s="228" t="s">
        <v>69</v>
      </c>
      <c r="E102" s="228">
        <v>12</v>
      </c>
      <c r="F102" s="174" t="s">
        <v>1353</v>
      </c>
      <c r="G102" s="233" t="s">
        <v>1355</v>
      </c>
      <c r="H102" s="233" t="s">
        <v>1359</v>
      </c>
      <c r="I102" s="880">
        <v>17790500000</v>
      </c>
      <c r="J102" s="892">
        <v>17790500000</v>
      </c>
      <c r="K102" s="860" t="s">
        <v>1365</v>
      </c>
      <c r="L102" s="851" t="s">
        <v>1366</v>
      </c>
      <c r="M102" s="866" t="s">
        <v>1410</v>
      </c>
      <c r="N102" s="856" t="s">
        <v>1368</v>
      </c>
      <c r="O102" s="866" t="s">
        <v>1413</v>
      </c>
      <c r="P102" s="856" t="s">
        <v>1370</v>
      </c>
      <c r="Q102" s="856" t="s">
        <v>1371</v>
      </c>
      <c r="R102" s="856" t="s">
        <v>1365</v>
      </c>
      <c r="S102" s="232" t="s">
        <v>1365</v>
      </c>
    </row>
    <row r="103" spans="1:19" ht="43" customHeight="1" x14ac:dyDescent="0.35">
      <c r="A103" s="833" t="s">
        <v>990</v>
      </c>
      <c r="B103" s="232" t="s">
        <v>1111</v>
      </c>
      <c r="C103" s="230" t="s">
        <v>69</v>
      </c>
      <c r="D103" s="230" t="s">
        <v>69</v>
      </c>
      <c r="E103" s="230">
        <v>12</v>
      </c>
      <c r="F103" s="174" t="s">
        <v>1353</v>
      </c>
      <c r="G103" s="233" t="s">
        <v>1355</v>
      </c>
      <c r="H103" s="233" t="s">
        <v>1359</v>
      </c>
      <c r="I103" s="878">
        <v>178500000</v>
      </c>
      <c r="J103" s="886"/>
      <c r="K103" s="847" t="s">
        <v>1365</v>
      </c>
      <c r="L103" s="851" t="s">
        <v>1366</v>
      </c>
      <c r="M103" s="856" t="s">
        <v>1410</v>
      </c>
      <c r="N103" s="856" t="s">
        <v>1368</v>
      </c>
      <c r="O103" s="856" t="s">
        <v>1413</v>
      </c>
      <c r="P103" s="856" t="s">
        <v>1370</v>
      </c>
      <c r="Q103" s="856" t="s">
        <v>1371</v>
      </c>
      <c r="R103" s="856" t="s">
        <v>1365</v>
      </c>
      <c r="S103" s="232" t="s">
        <v>1365</v>
      </c>
    </row>
    <row r="104" spans="1:19" ht="43" customHeight="1" x14ac:dyDescent="0.35">
      <c r="A104" s="833" t="s">
        <v>990</v>
      </c>
      <c r="B104" s="232" t="s">
        <v>1111</v>
      </c>
      <c r="C104" s="230" t="s">
        <v>69</v>
      </c>
      <c r="D104" s="230" t="s">
        <v>69</v>
      </c>
      <c r="E104" s="230">
        <v>12</v>
      </c>
      <c r="F104" s="174" t="s">
        <v>1353</v>
      </c>
      <c r="G104" s="233" t="s">
        <v>1355</v>
      </c>
      <c r="H104" s="233" t="s">
        <v>1359</v>
      </c>
      <c r="I104" s="878">
        <v>178500000</v>
      </c>
      <c r="J104" s="886"/>
      <c r="K104" s="847" t="s">
        <v>1365</v>
      </c>
      <c r="L104" s="851" t="s">
        <v>1366</v>
      </c>
      <c r="M104" s="856" t="s">
        <v>1410</v>
      </c>
      <c r="N104" s="856" t="s">
        <v>1368</v>
      </c>
      <c r="O104" s="856" t="s">
        <v>1413</v>
      </c>
      <c r="P104" s="856" t="s">
        <v>1370</v>
      </c>
      <c r="Q104" s="856" t="s">
        <v>1371</v>
      </c>
      <c r="R104" s="856" t="s">
        <v>1365</v>
      </c>
      <c r="S104" s="232" t="s">
        <v>1365</v>
      </c>
    </row>
    <row r="105" spans="1:19" ht="43" customHeight="1" x14ac:dyDescent="0.35">
      <c r="A105" s="833" t="s">
        <v>990</v>
      </c>
      <c r="B105" s="232" t="s">
        <v>1111</v>
      </c>
      <c r="C105" s="230" t="s">
        <v>70</v>
      </c>
      <c r="D105" s="230" t="s">
        <v>70</v>
      </c>
      <c r="E105" s="230">
        <v>12</v>
      </c>
      <c r="F105" s="174" t="s">
        <v>1353</v>
      </c>
      <c r="G105" s="233" t="s">
        <v>1355</v>
      </c>
      <c r="H105" s="233" t="s">
        <v>1359</v>
      </c>
      <c r="I105" s="878">
        <v>178500000</v>
      </c>
      <c r="J105" s="886"/>
      <c r="K105" s="847" t="s">
        <v>1365</v>
      </c>
      <c r="L105" s="851" t="s">
        <v>1366</v>
      </c>
      <c r="M105" s="856" t="s">
        <v>1410</v>
      </c>
      <c r="N105" s="856" t="s">
        <v>1368</v>
      </c>
      <c r="O105" s="856" t="s">
        <v>1413</v>
      </c>
      <c r="P105" s="856" t="s">
        <v>1370</v>
      </c>
      <c r="Q105" s="856" t="s">
        <v>1371</v>
      </c>
      <c r="R105" s="856" t="s">
        <v>1365</v>
      </c>
      <c r="S105" s="232" t="s">
        <v>1365</v>
      </c>
    </row>
    <row r="106" spans="1:19" ht="43" customHeight="1" x14ac:dyDescent="0.35">
      <c r="A106" s="833" t="s">
        <v>990</v>
      </c>
      <c r="B106" s="232" t="s">
        <v>1111</v>
      </c>
      <c r="C106" s="230" t="s">
        <v>70</v>
      </c>
      <c r="D106" s="230" t="s">
        <v>70</v>
      </c>
      <c r="E106" s="230">
        <v>12</v>
      </c>
      <c r="F106" s="174" t="s">
        <v>1353</v>
      </c>
      <c r="G106" s="233" t="s">
        <v>1355</v>
      </c>
      <c r="H106" s="233" t="s">
        <v>1359</v>
      </c>
      <c r="I106" s="878">
        <v>178500000</v>
      </c>
      <c r="J106" s="886"/>
      <c r="K106" s="847" t="s">
        <v>1365</v>
      </c>
      <c r="L106" s="851" t="s">
        <v>1366</v>
      </c>
      <c r="M106" s="856" t="s">
        <v>1410</v>
      </c>
      <c r="N106" s="856" t="s">
        <v>1368</v>
      </c>
      <c r="O106" s="856" t="s">
        <v>1413</v>
      </c>
      <c r="P106" s="856" t="s">
        <v>1370</v>
      </c>
      <c r="Q106" s="856" t="s">
        <v>1371</v>
      </c>
      <c r="R106" s="856" t="s">
        <v>1365</v>
      </c>
      <c r="S106" s="232" t="s">
        <v>1365</v>
      </c>
    </row>
    <row r="107" spans="1:19" ht="43" customHeight="1" x14ac:dyDescent="0.35">
      <c r="A107" s="833" t="s">
        <v>990</v>
      </c>
      <c r="B107" s="232" t="s">
        <v>1111</v>
      </c>
      <c r="C107" s="230" t="s">
        <v>71</v>
      </c>
      <c r="D107" s="230" t="s">
        <v>71</v>
      </c>
      <c r="E107" s="230">
        <v>12</v>
      </c>
      <c r="F107" s="174" t="s">
        <v>1353</v>
      </c>
      <c r="G107" s="233" t="s">
        <v>1355</v>
      </c>
      <c r="H107" s="233" t="s">
        <v>1359</v>
      </c>
      <c r="I107" s="878">
        <v>178500000</v>
      </c>
      <c r="J107" s="886"/>
      <c r="K107" s="847" t="s">
        <v>1365</v>
      </c>
      <c r="L107" s="851" t="s">
        <v>1366</v>
      </c>
      <c r="M107" s="856" t="s">
        <v>1410</v>
      </c>
      <c r="N107" s="856" t="s">
        <v>1368</v>
      </c>
      <c r="O107" s="856" t="s">
        <v>1413</v>
      </c>
      <c r="P107" s="856" t="s">
        <v>1370</v>
      </c>
      <c r="Q107" s="856" t="s">
        <v>1371</v>
      </c>
      <c r="R107" s="856" t="s">
        <v>1365</v>
      </c>
      <c r="S107" s="232" t="s">
        <v>1365</v>
      </c>
    </row>
    <row r="108" spans="1:19" ht="43" customHeight="1" x14ac:dyDescent="0.35">
      <c r="A108" s="833" t="s">
        <v>990</v>
      </c>
      <c r="B108" s="232" t="s">
        <v>1111</v>
      </c>
      <c r="C108" s="230" t="s">
        <v>71</v>
      </c>
      <c r="D108" s="230" t="s">
        <v>71</v>
      </c>
      <c r="E108" s="230">
        <v>12</v>
      </c>
      <c r="F108" s="174" t="s">
        <v>1353</v>
      </c>
      <c r="G108" s="233" t="s">
        <v>1355</v>
      </c>
      <c r="H108" s="233" t="s">
        <v>1359</v>
      </c>
      <c r="I108" s="878">
        <v>178500000</v>
      </c>
      <c r="J108" s="886"/>
      <c r="K108" s="847" t="s">
        <v>1365</v>
      </c>
      <c r="L108" s="851" t="s">
        <v>1366</v>
      </c>
      <c r="M108" s="856" t="s">
        <v>1410</v>
      </c>
      <c r="N108" s="856" t="s">
        <v>1368</v>
      </c>
      <c r="O108" s="856" t="s">
        <v>1413</v>
      </c>
      <c r="P108" s="856" t="s">
        <v>1370</v>
      </c>
      <c r="Q108" s="856" t="s">
        <v>1371</v>
      </c>
      <c r="R108" s="856" t="s">
        <v>1365</v>
      </c>
      <c r="S108" s="232" t="s">
        <v>1365</v>
      </c>
    </row>
    <row r="109" spans="1:19" ht="43" customHeight="1" x14ac:dyDescent="0.35">
      <c r="A109" s="833" t="s">
        <v>990</v>
      </c>
      <c r="B109" s="232" t="s">
        <v>1111</v>
      </c>
      <c r="C109" s="230" t="s">
        <v>72</v>
      </c>
      <c r="D109" s="230" t="s">
        <v>72</v>
      </c>
      <c r="E109" s="230">
        <v>12</v>
      </c>
      <c r="F109" s="174" t="s">
        <v>1353</v>
      </c>
      <c r="G109" s="233" t="s">
        <v>1355</v>
      </c>
      <c r="H109" s="233" t="s">
        <v>1359</v>
      </c>
      <c r="I109" s="878">
        <v>178500000</v>
      </c>
      <c r="J109" s="886"/>
      <c r="K109" s="847" t="s">
        <v>1365</v>
      </c>
      <c r="L109" s="851" t="s">
        <v>1366</v>
      </c>
      <c r="M109" s="856" t="s">
        <v>1410</v>
      </c>
      <c r="N109" s="856" t="s">
        <v>1368</v>
      </c>
      <c r="O109" s="856" t="s">
        <v>1413</v>
      </c>
      <c r="P109" s="856" t="s">
        <v>1370</v>
      </c>
      <c r="Q109" s="856" t="s">
        <v>1371</v>
      </c>
      <c r="R109" s="856" t="s">
        <v>1365</v>
      </c>
      <c r="S109" s="232" t="s">
        <v>1365</v>
      </c>
    </row>
    <row r="110" spans="1:19" ht="43" customHeight="1" x14ac:dyDescent="0.35">
      <c r="A110" s="833" t="s">
        <v>990</v>
      </c>
      <c r="B110" s="232" t="s">
        <v>1111</v>
      </c>
      <c r="C110" s="230" t="s">
        <v>72</v>
      </c>
      <c r="D110" s="230" t="s">
        <v>72</v>
      </c>
      <c r="E110" s="230">
        <v>12</v>
      </c>
      <c r="F110" s="174" t="s">
        <v>1353</v>
      </c>
      <c r="G110" s="233" t="s">
        <v>1355</v>
      </c>
      <c r="H110" s="233" t="s">
        <v>1359</v>
      </c>
      <c r="I110" s="878">
        <v>178500000</v>
      </c>
      <c r="J110" s="886"/>
      <c r="K110" s="847" t="s">
        <v>1365</v>
      </c>
      <c r="L110" s="851" t="s">
        <v>1366</v>
      </c>
      <c r="M110" s="856" t="s">
        <v>1410</v>
      </c>
      <c r="N110" s="856" t="s">
        <v>1368</v>
      </c>
      <c r="O110" s="856" t="s">
        <v>1413</v>
      </c>
      <c r="P110" s="856" t="s">
        <v>1370</v>
      </c>
      <c r="Q110" s="856" t="s">
        <v>1371</v>
      </c>
      <c r="R110" s="856" t="s">
        <v>1365</v>
      </c>
      <c r="S110" s="232" t="s">
        <v>1365</v>
      </c>
    </row>
    <row r="111" spans="1:19" ht="43" customHeight="1" x14ac:dyDescent="0.35">
      <c r="A111" s="833" t="s">
        <v>990</v>
      </c>
      <c r="B111" s="232" t="s">
        <v>1111</v>
      </c>
      <c r="C111" s="230" t="s">
        <v>73</v>
      </c>
      <c r="D111" s="230" t="s">
        <v>73</v>
      </c>
      <c r="E111" s="230">
        <v>12</v>
      </c>
      <c r="F111" s="174" t="s">
        <v>1353</v>
      </c>
      <c r="G111" s="233" t="s">
        <v>1355</v>
      </c>
      <c r="H111" s="233" t="s">
        <v>1359</v>
      </c>
      <c r="I111" s="878">
        <v>178500000</v>
      </c>
      <c r="J111" s="886"/>
      <c r="K111" s="847" t="s">
        <v>1365</v>
      </c>
      <c r="L111" s="851" t="s">
        <v>1366</v>
      </c>
      <c r="M111" s="856" t="s">
        <v>1410</v>
      </c>
      <c r="N111" s="856" t="s">
        <v>1368</v>
      </c>
      <c r="O111" s="856" t="s">
        <v>1413</v>
      </c>
      <c r="P111" s="856" t="s">
        <v>1370</v>
      </c>
      <c r="Q111" s="856" t="s">
        <v>1371</v>
      </c>
      <c r="R111" s="856" t="s">
        <v>1365</v>
      </c>
      <c r="S111" s="232" t="s">
        <v>1365</v>
      </c>
    </row>
    <row r="112" spans="1:19" ht="43" customHeight="1" x14ac:dyDescent="0.35">
      <c r="A112" s="833" t="s">
        <v>990</v>
      </c>
      <c r="B112" s="232" t="s">
        <v>1111</v>
      </c>
      <c r="C112" s="230" t="s">
        <v>73</v>
      </c>
      <c r="D112" s="230" t="s">
        <v>73</v>
      </c>
      <c r="E112" s="230">
        <v>12</v>
      </c>
      <c r="F112" s="174" t="s">
        <v>1353</v>
      </c>
      <c r="G112" s="233" t="s">
        <v>1355</v>
      </c>
      <c r="H112" s="233" t="s">
        <v>1359</v>
      </c>
      <c r="I112" s="878">
        <v>178500000</v>
      </c>
      <c r="J112" s="886"/>
      <c r="K112" s="847" t="s">
        <v>1365</v>
      </c>
      <c r="L112" s="851" t="s">
        <v>1366</v>
      </c>
      <c r="M112" s="856" t="s">
        <v>1410</v>
      </c>
      <c r="N112" s="856" t="s">
        <v>1368</v>
      </c>
      <c r="O112" s="856" t="s">
        <v>1413</v>
      </c>
      <c r="P112" s="856" t="s">
        <v>1370</v>
      </c>
      <c r="Q112" s="856" t="s">
        <v>1371</v>
      </c>
      <c r="R112" s="856" t="s">
        <v>1365</v>
      </c>
      <c r="S112" s="232" t="s">
        <v>1365</v>
      </c>
    </row>
    <row r="113" spans="1:19" ht="43" customHeight="1" x14ac:dyDescent="0.35">
      <c r="A113" s="833" t="s">
        <v>990</v>
      </c>
      <c r="B113" s="232" t="s">
        <v>1111</v>
      </c>
      <c r="C113" s="230" t="s">
        <v>74</v>
      </c>
      <c r="D113" s="230" t="s">
        <v>74</v>
      </c>
      <c r="E113" s="230">
        <v>12</v>
      </c>
      <c r="F113" s="174" t="s">
        <v>1353</v>
      </c>
      <c r="G113" s="233" t="s">
        <v>1355</v>
      </c>
      <c r="H113" s="233" t="s">
        <v>1359</v>
      </c>
      <c r="I113" s="878">
        <v>178500000</v>
      </c>
      <c r="J113" s="886"/>
      <c r="K113" s="847" t="s">
        <v>1365</v>
      </c>
      <c r="L113" s="851" t="s">
        <v>1366</v>
      </c>
      <c r="M113" s="856" t="s">
        <v>1410</v>
      </c>
      <c r="N113" s="856" t="s">
        <v>1368</v>
      </c>
      <c r="O113" s="856" t="s">
        <v>1413</v>
      </c>
      <c r="P113" s="856" t="s">
        <v>1370</v>
      </c>
      <c r="Q113" s="856" t="s">
        <v>1371</v>
      </c>
      <c r="R113" s="856" t="s">
        <v>1365</v>
      </c>
      <c r="S113" s="232" t="s">
        <v>1365</v>
      </c>
    </row>
    <row r="114" spans="1:19" ht="43" customHeight="1" x14ac:dyDescent="0.35">
      <c r="A114" s="833" t="s">
        <v>990</v>
      </c>
      <c r="B114" s="232" t="s">
        <v>1111</v>
      </c>
      <c r="C114" s="230" t="s">
        <v>74</v>
      </c>
      <c r="D114" s="230" t="s">
        <v>74</v>
      </c>
      <c r="E114" s="230">
        <v>12</v>
      </c>
      <c r="F114" s="174" t="s">
        <v>1353</v>
      </c>
      <c r="G114" s="233" t="s">
        <v>1355</v>
      </c>
      <c r="H114" s="233" t="s">
        <v>1359</v>
      </c>
      <c r="I114" s="878">
        <v>178500000</v>
      </c>
      <c r="J114" s="886"/>
      <c r="K114" s="847" t="s">
        <v>1365</v>
      </c>
      <c r="L114" s="851" t="s">
        <v>1366</v>
      </c>
      <c r="M114" s="856" t="s">
        <v>1410</v>
      </c>
      <c r="N114" s="856" t="s">
        <v>1368</v>
      </c>
      <c r="O114" s="856" t="s">
        <v>1413</v>
      </c>
      <c r="P114" s="856" t="s">
        <v>1370</v>
      </c>
      <c r="Q114" s="856" t="s">
        <v>1371</v>
      </c>
      <c r="R114" s="856" t="s">
        <v>1365</v>
      </c>
      <c r="S114" s="232" t="s">
        <v>1365</v>
      </c>
    </row>
    <row r="115" spans="1:19" ht="43" customHeight="1" x14ac:dyDescent="0.35">
      <c r="A115" s="833" t="s">
        <v>990</v>
      </c>
      <c r="B115" s="232" t="s">
        <v>1111</v>
      </c>
      <c r="C115" s="230" t="s">
        <v>75</v>
      </c>
      <c r="D115" s="230" t="s">
        <v>75</v>
      </c>
      <c r="E115" s="230">
        <v>12</v>
      </c>
      <c r="F115" s="174" t="s">
        <v>1353</v>
      </c>
      <c r="G115" s="233" t="s">
        <v>1355</v>
      </c>
      <c r="H115" s="233" t="s">
        <v>1359</v>
      </c>
      <c r="I115" s="878">
        <v>178500000</v>
      </c>
      <c r="J115" s="886"/>
      <c r="K115" s="847" t="s">
        <v>1365</v>
      </c>
      <c r="L115" s="851" t="s">
        <v>1366</v>
      </c>
      <c r="M115" s="856" t="s">
        <v>1410</v>
      </c>
      <c r="N115" s="856" t="s">
        <v>1368</v>
      </c>
      <c r="O115" s="856" t="s">
        <v>1413</v>
      </c>
      <c r="P115" s="856" t="s">
        <v>1370</v>
      </c>
      <c r="Q115" s="856" t="s">
        <v>1371</v>
      </c>
      <c r="R115" s="856" t="s">
        <v>1365</v>
      </c>
      <c r="S115" s="232" t="s">
        <v>1365</v>
      </c>
    </row>
    <row r="116" spans="1:19" ht="43" customHeight="1" x14ac:dyDescent="0.35">
      <c r="A116" s="833" t="s">
        <v>990</v>
      </c>
      <c r="B116" s="232" t="s">
        <v>1111</v>
      </c>
      <c r="C116" s="230" t="s">
        <v>76</v>
      </c>
      <c r="D116" s="230" t="s">
        <v>76</v>
      </c>
      <c r="E116" s="230">
        <v>12</v>
      </c>
      <c r="F116" s="174" t="s">
        <v>1353</v>
      </c>
      <c r="G116" s="233" t="s">
        <v>1355</v>
      </c>
      <c r="H116" s="233" t="s">
        <v>1359</v>
      </c>
      <c r="I116" s="878">
        <v>178500000</v>
      </c>
      <c r="J116" s="886"/>
      <c r="K116" s="847" t="s">
        <v>1365</v>
      </c>
      <c r="L116" s="851" t="s">
        <v>1366</v>
      </c>
      <c r="M116" s="856" t="s">
        <v>1410</v>
      </c>
      <c r="N116" s="856" t="s">
        <v>1368</v>
      </c>
      <c r="O116" s="856" t="s">
        <v>1413</v>
      </c>
      <c r="P116" s="856" t="s">
        <v>1370</v>
      </c>
      <c r="Q116" s="856" t="s">
        <v>1371</v>
      </c>
      <c r="R116" s="856" t="s">
        <v>1365</v>
      </c>
      <c r="S116" s="232" t="s">
        <v>1365</v>
      </c>
    </row>
    <row r="117" spans="1:19" ht="43" customHeight="1" x14ac:dyDescent="0.35">
      <c r="A117" s="833" t="s">
        <v>990</v>
      </c>
      <c r="B117" s="232" t="s">
        <v>1111</v>
      </c>
      <c r="C117" s="230" t="s">
        <v>77</v>
      </c>
      <c r="D117" s="230" t="s">
        <v>77</v>
      </c>
      <c r="E117" s="230">
        <v>12</v>
      </c>
      <c r="F117" s="174" t="s">
        <v>1353</v>
      </c>
      <c r="G117" s="233" t="s">
        <v>1355</v>
      </c>
      <c r="H117" s="233" t="s">
        <v>1359</v>
      </c>
      <c r="I117" s="878">
        <v>178500000</v>
      </c>
      <c r="J117" s="886"/>
      <c r="K117" s="847" t="s">
        <v>1365</v>
      </c>
      <c r="L117" s="851" t="s">
        <v>1366</v>
      </c>
      <c r="M117" s="856" t="s">
        <v>1410</v>
      </c>
      <c r="N117" s="856" t="s">
        <v>1368</v>
      </c>
      <c r="O117" s="856" t="s">
        <v>1413</v>
      </c>
      <c r="P117" s="856" t="s">
        <v>1370</v>
      </c>
      <c r="Q117" s="856" t="s">
        <v>1371</v>
      </c>
      <c r="R117" s="856" t="s">
        <v>1365</v>
      </c>
      <c r="S117" s="232" t="s">
        <v>1365</v>
      </c>
    </row>
    <row r="118" spans="1:19" ht="43" customHeight="1" x14ac:dyDescent="0.35">
      <c r="A118" s="833" t="s">
        <v>990</v>
      </c>
      <c r="B118" s="232" t="s">
        <v>1111</v>
      </c>
      <c r="C118" s="230" t="s">
        <v>78</v>
      </c>
      <c r="D118" s="230" t="s">
        <v>78</v>
      </c>
      <c r="E118" s="230">
        <v>12</v>
      </c>
      <c r="F118" s="174" t="s">
        <v>1353</v>
      </c>
      <c r="G118" s="233" t="s">
        <v>1355</v>
      </c>
      <c r="H118" s="233" t="s">
        <v>1359</v>
      </c>
      <c r="I118" s="878">
        <v>178500000</v>
      </c>
      <c r="J118" s="886"/>
      <c r="K118" s="847" t="s">
        <v>1365</v>
      </c>
      <c r="L118" s="851" t="s">
        <v>1366</v>
      </c>
      <c r="M118" s="856" t="s">
        <v>1410</v>
      </c>
      <c r="N118" s="856" t="s">
        <v>1368</v>
      </c>
      <c r="O118" s="856" t="s">
        <v>1413</v>
      </c>
      <c r="P118" s="856" t="s">
        <v>1370</v>
      </c>
      <c r="Q118" s="856" t="s">
        <v>1371</v>
      </c>
      <c r="R118" s="856" t="s">
        <v>1365</v>
      </c>
      <c r="S118" s="232" t="s">
        <v>1365</v>
      </c>
    </row>
    <row r="119" spans="1:19" ht="43" customHeight="1" x14ac:dyDescent="0.35">
      <c r="A119" s="230">
        <v>80101510</v>
      </c>
      <c r="B119" s="856" t="s">
        <v>1112</v>
      </c>
      <c r="C119" s="230" t="s">
        <v>69</v>
      </c>
      <c r="D119" s="230" t="s">
        <v>69</v>
      </c>
      <c r="E119" s="230">
        <v>12</v>
      </c>
      <c r="F119" s="174" t="s">
        <v>1353</v>
      </c>
      <c r="G119" s="233" t="s">
        <v>1355</v>
      </c>
      <c r="H119" s="233" t="s">
        <v>1359</v>
      </c>
      <c r="I119" s="878">
        <v>35700000</v>
      </c>
      <c r="J119" s="886">
        <v>0</v>
      </c>
      <c r="K119" s="847" t="s">
        <v>1365</v>
      </c>
      <c r="L119" s="851" t="s">
        <v>1366</v>
      </c>
      <c r="M119" s="856" t="s">
        <v>1414</v>
      </c>
      <c r="N119" s="856" t="s">
        <v>1368</v>
      </c>
      <c r="O119" s="856" t="s">
        <v>1415</v>
      </c>
      <c r="P119" s="856" t="s">
        <v>1370</v>
      </c>
      <c r="Q119" s="856" t="s">
        <v>1371</v>
      </c>
      <c r="R119" s="856" t="s">
        <v>1365</v>
      </c>
      <c r="S119" s="232" t="s">
        <v>1365</v>
      </c>
    </row>
    <row r="120" spans="1:19" ht="43" customHeight="1" x14ac:dyDescent="0.35">
      <c r="A120" s="230">
        <v>80101510</v>
      </c>
      <c r="B120" s="856" t="s">
        <v>1113</v>
      </c>
      <c r="C120" s="230" t="s">
        <v>69</v>
      </c>
      <c r="D120" s="230" t="s">
        <v>69</v>
      </c>
      <c r="E120" s="230">
        <v>12</v>
      </c>
      <c r="F120" s="174" t="s">
        <v>1353</v>
      </c>
      <c r="G120" s="233" t="s">
        <v>1355</v>
      </c>
      <c r="H120" s="233" t="s">
        <v>1359</v>
      </c>
      <c r="I120" s="878">
        <v>59500000</v>
      </c>
      <c r="J120" s="886"/>
      <c r="K120" s="847" t="s">
        <v>1365</v>
      </c>
      <c r="L120" s="851" t="s">
        <v>1366</v>
      </c>
      <c r="M120" s="856" t="s">
        <v>1414</v>
      </c>
      <c r="N120" s="856" t="s">
        <v>1368</v>
      </c>
      <c r="O120" s="856" t="s">
        <v>1415</v>
      </c>
      <c r="P120" s="856" t="s">
        <v>1370</v>
      </c>
      <c r="Q120" s="856" t="s">
        <v>1371</v>
      </c>
      <c r="R120" s="856" t="s">
        <v>1365</v>
      </c>
      <c r="S120" s="232" t="s">
        <v>1365</v>
      </c>
    </row>
    <row r="121" spans="1:19" ht="43" customHeight="1" x14ac:dyDescent="0.35">
      <c r="A121" s="230">
        <v>80101510</v>
      </c>
      <c r="B121" s="856" t="s">
        <v>1114</v>
      </c>
      <c r="C121" s="230" t="s">
        <v>69</v>
      </c>
      <c r="D121" s="230" t="s">
        <v>69</v>
      </c>
      <c r="E121" s="230">
        <v>12</v>
      </c>
      <c r="F121" s="174" t="s">
        <v>1353</v>
      </c>
      <c r="G121" s="233" t="s">
        <v>1355</v>
      </c>
      <c r="H121" s="233" t="s">
        <v>1359</v>
      </c>
      <c r="I121" s="878">
        <v>35700000</v>
      </c>
      <c r="J121" s="886"/>
      <c r="K121" s="847" t="s">
        <v>1365</v>
      </c>
      <c r="L121" s="851" t="s">
        <v>1366</v>
      </c>
      <c r="M121" s="856" t="s">
        <v>1414</v>
      </c>
      <c r="N121" s="856" t="s">
        <v>1368</v>
      </c>
      <c r="O121" s="856" t="s">
        <v>1415</v>
      </c>
      <c r="P121" s="856" t="s">
        <v>1370</v>
      </c>
      <c r="Q121" s="856" t="s">
        <v>1371</v>
      </c>
      <c r="R121" s="856" t="s">
        <v>1365</v>
      </c>
      <c r="S121" s="232" t="s">
        <v>1365</v>
      </c>
    </row>
    <row r="122" spans="1:19" ht="43" customHeight="1" x14ac:dyDescent="0.35">
      <c r="A122" s="230">
        <v>80101510</v>
      </c>
      <c r="B122" s="856" t="s">
        <v>1115</v>
      </c>
      <c r="C122" s="230" t="s">
        <v>72</v>
      </c>
      <c r="D122" s="230" t="s">
        <v>72</v>
      </c>
      <c r="E122" s="230">
        <v>8</v>
      </c>
      <c r="F122" s="174" t="s">
        <v>1353</v>
      </c>
      <c r="G122" s="233" t="s">
        <v>1355</v>
      </c>
      <c r="H122" s="233" t="s">
        <v>1359</v>
      </c>
      <c r="I122" s="878">
        <v>59500000</v>
      </c>
      <c r="J122" s="886"/>
      <c r="K122" s="847" t="s">
        <v>1365</v>
      </c>
      <c r="L122" s="851" t="s">
        <v>1366</v>
      </c>
      <c r="M122" s="856" t="s">
        <v>1414</v>
      </c>
      <c r="N122" s="856" t="s">
        <v>1368</v>
      </c>
      <c r="O122" s="856" t="s">
        <v>1415</v>
      </c>
      <c r="P122" s="856" t="s">
        <v>1370</v>
      </c>
      <c r="Q122" s="856" t="s">
        <v>1371</v>
      </c>
      <c r="R122" s="856" t="s">
        <v>1365</v>
      </c>
      <c r="S122" s="232" t="s">
        <v>1365</v>
      </c>
    </row>
    <row r="123" spans="1:19" ht="43" customHeight="1" x14ac:dyDescent="0.35">
      <c r="A123" s="230">
        <v>80101510</v>
      </c>
      <c r="B123" s="856" t="s">
        <v>1116</v>
      </c>
      <c r="C123" s="230" t="s">
        <v>69</v>
      </c>
      <c r="D123" s="230" t="s">
        <v>69</v>
      </c>
      <c r="E123" s="230">
        <v>12</v>
      </c>
      <c r="F123" s="174" t="s">
        <v>1353</v>
      </c>
      <c r="G123" s="233" t="s">
        <v>1355</v>
      </c>
      <c r="H123" s="233" t="s">
        <v>1359</v>
      </c>
      <c r="I123" s="878">
        <v>23800000</v>
      </c>
      <c r="J123" s="886"/>
      <c r="K123" s="847" t="s">
        <v>1365</v>
      </c>
      <c r="L123" s="851" t="s">
        <v>1366</v>
      </c>
      <c r="M123" s="856" t="s">
        <v>1414</v>
      </c>
      <c r="N123" s="856" t="s">
        <v>1368</v>
      </c>
      <c r="O123" s="856" t="s">
        <v>1415</v>
      </c>
      <c r="P123" s="856" t="s">
        <v>1370</v>
      </c>
      <c r="Q123" s="856" t="s">
        <v>1371</v>
      </c>
      <c r="R123" s="856" t="s">
        <v>1365</v>
      </c>
      <c r="S123" s="232" t="s">
        <v>1365</v>
      </c>
    </row>
    <row r="124" spans="1:19" ht="43" customHeight="1" x14ac:dyDescent="0.35">
      <c r="A124" s="230">
        <v>80101510</v>
      </c>
      <c r="B124" s="856" t="s">
        <v>1117</v>
      </c>
      <c r="C124" s="230" t="s">
        <v>69</v>
      </c>
      <c r="D124" s="230" t="s">
        <v>69</v>
      </c>
      <c r="E124" s="230">
        <v>12</v>
      </c>
      <c r="F124" s="174" t="s">
        <v>1353</v>
      </c>
      <c r="G124" s="233" t="s">
        <v>1355</v>
      </c>
      <c r="H124" s="233" t="s">
        <v>1359</v>
      </c>
      <c r="I124" s="878">
        <v>232050000</v>
      </c>
      <c r="J124" s="886"/>
      <c r="K124" s="847" t="s">
        <v>1365</v>
      </c>
      <c r="L124" s="851" t="s">
        <v>1366</v>
      </c>
      <c r="M124" s="856" t="s">
        <v>1414</v>
      </c>
      <c r="N124" s="856" t="s">
        <v>1368</v>
      </c>
      <c r="O124" s="856" t="s">
        <v>1415</v>
      </c>
      <c r="P124" s="856" t="s">
        <v>1370</v>
      </c>
      <c r="Q124" s="856" t="s">
        <v>1371</v>
      </c>
      <c r="R124" s="856" t="s">
        <v>1365</v>
      </c>
      <c r="S124" s="232" t="s">
        <v>1365</v>
      </c>
    </row>
    <row r="125" spans="1:19" ht="43" customHeight="1" x14ac:dyDescent="0.35">
      <c r="A125" s="230">
        <v>80101510</v>
      </c>
      <c r="B125" s="856" t="s">
        <v>1117</v>
      </c>
      <c r="C125" s="230" t="s">
        <v>69</v>
      </c>
      <c r="D125" s="230" t="s">
        <v>69</v>
      </c>
      <c r="E125" s="230">
        <v>12</v>
      </c>
      <c r="F125" s="174" t="s">
        <v>1353</v>
      </c>
      <c r="G125" s="233" t="s">
        <v>1355</v>
      </c>
      <c r="H125" s="233" t="s">
        <v>1359</v>
      </c>
      <c r="I125" s="878">
        <v>261800000</v>
      </c>
      <c r="J125" s="886"/>
      <c r="K125" s="847" t="s">
        <v>1365</v>
      </c>
      <c r="L125" s="851" t="s">
        <v>1366</v>
      </c>
      <c r="M125" s="856" t="s">
        <v>1414</v>
      </c>
      <c r="N125" s="856" t="s">
        <v>1368</v>
      </c>
      <c r="O125" s="856" t="s">
        <v>1415</v>
      </c>
      <c r="P125" s="856" t="s">
        <v>1370</v>
      </c>
      <c r="Q125" s="856" t="s">
        <v>1371</v>
      </c>
      <c r="R125" s="856" t="s">
        <v>1365</v>
      </c>
      <c r="S125" s="232" t="s">
        <v>1365</v>
      </c>
    </row>
    <row r="126" spans="1:19" ht="43" customHeight="1" x14ac:dyDescent="0.35">
      <c r="A126" s="230">
        <v>80101510</v>
      </c>
      <c r="B126" s="856" t="s">
        <v>1117</v>
      </c>
      <c r="C126" s="230" t="s">
        <v>69</v>
      </c>
      <c r="D126" s="230" t="s">
        <v>69</v>
      </c>
      <c r="E126" s="230">
        <v>12</v>
      </c>
      <c r="F126" s="174" t="s">
        <v>1353</v>
      </c>
      <c r="G126" s="233" t="s">
        <v>1355</v>
      </c>
      <c r="H126" s="233" t="s">
        <v>1359</v>
      </c>
      <c r="I126" s="878">
        <v>314160000</v>
      </c>
      <c r="J126" s="886"/>
      <c r="K126" s="847" t="s">
        <v>1365</v>
      </c>
      <c r="L126" s="851" t="s">
        <v>1366</v>
      </c>
      <c r="M126" s="856" t="s">
        <v>1414</v>
      </c>
      <c r="N126" s="856" t="s">
        <v>1368</v>
      </c>
      <c r="O126" s="856" t="s">
        <v>1415</v>
      </c>
      <c r="P126" s="856" t="s">
        <v>1370</v>
      </c>
      <c r="Q126" s="856" t="s">
        <v>1371</v>
      </c>
      <c r="R126" s="856" t="s">
        <v>1365</v>
      </c>
      <c r="S126" s="232" t="s">
        <v>1365</v>
      </c>
    </row>
    <row r="127" spans="1:19" ht="43" customHeight="1" x14ac:dyDescent="0.35">
      <c r="A127" s="230">
        <v>80101510</v>
      </c>
      <c r="B127" s="856" t="s">
        <v>1117</v>
      </c>
      <c r="C127" s="230" t="s">
        <v>69</v>
      </c>
      <c r="D127" s="230" t="s">
        <v>69</v>
      </c>
      <c r="E127" s="230">
        <v>12</v>
      </c>
      <c r="F127" s="174" t="s">
        <v>1353</v>
      </c>
      <c r="G127" s="233" t="s">
        <v>1355</v>
      </c>
      <c r="H127" s="233" t="s">
        <v>1359</v>
      </c>
      <c r="I127" s="878">
        <v>404600000</v>
      </c>
      <c r="J127" s="886"/>
      <c r="K127" s="847" t="s">
        <v>1365</v>
      </c>
      <c r="L127" s="851" t="s">
        <v>1366</v>
      </c>
      <c r="M127" s="856" t="s">
        <v>1414</v>
      </c>
      <c r="N127" s="856" t="s">
        <v>1368</v>
      </c>
      <c r="O127" s="856" t="s">
        <v>1415</v>
      </c>
      <c r="P127" s="856" t="s">
        <v>1370</v>
      </c>
      <c r="Q127" s="856" t="s">
        <v>1371</v>
      </c>
      <c r="R127" s="856" t="s">
        <v>1365</v>
      </c>
      <c r="S127" s="232" t="s">
        <v>1365</v>
      </c>
    </row>
    <row r="128" spans="1:19" ht="43" customHeight="1" x14ac:dyDescent="0.35">
      <c r="A128" s="230">
        <v>80101510</v>
      </c>
      <c r="B128" s="856" t="s">
        <v>1117</v>
      </c>
      <c r="C128" s="230" t="s">
        <v>69</v>
      </c>
      <c r="D128" s="230" t="s">
        <v>69</v>
      </c>
      <c r="E128" s="230">
        <v>12</v>
      </c>
      <c r="F128" s="174" t="s">
        <v>1353</v>
      </c>
      <c r="G128" s="233" t="s">
        <v>1355</v>
      </c>
      <c r="H128" s="233" t="s">
        <v>1359</v>
      </c>
      <c r="I128" s="878">
        <v>268940000</v>
      </c>
      <c r="J128" s="886"/>
      <c r="K128" s="847" t="s">
        <v>1365</v>
      </c>
      <c r="L128" s="851" t="s">
        <v>1366</v>
      </c>
      <c r="M128" s="856" t="s">
        <v>1414</v>
      </c>
      <c r="N128" s="856" t="s">
        <v>1368</v>
      </c>
      <c r="O128" s="856" t="s">
        <v>1415</v>
      </c>
      <c r="P128" s="856" t="s">
        <v>1370</v>
      </c>
      <c r="Q128" s="856" t="s">
        <v>1371</v>
      </c>
      <c r="R128" s="856" t="s">
        <v>1365</v>
      </c>
      <c r="S128" s="232" t="s">
        <v>1365</v>
      </c>
    </row>
    <row r="129" spans="1:19" ht="43" customHeight="1" x14ac:dyDescent="0.35">
      <c r="A129" s="834">
        <v>78141602</v>
      </c>
      <c r="B129" s="856" t="s">
        <v>1118</v>
      </c>
      <c r="C129" s="230" t="s">
        <v>69</v>
      </c>
      <c r="D129" s="230" t="s">
        <v>69</v>
      </c>
      <c r="E129" s="230">
        <v>12</v>
      </c>
      <c r="F129" s="174" t="s">
        <v>1353</v>
      </c>
      <c r="G129" s="233" t="s">
        <v>1355</v>
      </c>
      <c r="H129" s="233" t="s">
        <v>1359</v>
      </c>
      <c r="I129" s="878">
        <v>35700000</v>
      </c>
      <c r="J129" s="886"/>
      <c r="K129" s="847" t="s">
        <v>1365</v>
      </c>
      <c r="L129" s="851" t="s">
        <v>1366</v>
      </c>
      <c r="M129" s="856" t="s">
        <v>1414</v>
      </c>
      <c r="N129" s="856" t="s">
        <v>1368</v>
      </c>
      <c r="O129" s="856" t="s">
        <v>1416</v>
      </c>
      <c r="P129" s="856" t="s">
        <v>1370</v>
      </c>
      <c r="Q129" s="856" t="s">
        <v>1371</v>
      </c>
      <c r="R129" s="856" t="s">
        <v>1365</v>
      </c>
      <c r="S129" s="232" t="s">
        <v>1365</v>
      </c>
    </row>
    <row r="130" spans="1:19" ht="43" customHeight="1" x14ac:dyDescent="0.35">
      <c r="A130" s="834">
        <v>80111610</v>
      </c>
      <c r="B130" s="856" t="s">
        <v>1119</v>
      </c>
      <c r="C130" s="230" t="s">
        <v>69</v>
      </c>
      <c r="D130" s="230" t="s">
        <v>69</v>
      </c>
      <c r="E130" s="230">
        <v>12</v>
      </c>
      <c r="F130" s="174" t="s">
        <v>1353</v>
      </c>
      <c r="G130" s="233" t="s">
        <v>1355</v>
      </c>
      <c r="H130" s="233" t="s">
        <v>1359</v>
      </c>
      <c r="I130" s="878">
        <v>29750000</v>
      </c>
      <c r="J130" s="886"/>
      <c r="K130" s="847" t="s">
        <v>1365</v>
      </c>
      <c r="L130" s="851" t="s">
        <v>1366</v>
      </c>
      <c r="M130" s="856" t="s">
        <v>1414</v>
      </c>
      <c r="N130" s="856" t="s">
        <v>1368</v>
      </c>
      <c r="O130" s="856" t="s">
        <v>1416</v>
      </c>
      <c r="P130" s="856" t="s">
        <v>1370</v>
      </c>
      <c r="Q130" s="856" t="s">
        <v>1371</v>
      </c>
      <c r="R130" s="856" t="s">
        <v>1365</v>
      </c>
      <c r="S130" s="232" t="s">
        <v>1365</v>
      </c>
    </row>
    <row r="131" spans="1:19" ht="43" customHeight="1" x14ac:dyDescent="0.35">
      <c r="A131" s="230">
        <v>84130000</v>
      </c>
      <c r="B131" s="856" t="s">
        <v>1120</v>
      </c>
      <c r="C131" s="230" t="s">
        <v>69</v>
      </c>
      <c r="D131" s="230" t="s">
        <v>70</v>
      </c>
      <c r="E131" s="230">
        <v>24</v>
      </c>
      <c r="F131" s="174" t="s">
        <v>1353</v>
      </c>
      <c r="G131" s="233" t="s">
        <v>1356</v>
      </c>
      <c r="H131" s="233" t="s">
        <v>1359</v>
      </c>
      <c r="I131" s="878">
        <v>24577167349.139999</v>
      </c>
      <c r="J131" s="893">
        <v>8590911978</v>
      </c>
      <c r="K131" s="847" t="s">
        <v>1373</v>
      </c>
      <c r="L131" s="851" t="s">
        <v>1417</v>
      </c>
      <c r="M131" s="230" t="s">
        <v>1414</v>
      </c>
      <c r="N131" s="856" t="s">
        <v>1368</v>
      </c>
      <c r="O131" s="856" t="s">
        <v>1418</v>
      </c>
      <c r="P131" s="856" t="s">
        <v>1370</v>
      </c>
      <c r="Q131" s="856" t="s">
        <v>1371</v>
      </c>
      <c r="R131" s="856" t="s">
        <v>1365</v>
      </c>
      <c r="S131" s="232" t="s">
        <v>1365</v>
      </c>
    </row>
    <row r="132" spans="1:19" ht="43" customHeight="1" x14ac:dyDescent="0.35">
      <c r="A132" s="230" t="s">
        <v>977</v>
      </c>
      <c r="B132" s="856" t="s">
        <v>1121</v>
      </c>
      <c r="C132" s="230" t="s">
        <v>75</v>
      </c>
      <c r="D132" s="230" t="s">
        <v>75</v>
      </c>
      <c r="E132" s="230">
        <v>12</v>
      </c>
      <c r="F132" s="174" t="s">
        <v>1353</v>
      </c>
      <c r="G132" s="233" t="s">
        <v>1355</v>
      </c>
      <c r="H132" s="233" t="s">
        <v>1359</v>
      </c>
      <c r="I132" s="878">
        <v>157003519.05105001</v>
      </c>
      <c r="J132" s="893">
        <v>157003519.05105001</v>
      </c>
      <c r="K132" s="847" t="s">
        <v>1373</v>
      </c>
      <c r="L132" s="851" t="s">
        <v>1401</v>
      </c>
      <c r="M132" s="856" t="s">
        <v>1414</v>
      </c>
      <c r="N132" s="856" t="s">
        <v>1368</v>
      </c>
      <c r="O132" s="856" t="s">
        <v>1419</v>
      </c>
      <c r="P132" s="856" t="s">
        <v>1370</v>
      </c>
      <c r="Q132" s="856" t="s">
        <v>1371</v>
      </c>
      <c r="R132" s="856" t="s">
        <v>1365</v>
      </c>
      <c r="S132" s="232" t="s">
        <v>1365</v>
      </c>
    </row>
    <row r="133" spans="1:19" ht="43" customHeight="1" x14ac:dyDescent="0.35">
      <c r="A133" s="230" t="s">
        <v>977</v>
      </c>
      <c r="B133" s="856" t="s">
        <v>1122</v>
      </c>
      <c r="C133" s="230" t="s">
        <v>75</v>
      </c>
      <c r="D133" s="230" t="s">
        <v>75</v>
      </c>
      <c r="E133" s="230">
        <v>12</v>
      </c>
      <c r="F133" s="174" t="s">
        <v>1353</v>
      </c>
      <c r="G133" s="233" t="s">
        <v>1355</v>
      </c>
      <c r="H133" s="233" t="s">
        <v>1359</v>
      </c>
      <c r="I133" s="878">
        <v>600000000</v>
      </c>
      <c r="J133" s="893">
        <v>600000000</v>
      </c>
      <c r="K133" s="847" t="s">
        <v>1373</v>
      </c>
      <c r="L133" s="851" t="s">
        <v>1374</v>
      </c>
      <c r="M133" s="856" t="s">
        <v>1414</v>
      </c>
      <c r="N133" s="856" t="s">
        <v>1368</v>
      </c>
      <c r="O133" s="856" t="s">
        <v>1420</v>
      </c>
      <c r="P133" s="856" t="s">
        <v>1370</v>
      </c>
      <c r="Q133" s="856" t="s">
        <v>1371</v>
      </c>
      <c r="R133" s="856" t="s">
        <v>1365</v>
      </c>
      <c r="S133" s="232" t="s">
        <v>1365</v>
      </c>
    </row>
    <row r="134" spans="1:19" ht="43" customHeight="1" x14ac:dyDescent="0.35">
      <c r="A134" s="230" t="s">
        <v>991</v>
      </c>
      <c r="B134" s="856" t="s">
        <v>1123</v>
      </c>
      <c r="C134" s="230" t="s">
        <v>71</v>
      </c>
      <c r="D134" s="230" t="s">
        <v>71</v>
      </c>
      <c r="E134" s="230">
        <v>12</v>
      </c>
      <c r="F134" s="174" t="s">
        <v>1353</v>
      </c>
      <c r="G134" s="233" t="s">
        <v>1355</v>
      </c>
      <c r="H134" s="233" t="s">
        <v>1359</v>
      </c>
      <c r="I134" s="878">
        <v>349900000</v>
      </c>
      <c r="J134" s="893">
        <v>349900000</v>
      </c>
      <c r="K134" s="847" t="s">
        <v>1365</v>
      </c>
      <c r="L134" s="851" t="s">
        <v>1366</v>
      </c>
      <c r="M134" s="856" t="s">
        <v>1414</v>
      </c>
      <c r="N134" s="856" t="s">
        <v>1368</v>
      </c>
      <c r="O134" s="856" t="s">
        <v>1421</v>
      </c>
      <c r="P134" s="856" t="s">
        <v>1370</v>
      </c>
      <c r="Q134" s="856" t="s">
        <v>1371</v>
      </c>
      <c r="R134" s="856" t="s">
        <v>1365</v>
      </c>
      <c r="S134" s="232" t="s">
        <v>1365</v>
      </c>
    </row>
    <row r="135" spans="1:19" ht="43" customHeight="1" x14ac:dyDescent="0.35">
      <c r="A135" s="230" t="s">
        <v>992</v>
      </c>
      <c r="B135" s="856" t="s">
        <v>1124</v>
      </c>
      <c r="C135" s="230" t="s">
        <v>74</v>
      </c>
      <c r="D135" s="230" t="s">
        <v>74</v>
      </c>
      <c r="E135" s="230">
        <v>6</v>
      </c>
      <c r="F135" s="174" t="s">
        <v>1353</v>
      </c>
      <c r="G135" s="233" t="s">
        <v>1355</v>
      </c>
      <c r="H135" s="233" t="s">
        <v>1359</v>
      </c>
      <c r="I135" s="878">
        <v>35896294.07</v>
      </c>
      <c r="J135" s="893">
        <v>35896294</v>
      </c>
      <c r="K135" s="847" t="s">
        <v>1373</v>
      </c>
      <c r="L135" s="851" t="s">
        <v>1374</v>
      </c>
      <c r="M135" s="856" t="s">
        <v>1414</v>
      </c>
      <c r="N135" s="856" t="s">
        <v>1368</v>
      </c>
      <c r="O135" s="856" t="s">
        <v>1421</v>
      </c>
      <c r="P135" s="856" t="s">
        <v>1370</v>
      </c>
      <c r="Q135" s="856" t="s">
        <v>1371</v>
      </c>
      <c r="R135" s="856" t="s">
        <v>1365</v>
      </c>
      <c r="S135" s="232" t="s">
        <v>1365</v>
      </c>
    </row>
    <row r="136" spans="1:19" ht="43" customHeight="1" x14ac:dyDescent="0.35">
      <c r="A136" s="230" t="s">
        <v>977</v>
      </c>
      <c r="B136" s="856" t="s">
        <v>1122</v>
      </c>
      <c r="C136" s="230" t="s">
        <v>71</v>
      </c>
      <c r="D136" s="230" t="s">
        <v>71</v>
      </c>
      <c r="E136" s="230">
        <v>12</v>
      </c>
      <c r="F136" s="174" t="s">
        <v>1353</v>
      </c>
      <c r="G136" s="233" t="s">
        <v>1355</v>
      </c>
      <c r="H136" s="233" t="s">
        <v>1359</v>
      </c>
      <c r="I136" s="878">
        <v>48502698</v>
      </c>
      <c r="J136" s="893">
        <v>48502698</v>
      </c>
      <c r="K136" s="847" t="s">
        <v>1373</v>
      </c>
      <c r="L136" s="851" t="s">
        <v>1374</v>
      </c>
      <c r="M136" s="856" t="s">
        <v>1414</v>
      </c>
      <c r="N136" s="856" t="s">
        <v>1368</v>
      </c>
      <c r="O136" s="856" t="s">
        <v>1421</v>
      </c>
      <c r="P136" s="856" t="s">
        <v>1370</v>
      </c>
      <c r="Q136" s="856" t="s">
        <v>1371</v>
      </c>
      <c r="R136" s="856" t="s">
        <v>1365</v>
      </c>
      <c r="S136" s="232" t="s">
        <v>1365</v>
      </c>
    </row>
    <row r="137" spans="1:19" ht="43" customHeight="1" x14ac:dyDescent="0.35">
      <c r="A137" s="230">
        <v>84131609</v>
      </c>
      <c r="B137" s="856" t="s">
        <v>1125</v>
      </c>
      <c r="C137" s="230" t="s">
        <v>69</v>
      </c>
      <c r="D137" s="230" t="s">
        <v>70</v>
      </c>
      <c r="E137" s="230">
        <v>24</v>
      </c>
      <c r="F137" s="174" t="s">
        <v>1353</v>
      </c>
      <c r="G137" s="233" t="s">
        <v>1356</v>
      </c>
      <c r="H137" s="233" t="s">
        <v>1359</v>
      </c>
      <c r="I137" s="878">
        <v>10570175</v>
      </c>
      <c r="J137" s="893">
        <v>3927000</v>
      </c>
      <c r="K137" s="847" t="s">
        <v>1373</v>
      </c>
      <c r="L137" s="851" t="s">
        <v>1417</v>
      </c>
      <c r="M137" s="856" t="s">
        <v>1414</v>
      </c>
      <c r="N137" s="856" t="s">
        <v>1368</v>
      </c>
      <c r="O137" s="856" t="s">
        <v>1422</v>
      </c>
      <c r="P137" s="856" t="s">
        <v>1370</v>
      </c>
      <c r="Q137" s="856" t="s">
        <v>1371</v>
      </c>
      <c r="R137" s="856" t="s">
        <v>1365</v>
      </c>
      <c r="S137" s="232" t="s">
        <v>1365</v>
      </c>
    </row>
    <row r="138" spans="1:19" ht="43" customHeight="1" x14ac:dyDescent="0.35">
      <c r="A138" s="835">
        <v>84131503</v>
      </c>
      <c r="B138" s="856" t="s">
        <v>1126</v>
      </c>
      <c r="C138" s="230" t="s">
        <v>79</v>
      </c>
      <c r="D138" s="230" t="s">
        <v>79</v>
      </c>
      <c r="E138" s="230">
        <v>12</v>
      </c>
      <c r="F138" s="174" t="s">
        <v>1353</v>
      </c>
      <c r="G138" s="233" t="s">
        <v>1355</v>
      </c>
      <c r="H138" s="233" t="s">
        <v>1359</v>
      </c>
      <c r="I138" s="878">
        <v>63661710.840000004</v>
      </c>
      <c r="J138" s="893">
        <v>63661711</v>
      </c>
      <c r="K138" s="847" t="s">
        <v>1373</v>
      </c>
      <c r="L138" s="851" t="s">
        <v>1374</v>
      </c>
      <c r="M138" s="852" t="s">
        <v>1414</v>
      </c>
      <c r="N138" s="856" t="s">
        <v>1368</v>
      </c>
      <c r="O138" s="904" t="s">
        <v>1423</v>
      </c>
      <c r="P138" s="856" t="s">
        <v>1370</v>
      </c>
      <c r="Q138" s="856" t="s">
        <v>1371</v>
      </c>
      <c r="R138" s="856" t="s">
        <v>1365</v>
      </c>
      <c r="S138" s="232" t="s">
        <v>1365</v>
      </c>
    </row>
    <row r="139" spans="1:19" ht="43" customHeight="1" x14ac:dyDescent="0.35">
      <c r="A139" s="835">
        <v>84131503</v>
      </c>
      <c r="B139" s="856" t="s">
        <v>1127</v>
      </c>
      <c r="C139" s="230" t="s">
        <v>80</v>
      </c>
      <c r="D139" s="230" t="s">
        <v>69</v>
      </c>
      <c r="E139" s="230">
        <v>24</v>
      </c>
      <c r="F139" s="174" t="s">
        <v>1353</v>
      </c>
      <c r="G139" s="230" t="s">
        <v>1356</v>
      </c>
      <c r="H139" s="233" t="s">
        <v>1359</v>
      </c>
      <c r="I139" s="878">
        <v>49063100424.449997</v>
      </c>
      <c r="J139" s="893">
        <v>17149933152</v>
      </c>
      <c r="K139" s="847" t="s">
        <v>1373</v>
      </c>
      <c r="L139" s="851" t="s">
        <v>1417</v>
      </c>
      <c r="M139" s="852" t="s">
        <v>1414</v>
      </c>
      <c r="N139" s="856" t="s">
        <v>1368</v>
      </c>
      <c r="O139" s="904" t="s">
        <v>1423</v>
      </c>
      <c r="P139" s="856" t="s">
        <v>1370</v>
      </c>
      <c r="Q139" s="856" t="s">
        <v>1371</v>
      </c>
      <c r="R139" s="856" t="s">
        <v>1365</v>
      </c>
      <c r="S139" s="232" t="s">
        <v>1365</v>
      </c>
    </row>
    <row r="140" spans="1:19" ht="43" customHeight="1" x14ac:dyDescent="0.35">
      <c r="A140" s="230">
        <v>80101500</v>
      </c>
      <c r="B140" s="856" t="s">
        <v>1128</v>
      </c>
      <c r="C140" s="230" t="s">
        <v>70</v>
      </c>
      <c r="D140" s="230" t="s">
        <v>69</v>
      </c>
      <c r="E140" s="230">
        <v>12</v>
      </c>
      <c r="F140" s="174" t="s">
        <v>1353</v>
      </c>
      <c r="G140" s="233" t="s">
        <v>1355</v>
      </c>
      <c r="H140" s="233" t="s">
        <v>1359</v>
      </c>
      <c r="I140" s="878">
        <v>2500000</v>
      </c>
      <c r="J140" s="893">
        <v>2500000</v>
      </c>
      <c r="K140" s="847" t="s">
        <v>1365</v>
      </c>
      <c r="L140" s="851" t="s">
        <v>1366</v>
      </c>
      <c r="M140" s="856" t="s">
        <v>1414</v>
      </c>
      <c r="N140" s="856" t="s">
        <v>1368</v>
      </c>
      <c r="O140" s="856" t="s">
        <v>1424</v>
      </c>
      <c r="P140" s="856" t="s">
        <v>1370</v>
      </c>
      <c r="Q140" s="856" t="s">
        <v>1371</v>
      </c>
      <c r="R140" s="856" t="s">
        <v>1365</v>
      </c>
      <c r="S140" s="232" t="s">
        <v>1365</v>
      </c>
    </row>
    <row r="141" spans="1:19" ht="43" customHeight="1" x14ac:dyDescent="0.35">
      <c r="A141" s="230" t="s">
        <v>993</v>
      </c>
      <c r="B141" s="856" t="s">
        <v>1129</v>
      </c>
      <c r="C141" s="230" t="s">
        <v>78</v>
      </c>
      <c r="D141" s="230" t="s">
        <v>79</v>
      </c>
      <c r="E141" s="230">
        <v>12</v>
      </c>
      <c r="F141" s="174" t="s">
        <v>1353</v>
      </c>
      <c r="G141" s="233" t="s">
        <v>1355</v>
      </c>
      <c r="H141" s="233" t="s">
        <v>1359</v>
      </c>
      <c r="I141" s="878">
        <v>88060000</v>
      </c>
      <c r="J141" s="893">
        <v>88060000</v>
      </c>
      <c r="K141" s="847" t="s">
        <v>1365</v>
      </c>
      <c r="L141" s="851" t="s">
        <v>1366</v>
      </c>
      <c r="M141" s="856" t="s">
        <v>1414</v>
      </c>
      <c r="N141" s="856" t="s">
        <v>1368</v>
      </c>
      <c r="O141" s="856" t="s">
        <v>1425</v>
      </c>
      <c r="P141" s="856" t="s">
        <v>1370</v>
      </c>
      <c r="Q141" s="856" t="s">
        <v>1371</v>
      </c>
      <c r="R141" s="856" t="s">
        <v>1365</v>
      </c>
      <c r="S141" s="232" t="s">
        <v>1365</v>
      </c>
    </row>
    <row r="142" spans="1:19" ht="43" customHeight="1" x14ac:dyDescent="0.35">
      <c r="A142" s="234">
        <v>80101706</v>
      </c>
      <c r="B142" s="851" t="s">
        <v>1130</v>
      </c>
      <c r="C142" s="233" t="s">
        <v>80</v>
      </c>
      <c r="D142" s="233" t="s">
        <v>69</v>
      </c>
      <c r="E142" s="234">
        <v>12</v>
      </c>
      <c r="F142" s="174" t="s">
        <v>1353</v>
      </c>
      <c r="G142" s="233" t="s">
        <v>1355</v>
      </c>
      <c r="H142" s="233" t="s">
        <v>1359</v>
      </c>
      <c r="I142" s="881">
        <v>67360800</v>
      </c>
      <c r="J142" s="883">
        <v>0</v>
      </c>
      <c r="K142" s="851" t="s">
        <v>1365</v>
      </c>
      <c r="L142" s="851" t="s">
        <v>1366</v>
      </c>
      <c r="M142" s="234" t="s">
        <v>1426</v>
      </c>
      <c r="N142" s="856" t="s">
        <v>1368</v>
      </c>
      <c r="O142" s="906" t="s">
        <v>1427</v>
      </c>
      <c r="P142" s="856" t="s">
        <v>1370</v>
      </c>
      <c r="Q142" s="856" t="s">
        <v>1371</v>
      </c>
      <c r="R142" s="856" t="s">
        <v>1365</v>
      </c>
      <c r="S142" s="232" t="s">
        <v>1365</v>
      </c>
    </row>
    <row r="143" spans="1:19" ht="43" customHeight="1" x14ac:dyDescent="0.35">
      <c r="A143" s="234">
        <v>84111802</v>
      </c>
      <c r="B143" s="857" t="s">
        <v>1131</v>
      </c>
      <c r="C143" s="234" t="s">
        <v>69</v>
      </c>
      <c r="D143" s="234" t="s">
        <v>70</v>
      </c>
      <c r="E143" s="234">
        <v>12</v>
      </c>
      <c r="F143" s="174" t="s">
        <v>1353</v>
      </c>
      <c r="G143" s="874" t="s">
        <v>1355</v>
      </c>
      <c r="H143" s="233" t="s">
        <v>1359</v>
      </c>
      <c r="I143" s="881">
        <v>1232671141</v>
      </c>
      <c r="J143" s="883">
        <v>502576664</v>
      </c>
      <c r="K143" s="851" t="s">
        <v>1373</v>
      </c>
      <c r="L143" s="851" t="s">
        <v>1374</v>
      </c>
      <c r="M143" s="234" t="s">
        <v>1426</v>
      </c>
      <c r="N143" s="856" t="s">
        <v>1368</v>
      </c>
      <c r="O143" s="906" t="s">
        <v>1428</v>
      </c>
      <c r="P143" s="856" t="s">
        <v>1370</v>
      </c>
      <c r="Q143" s="856" t="s">
        <v>1371</v>
      </c>
      <c r="R143" s="856" t="s">
        <v>1365</v>
      </c>
      <c r="S143" s="232" t="s">
        <v>1365</v>
      </c>
    </row>
    <row r="144" spans="1:19" ht="43" customHeight="1" x14ac:dyDescent="0.35">
      <c r="A144" s="233">
        <v>80110000</v>
      </c>
      <c r="B144" s="857" t="s">
        <v>1132</v>
      </c>
      <c r="C144" s="234" t="s">
        <v>78</v>
      </c>
      <c r="D144" s="234" t="s">
        <v>79</v>
      </c>
      <c r="E144" s="233">
        <v>720</v>
      </c>
      <c r="F144" s="174" t="s">
        <v>1353</v>
      </c>
      <c r="G144" s="233" t="s">
        <v>1356</v>
      </c>
      <c r="H144" s="233" t="s">
        <v>1359</v>
      </c>
      <c r="I144" s="882">
        <v>1719518606.0910723</v>
      </c>
      <c r="J144" s="883">
        <v>0</v>
      </c>
      <c r="K144" s="851" t="s">
        <v>1373</v>
      </c>
      <c r="L144" s="851" t="s">
        <v>1374</v>
      </c>
      <c r="M144" s="234" t="s">
        <v>1426</v>
      </c>
      <c r="N144" s="856" t="s">
        <v>1368</v>
      </c>
      <c r="O144" s="906" t="s">
        <v>1429</v>
      </c>
      <c r="P144" s="856" t="s">
        <v>1370</v>
      </c>
      <c r="Q144" s="856" t="s">
        <v>1371</v>
      </c>
      <c r="R144" s="856" t="s">
        <v>1365</v>
      </c>
      <c r="S144" s="232" t="s">
        <v>1365</v>
      </c>
    </row>
    <row r="145" spans="1:19" ht="43" customHeight="1" x14ac:dyDescent="0.35">
      <c r="A145" s="233">
        <v>80110000</v>
      </c>
      <c r="B145" s="857" t="s">
        <v>1133</v>
      </c>
      <c r="C145" s="234" t="s">
        <v>78</v>
      </c>
      <c r="D145" s="234" t="s">
        <v>79</v>
      </c>
      <c r="E145" s="233">
        <v>720</v>
      </c>
      <c r="F145" s="174" t="s">
        <v>1353</v>
      </c>
      <c r="G145" s="233" t="s">
        <v>1356</v>
      </c>
      <c r="H145" s="233" t="s">
        <v>1359</v>
      </c>
      <c r="I145" s="882">
        <v>1546264044.9493389</v>
      </c>
      <c r="J145" s="883">
        <v>0</v>
      </c>
      <c r="K145" s="851" t="s">
        <v>1373</v>
      </c>
      <c r="L145" s="851" t="s">
        <v>1374</v>
      </c>
      <c r="M145" s="234" t="s">
        <v>1426</v>
      </c>
      <c r="N145" s="856" t="s">
        <v>1368</v>
      </c>
      <c r="O145" s="906" t="s">
        <v>1429</v>
      </c>
      <c r="P145" s="856" t="s">
        <v>1370</v>
      </c>
      <c r="Q145" s="856" t="s">
        <v>1371</v>
      </c>
      <c r="R145" s="856" t="s">
        <v>1365</v>
      </c>
      <c r="S145" s="232" t="s">
        <v>1365</v>
      </c>
    </row>
    <row r="146" spans="1:19" ht="43" customHeight="1" x14ac:dyDescent="0.35">
      <c r="A146" s="233">
        <v>80110000</v>
      </c>
      <c r="B146" s="857" t="s">
        <v>1134</v>
      </c>
      <c r="C146" s="234" t="s">
        <v>78</v>
      </c>
      <c r="D146" s="234" t="s">
        <v>79</v>
      </c>
      <c r="E146" s="233">
        <v>720</v>
      </c>
      <c r="F146" s="174" t="s">
        <v>1353</v>
      </c>
      <c r="G146" s="233" t="s">
        <v>1356</v>
      </c>
      <c r="H146" s="233" t="s">
        <v>1359</v>
      </c>
      <c r="I146" s="882">
        <v>142600747.21199998</v>
      </c>
      <c r="J146" s="883">
        <v>0</v>
      </c>
      <c r="K146" s="851" t="s">
        <v>1373</v>
      </c>
      <c r="L146" s="851" t="s">
        <v>1374</v>
      </c>
      <c r="M146" s="234" t="s">
        <v>1426</v>
      </c>
      <c r="N146" s="856" t="s">
        <v>1368</v>
      </c>
      <c r="O146" s="906" t="s">
        <v>1429</v>
      </c>
      <c r="P146" s="856" t="s">
        <v>1370</v>
      </c>
      <c r="Q146" s="856" t="s">
        <v>1371</v>
      </c>
      <c r="R146" s="856" t="s">
        <v>1365</v>
      </c>
      <c r="S146" s="232" t="s">
        <v>1365</v>
      </c>
    </row>
    <row r="147" spans="1:19" ht="43" customHeight="1" x14ac:dyDescent="0.35">
      <c r="A147" s="233">
        <v>80111600</v>
      </c>
      <c r="B147" s="849" t="s">
        <v>1135</v>
      </c>
      <c r="C147" s="234" t="s">
        <v>71</v>
      </c>
      <c r="D147" s="874" t="s">
        <v>72</v>
      </c>
      <c r="E147" s="233">
        <v>360</v>
      </c>
      <c r="F147" s="174" t="s">
        <v>1353</v>
      </c>
      <c r="G147" s="233" t="s">
        <v>1356</v>
      </c>
      <c r="H147" s="233" t="s">
        <v>1359</v>
      </c>
      <c r="I147" s="882">
        <v>9802119167.2802906</v>
      </c>
      <c r="J147" s="883">
        <v>5558344080.0486364</v>
      </c>
      <c r="K147" s="851" t="s">
        <v>1373</v>
      </c>
      <c r="L147" s="851" t="s">
        <v>1374</v>
      </c>
      <c r="M147" s="234" t="s">
        <v>1426</v>
      </c>
      <c r="N147" s="856" t="s">
        <v>1368</v>
      </c>
      <c r="O147" s="906" t="s">
        <v>1429</v>
      </c>
      <c r="P147" s="856" t="s">
        <v>1370</v>
      </c>
      <c r="Q147" s="856" t="s">
        <v>1371</v>
      </c>
      <c r="R147" s="856" t="s">
        <v>1365</v>
      </c>
      <c r="S147" s="232" t="s">
        <v>1365</v>
      </c>
    </row>
    <row r="148" spans="1:19" ht="43" customHeight="1" x14ac:dyDescent="0.35">
      <c r="A148" s="233">
        <v>80121706</v>
      </c>
      <c r="B148" s="849" t="s">
        <v>1136</v>
      </c>
      <c r="C148" s="234" t="s">
        <v>80</v>
      </c>
      <c r="D148" s="875" t="s">
        <v>1347</v>
      </c>
      <c r="E148" s="233">
        <v>720</v>
      </c>
      <c r="F148" s="174" t="s">
        <v>1353</v>
      </c>
      <c r="G148" s="233" t="s">
        <v>1355</v>
      </c>
      <c r="H148" s="233" t="s">
        <v>1359</v>
      </c>
      <c r="I148" s="882">
        <v>391322447.33452427</v>
      </c>
      <c r="J148" s="883">
        <v>0</v>
      </c>
      <c r="K148" s="851" t="s">
        <v>1373</v>
      </c>
      <c r="L148" s="851" t="s">
        <v>1374</v>
      </c>
      <c r="M148" s="234" t="s">
        <v>1426</v>
      </c>
      <c r="N148" s="856" t="s">
        <v>1368</v>
      </c>
      <c r="O148" s="906" t="s">
        <v>1429</v>
      </c>
      <c r="P148" s="856" t="s">
        <v>1370</v>
      </c>
      <c r="Q148" s="856" t="s">
        <v>1371</v>
      </c>
      <c r="R148" s="856" t="s">
        <v>1365</v>
      </c>
      <c r="S148" s="232" t="s">
        <v>1365</v>
      </c>
    </row>
    <row r="149" spans="1:19" ht="43" customHeight="1" x14ac:dyDescent="0.35">
      <c r="A149" s="233">
        <v>84131601</v>
      </c>
      <c r="B149" s="857" t="s">
        <v>1137</v>
      </c>
      <c r="C149" s="234" t="s">
        <v>70</v>
      </c>
      <c r="D149" s="874" t="s">
        <v>71</v>
      </c>
      <c r="E149" s="233">
        <v>360</v>
      </c>
      <c r="F149" s="174" t="s">
        <v>1353</v>
      </c>
      <c r="G149" s="233" t="s">
        <v>1356</v>
      </c>
      <c r="H149" s="233" t="s">
        <v>1359</v>
      </c>
      <c r="I149" s="882">
        <v>80000000</v>
      </c>
      <c r="J149" s="883">
        <v>80000000</v>
      </c>
      <c r="K149" s="851" t="s">
        <v>1365</v>
      </c>
      <c r="L149" s="851" t="s">
        <v>1366</v>
      </c>
      <c r="M149" s="234" t="s">
        <v>1426</v>
      </c>
      <c r="N149" s="856" t="s">
        <v>1368</v>
      </c>
      <c r="O149" s="906" t="s">
        <v>1429</v>
      </c>
      <c r="P149" s="856" t="s">
        <v>1370</v>
      </c>
      <c r="Q149" s="856" t="s">
        <v>1371</v>
      </c>
      <c r="R149" s="856" t="s">
        <v>1365</v>
      </c>
      <c r="S149" s="232" t="s">
        <v>1365</v>
      </c>
    </row>
    <row r="150" spans="1:19" ht="43" customHeight="1" x14ac:dyDescent="0.35">
      <c r="A150" s="233">
        <v>80111703</v>
      </c>
      <c r="B150" s="849" t="s">
        <v>1138</v>
      </c>
      <c r="C150" s="234" t="s">
        <v>70</v>
      </c>
      <c r="D150" s="874" t="s">
        <v>71</v>
      </c>
      <c r="E150" s="233">
        <v>12</v>
      </c>
      <c r="F150" s="174" t="s">
        <v>1353</v>
      </c>
      <c r="G150" s="233" t="s">
        <v>1354</v>
      </c>
      <c r="H150" s="233" t="s">
        <v>1359</v>
      </c>
      <c r="I150" s="882">
        <v>164926562.5</v>
      </c>
      <c r="J150" s="883">
        <v>123276563</v>
      </c>
      <c r="K150" s="851" t="s">
        <v>1373</v>
      </c>
      <c r="L150" s="851" t="s">
        <v>1374</v>
      </c>
      <c r="M150" s="234" t="s">
        <v>1426</v>
      </c>
      <c r="N150" s="856" t="s">
        <v>1368</v>
      </c>
      <c r="O150" s="906" t="s">
        <v>1430</v>
      </c>
      <c r="P150" s="856" t="s">
        <v>1370</v>
      </c>
      <c r="Q150" s="856" t="s">
        <v>1371</v>
      </c>
      <c r="R150" s="856" t="s">
        <v>1365</v>
      </c>
      <c r="S150" s="232" t="s">
        <v>1365</v>
      </c>
    </row>
    <row r="151" spans="1:19" ht="43" customHeight="1" x14ac:dyDescent="0.35">
      <c r="A151" s="233">
        <v>81161801</v>
      </c>
      <c r="B151" s="849" t="s">
        <v>1139</v>
      </c>
      <c r="C151" s="234" t="s">
        <v>69</v>
      </c>
      <c r="D151" s="233" t="s">
        <v>69</v>
      </c>
      <c r="E151" s="233">
        <v>12</v>
      </c>
      <c r="F151" s="174" t="s">
        <v>1353</v>
      </c>
      <c r="G151" s="233" t="s">
        <v>1355</v>
      </c>
      <c r="H151" s="233" t="s">
        <v>1359</v>
      </c>
      <c r="I151" s="882">
        <v>60000000</v>
      </c>
      <c r="J151" s="883">
        <v>60000000</v>
      </c>
      <c r="K151" s="851" t="s">
        <v>1365</v>
      </c>
      <c r="L151" s="851" t="s">
        <v>1366</v>
      </c>
      <c r="M151" s="234" t="s">
        <v>1426</v>
      </c>
      <c r="N151" s="856" t="s">
        <v>1368</v>
      </c>
      <c r="O151" s="906" t="s">
        <v>1430</v>
      </c>
      <c r="P151" s="856" t="s">
        <v>1370</v>
      </c>
      <c r="Q151" s="856" t="s">
        <v>1371</v>
      </c>
      <c r="R151" s="856" t="s">
        <v>1365</v>
      </c>
      <c r="S151" s="232" t="s">
        <v>1365</v>
      </c>
    </row>
    <row r="152" spans="1:19" ht="43" customHeight="1" x14ac:dyDescent="0.35">
      <c r="A152" s="233">
        <v>81161801</v>
      </c>
      <c r="B152" s="849" t="s">
        <v>1140</v>
      </c>
      <c r="C152" s="234" t="s">
        <v>73</v>
      </c>
      <c r="D152" s="874" t="s">
        <v>74</v>
      </c>
      <c r="E152" s="233">
        <v>6</v>
      </c>
      <c r="F152" s="174" t="s">
        <v>1353</v>
      </c>
      <c r="G152" s="233" t="s">
        <v>1355</v>
      </c>
      <c r="H152" s="233" t="s">
        <v>1359</v>
      </c>
      <c r="I152" s="882">
        <v>1190000</v>
      </c>
      <c r="J152" s="883">
        <v>1190000</v>
      </c>
      <c r="K152" s="851" t="s">
        <v>1365</v>
      </c>
      <c r="L152" s="851" t="s">
        <v>1366</v>
      </c>
      <c r="M152" s="234" t="s">
        <v>1426</v>
      </c>
      <c r="N152" s="856" t="s">
        <v>1368</v>
      </c>
      <c r="O152" s="906" t="s">
        <v>1430</v>
      </c>
      <c r="P152" s="856" t="s">
        <v>1370</v>
      </c>
      <c r="Q152" s="856" t="s">
        <v>1371</v>
      </c>
      <c r="R152" s="856" t="s">
        <v>1365</v>
      </c>
      <c r="S152" s="232" t="s">
        <v>1365</v>
      </c>
    </row>
    <row r="153" spans="1:19" ht="43" customHeight="1" x14ac:dyDescent="0.35">
      <c r="A153" s="233">
        <v>80111504</v>
      </c>
      <c r="B153" s="849" t="s">
        <v>1141</v>
      </c>
      <c r="C153" s="234" t="s">
        <v>69</v>
      </c>
      <c r="D153" s="874" t="s">
        <v>70</v>
      </c>
      <c r="E153" s="233">
        <v>12</v>
      </c>
      <c r="F153" s="174" t="s">
        <v>1353</v>
      </c>
      <c r="G153" s="233" t="s">
        <v>1354</v>
      </c>
      <c r="H153" s="233" t="s">
        <v>1359</v>
      </c>
      <c r="I153" s="882">
        <v>147240009</v>
      </c>
      <c r="J153" s="883">
        <v>147240009</v>
      </c>
      <c r="K153" s="851" t="s">
        <v>1365</v>
      </c>
      <c r="L153" s="851" t="s">
        <v>1366</v>
      </c>
      <c r="M153" s="234" t="s">
        <v>1426</v>
      </c>
      <c r="N153" s="856" t="s">
        <v>1368</v>
      </c>
      <c r="O153" s="906" t="s">
        <v>1430</v>
      </c>
      <c r="P153" s="856" t="s">
        <v>1370</v>
      </c>
      <c r="Q153" s="856" t="s">
        <v>1371</v>
      </c>
      <c r="R153" s="856" t="s">
        <v>1365</v>
      </c>
      <c r="S153" s="232" t="s">
        <v>1365</v>
      </c>
    </row>
    <row r="154" spans="1:19" ht="43" customHeight="1" x14ac:dyDescent="0.35">
      <c r="A154" s="233">
        <v>80111504</v>
      </c>
      <c r="B154" s="849" t="s">
        <v>1142</v>
      </c>
      <c r="C154" s="234" t="s">
        <v>69</v>
      </c>
      <c r="D154" s="233" t="s">
        <v>69</v>
      </c>
      <c r="E154" s="233">
        <v>12</v>
      </c>
      <c r="F154" s="174" t="s">
        <v>1353</v>
      </c>
      <c r="G154" s="233" t="s">
        <v>1355</v>
      </c>
      <c r="H154" s="233" t="s">
        <v>1359</v>
      </c>
      <c r="I154" s="882">
        <v>35700000</v>
      </c>
      <c r="J154" s="883">
        <v>35700000</v>
      </c>
      <c r="K154" s="851" t="s">
        <v>1365</v>
      </c>
      <c r="L154" s="851" t="s">
        <v>1366</v>
      </c>
      <c r="M154" s="234" t="s">
        <v>1426</v>
      </c>
      <c r="N154" s="856" t="s">
        <v>1368</v>
      </c>
      <c r="O154" s="906" t="s">
        <v>1430</v>
      </c>
      <c r="P154" s="856" t="s">
        <v>1370</v>
      </c>
      <c r="Q154" s="856" t="s">
        <v>1371</v>
      </c>
      <c r="R154" s="856" t="s">
        <v>1365</v>
      </c>
      <c r="S154" s="232" t="s">
        <v>1365</v>
      </c>
    </row>
    <row r="155" spans="1:19" ht="43" customHeight="1" x14ac:dyDescent="0.35">
      <c r="A155" s="233">
        <v>80111504</v>
      </c>
      <c r="B155" s="849" t="s">
        <v>1143</v>
      </c>
      <c r="C155" s="234" t="s">
        <v>69</v>
      </c>
      <c r="D155" s="233" t="s">
        <v>69</v>
      </c>
      <c r="E155" s="233">
        <v>12</v>
      </c>
      <c r="F155" s="174" t="s">
        <v>1353</v>
      </c>
      <c r="G155" s="233" t="s">
        <v>1355</v>
      </c>
      <c r="H155" s="233" t="s">
        <v>1359</v>
      </c>
      <c r="I155" s="882">
        <v>35700000</v>
      </c>
      <c r="J155" s="883">
        <v>35700000</v>
      </c>
      <c r="K155" s="851" t="s">
        <v>1365</v>
      </c>
      <c r="L155" s="851" t="s">
        <v>1366</v>
      </c>
      <c r="M155" s="234" t="s">
        <v>1426</v>
      </c>
      <c r="N155" s="856" t="s">
        <v>1368</v>
      </c>
      <c r="O155" s="906" t="s">
        <v>1430</v>
      </c>
      <c r="P155" s="856" t="s">
        <v>1370</v>
      </c>
      <c r="Q155" s="856" t="s">
        <v>1371</v>
      </c>
      <c r="R155" s="856" t="s">
        <v>1365</v>
      </c>
      <c r="S155" s="232" t="s">
        <v>1365</v>
      </c>
    </row>
    <row r="156" spans="1:19" ht="43" customHeight="1" x14ac:dyDescent="0.35">
      <c r="A156" s="233">
        <v>80111504</v>
      </c>
      <c r="B156" s="849" t="s">
        <v>1144</v>
      </c>
      <c r="C156" s="234" t="s">
        <v>69</v>
      </c>
      <c r="D156" s="875" t="s">
        <v>69</v>
      </c>
      <c r="E156" s="233">
        <v>12</v>
      </c>
      <c r="F156" s="174" t="s">
        <v>1353</v>
      </c>
      <c r="G156" s="233" t="s">
        <v>1355</v>
      </c>
      <c r="H156" s="233" t="s">
        <v>1359</v>
      </c>
      <c r="I156" s="882">
        <v>47486117</v>
      </c>
      <c r="J156" s="883">
        <v>47486117</v>
      </c>
      <c r="K156" s="851" t="s">
        <v>1365</v>
      </c>
      <c r="L156" s="851" t="s">
        <v>1366</v>
      </c>
      <c r="M156" s="234" t="s">
        <v>1426</v>
      </c>
      <c r="N156" s="856" t="s">
        <v>1368</v>
      </c>
      <c r="O156" s="906" t="s">
        <v>1430</v>
      </c>
      <c r="P156" s="856" t="s">
        <v>1370</v>
      </c>
      <c r="Q156" s="856" t="s">
        <v>1371</v>
      </c>
      <c r="R156" s="856" t="s">
        <v>1365</v>
      </c>
      <c r="S156" s="232" t="s">
        <v>1365</v>
      </c>
    </row>
    <row r="157" spans="1:19" ht="43" customHeight="1" x14ac:dyDescent="0.35">
      <c r="A157" s="836">
        <v>42181500</v>
      </c>
      <c r="B157" s="857" t="s">
        <v>1145</v>
      </c>
      <c r="C157" s="234" t="s">
        <v>80</v>
      </c>
      <c r="D157" s="234" t="s">
        <v>80</v>
      </c>
      <c r="E157" s="234">
        <v>12</v>
      </c>
      <c r="F157" s="174" t="s">
        <v>1353</v>
      </c>
      <c r="G157" s="233" t="s">
        <v>1355</v>
      </c>
      <c r="H157" s="233" t="s">
        <v>1359</v>
      </c>
      <c r="I157" s="883">
        <v>59500000</v>
      </c>
      <c r="J157" s="883">
        <v>59500000</v>
      </c>
      <c r="K157" s="851" t="s">
        <v>1365</v>
      </c>
      <c r="L157" s="851" t="s">
        <v>1366</v>
      </c>
      <c r="M157" s="234" t="s">
        <v>1426</v>
      </c>
      <c r="N157" s="856" t="s">
        <v>1368</v>
      </c>
      <c r="O157" s="906" t="s">
        <v>1431</v>
      </c>
      <c r="P157" s="856" t="s">
        <v>1370</v>
      </c>
      <c r="Q157" s="856" t="s">
        <v>1371</v>
      </c>
      <c r="R157" s="856" t="s">
        <v>1365</v>
      </c>
      <c r="S157" s="232" t="s">
        <v>1365</v>
      </c>
    </row>
    <row r="158" spans="1:19" ht="43" customHeight="1" x14ac:dyDescent="0.35">
      <c r="A158" s="836">
        <v>81101703</v>
      </c>
      <c r="B158" s="857" t="s">
        <v>1146</v>
      </c>
      <c r="C158" s="234" t="s">
        <v>69</v>
      </c>
      <c r="D158" s="233" t="s">
        <v>69</v>
      </c>
      <c r="E158" s="234">
        <v>12</v>
      </c>
      <c r="F158" s="174" t="s">
        <v>1353</v>
      </c>
      <c r="G158" s="233" t="s">
        <v>1355</v>
      </c>
      <c r="H158" s="233" t="s">
        <v>1359</v>
      </c>
      <c r="I158" s="883">
        <v>53550000</v>
      </c>
      <c r="J158" s="883">
        <v>53550000</v>
      </c>
      <c r="K158" s="851" t="s">
        <v>1365</v>
      </c>
      <c r="L158" s="851" t="s">
        <v>1366</v>
      </c>
      <c r="M158" s="234" t="s">
        <v>1426</v>
      </c>
      <c r="N158" s="856" t="s">
        <v>1368</v>
      </c>
      <c r="O158" s="906" t="s">
        <v>1431</v>
      </c>
      <c r="P158" s="856" t="s">
        <v>1370</v>
      </c>
      <c r="Q158" s="856" t="s">
        <v>1371</v>
      </c>
      <c r="R158" s="856" t="s">
        <v>1365</v>
      </c>
      <c r="S158" s="232" t="s">
        <v>1365</v>
      </c>
    </row>
    <row r="159" spans="1:19" ht="43" customHeight="1" x14ac:dyDescent="0.35">
      <c r="A159" s="836">
        <v>42172002</v>
      </c>
      <c r="B159" s="857" t="s">
        <v>1147</v>
      </c>
      <c r="C159" s="234" t="s">
        <v>70</v>
      </c>
      <c r="D159" s="874" t="s">
        <v>71</v>
      </c>
      <c r="E159" s="234">
        <v>12</v>
      </c>
      <c r="F159" s="174" t="s">
        <v>1353</v>
      </c>
      <c r="G159" s="233" t="s">
        <v>1355</v>
      </c>
      <c r="H159" s="233" t="s">
        <v>1359</v>
      </c>
      <c r="I159" s="883">
        <v>11900000</v>
      </c>
      <c r="J159" s="883">
        <v>11900000</v>
      </c>
      <c r="K159" s="851" t="s">
        <v>1365</v>
      </c>
      <c r="L159" s="851" t="s">
        <v>1366</v>
      </c>
      <c r="M159" s="234" t="s">
        <v>1426</v>
      </c>
      <c r="N159" s="856" t="s">
        <v>1368</v>
      </c>
      <c r="O159" s="906" t="s">
        <v>1431</v>
      </c>
      <c r="P159" s="856" t="s">
        <v>1370</v>
      </c>
      <c r="Q159" s="856" t="s">
        <v>1371</v>
      </c>
      <c r="R159" s="856" t="s">
        <v>1365</v>
      </c>
      <c r="S159" s="232" t="s">
        <v>1365</v>
      </c>
    </row>
    <row r="160" spans="1:19" ht="43" customHeight="1" x14ac:dyDescent="0.35">
      <c r="A160" s="836">
        <v>56112003</v>
      </c>
      <c r="B160" s="857" t="s">
        <v>1148</v>
      </c>
      <c r="C160" s="234" t="s">
        <v>70</v>
      </c>
      <c r="D160" s="874" t="s">
        <v>71</v>
      </c>
      <c r="E160" s="234">
        <v>6</v>
      </c>
      <c r="F160" s="174" t="s">
        <v>1353</v>
      </c>
      <c r="G160" s="233" t="s">
        <v>1355</v>
      </c>
      <c r="H160" s="233" t="s">
        <v>1359</v>
      </c>
      <c r="I160" s="883">
        <v>33310678.73</v>
      </c>
      <c r="J160" s="883">
        <v>33310678.73</v>
      </c>
      <c r="K160" s="851" t="s">
        <v>1365</v>
      </c>
      <c r="L160" s="851" t="s">
        <v>1366</v>
      </c>
      <c r="M160" s="234" t="s">
        <v>1426</v>
      </c>
      <c r="N160" s="856" t="s">
        <v>1368</v>
      </c>
      <c r="O160" s="906" t="s">
        <v>1431</v>
      </c>
      <c r="P160" s="856" t="s">
        <v>1370</v>
      </c>
      <c r="Q160" s="856" t="s">
        <v>1371</v>
      </c>
      <c r="R160" s="856" t="s">
        <v>1365</v>
      </c>
      <c r="S160" s="232" t="s">
        <v>1365</v>
      </c>
    </row>
    <row r="161" spans="1:19" ht="43" customHeight="1" x14ac:dyDescent="0.35">
      <c r="A161" s="836">
        <v>80101500</v>
      </c>
      <c r="B161" s="857" t="s">
        <v>1149</v>
      </c>
      <c r="C161" s="234" t="s">
        <v>70</v>
      </c>
      <c r="D161" s="874" t="s">
        <v>71</v>
      </c>
      <c r="E161" s="234">
        <v>12</v>
      </c>
      <c r="F161" s="174" t="s">
        <v>1353</v>
      </c>
      <c r="G161" s="874" t="s">
        <v>1355</v>
      </c>
      <c r="H161" s="233" t="s">
        <v>1359</v>
      </c>
      <c r="I161" s="883">
        <v>11900000</v>
      </c>
      <c r="J161" s="883">
        <v>11900000</v>
      </c>
      <c r="K161" s="851" t="s">
        <v>1365</v>
      </c>
      <c r="L161" s="851" t="s">
        <v>1366</v>
      </c>
      <c r="M161" s="234" t="s">
        <v>1426</v>
      </c>
      <c r="N161" s="856" t="s">
        <v>1368</v>
      </c>
      <c r="O161" s="906" t="s">
        <v>1432</v>
      </c>
      <c r="P161" s="856" t="s">
        <v>1370</v>
      </c>
      <c r="Q161" s="856" t="s">
        <v>1371</v>
      </c>
      <c r="R161" s="856" t="s">
        <v>1365</v>
      </c>
      <c r="S161" s="232" t="s">
        <v>1365</v>
      </c>
    </row>
    <row r="162" spans="1:19" ht="43" customHeight="1" x14ac:dyDescent="0.35">
      <c r="A162" s="836">
        <v>80101511</v>
      </c>
      <c r="B162" s="857" t="s">
        <v>1150</v>
      </c>
      <c r="C162" s="234" t="s">
        <v>69</v>
      </c>
      <c r="D162" s="874" t="s">
        <v>70</v>
      </c>
      <c r="E162" s="234">
        <v>36</v>
      </c>
      <c r="F162" s="174" t="s">
        <v>1353</v>
      </c>
      <c r="G162" s="233" t="s">
        <v>1356</v>
      </c>
      <c r="H162" s="233" t="s">
        <v>1359</v>
      </c>
      <c r="I162" s="883">
        <v>4291418065.1776261</v>
      </c>
      <c r="J162" s="883">
        <v>910607218.93636107</v>
      </c>
      <c r="K162" s="851" t="s">
        <v>1373</v>
      </c>
      <c r="L162" s="851" t="s">
        <v>1374</v>
      </c>
      <c r="M162" s="234" t="s">
        <v>1426</v>
      </c>
      <c r="N162" s="856" t="s">
        <v>1368</v>
      </c>
      <c r="O162" s="906" t="s">
        <v>1432</v>
      </c>
      <c r="P162" s="856" t="s">
        <v>1370</v>
      </c>
      <c r="Q162" s="856" t="s">
        <v>1371</v>
      </c>
      <c r="R162" s="856" t="s">
        <v>1365</v>
      </c>
      <c r="S162" s="232" t="s">
        <v>1365</v>
      </c>
    </row>
    <row r="163" spans="1:19" ht="43" customHeight="1" x14ac:dyDescent="0.35">
      <c r="A163" s="836">
        <v>90141500</v>
      </c>
      <c r="B163" s="851" t="s">
        <v>1151</v>
      </c>
      <c r="C163" s="234" t="s">
        <v>70</v>
      </c>
      <c r="D163" s="874" t="s">
        <v>71</v>
      </c>
      <c r="E163" s="234">
        <v>8</v>
      </c>
      <c r="F163" s="174" t="s">
        <v>1353</v>
      </c>
      <c r="G163" s="233" t="s">
        <v>1355</v>
      </c>
      <c r="H163" s="233" t="s">
        <v>1359</v>
      </c>
      <c r="I163" s="881">
        <v>20000000</v>
      </c>
      <c r="J163" s="883">
        <v>20000000</v>
      </c>
      <c r="K163" s="851" t="s">
        <v>1365</v>
      </c>
      <c r="L163" s="851" t="s">
        <v>1366</v>
      </c>
      <c r="M163" s="234" t="s">
        <v>1426</v>
      </c>
      <c r="N163" s="856" t="s">
        <v>1368</v>
      </c>
      <c r="O163" s="906" t="s">
        <v>1432</v>
      </c>
      <c r="P163" s="856" t="s">
        <v>1370</v>
      </c>
      <c r="Q163" s="856" t="s">
        <v>1371</v>
      </c>
      <c r="R163" s="856" t="s">
        <v>1365</v>
      </c>
      <c r="S163" s="232" t="s">
        <v>1365</v>
      </c>
    </row>
    <row r="164" spans="1:19" ht="43" customHeight="1" x14ac:dyDescent="0.35">
      <c r="A164" s="836">
        <v>80141607</v>
      </c>
      <c r="B164" s="851" t="s">
        <v>1152</v>
      </c>
      <c r="C164" s="234" t="s">
        <v>69</v>
      </c>
      <c r="D164" s="233" t="s">
        <v>69</v>
      </c>
      <c r="E164" s="234">
        <v>12</v>
      </c>
      <c r="F164" s="174" t="s">
        <v>1353</v>
      </c>
      <c r="G164" s="874" t="s">
        <v>1355</v>
      </c>
      <c r="H164" s="233" t="s">
        <v>1359</v>
      </c>
      <c r="I164" s="881">
        <v>445060000</v>
      </c>
      <c r="J164" s="883">
        <v>445060000</v>
      </c>
      <c r="K164" s="851" t="s">
        <v>1365</v>
      </c>
      <c r="L164" s="851" t="s">
        <v>1366</v>
      </c>
      <c r="M164" s="234" t="s">
        <v>1426</v>
      </c>
      <c r="N164" s="856" t="s">
        <v>1368</v>
      </c>
      <c r="O164" s="906" t="s">
        <v>1432</v>
      </c>
      <c r="P164" s="856" t="s">
        <v>1370</v>
      </c>
      <c r="Q164" s="856" t="s">
        <v>1371</v>
      </c>
      <c r="R164" s="856" t="s">
        <v>1365</v>
      </c>
      <c r="S164" s="232" t="s">
        <v>1365</v>
      </c>
    </row>
    <row r="165" spans="1:19" ht="43" customHeight="1" x14ac:dyDescent="0.35">
      <c r="A165" s="836">
        <v>50192301</v>
      </c>
      <c r="B165" s="851" t="s">
        <v>1153</v>
      </c>
      <c r="C165" s="234" t="s">
        <v>69</v>
      </c>
      <c r="D165" s="233" t="s">
        <v>69</v>
      </c>
      <c r="E165" s="234">
        <v>12</v>
      </c>
      <c r="F165" s="174" t="s">
        <v>1353</v>
      </c>
      <c r="G165" s="233" t="s">
        <v>1355</v>
      </c>
      <c r="H165" s="233" t="s">
        <v>1359</v>
      </c>
      <c r="I165" s="881">
        <v>47600000</v>
      </c>
      <c r="J165" s="883">
        <v>47600000</v>
      </c>
      <c r="K165" s="851" t="s">
        <v>1365</v>
      </c>
      <c r="L165" s="851" t="s">
        <v>1366</v>
      </c>
      <c r="M165" s="234" t="s">
        <v>1426</v>
      </c>
      <c r="N165" s="856" t="s">
        <v>1368</v>
      </c>
      <c r="O165" s="906" t="s">
        <v>1432</v>
      </c>
      <c r="P165" s="856" t="s">
        <v>1370</v>
      </c>
      <c r="Q165" s="856" t="s">
        <v>1371</v>
      </c>
      <c r="R165" s="856" t="s">
        <v>1365</v>
      </c>
      <c r="S165" s="232" t="s">
        <v>1365</v>
      </c>
    </row>
    <row r="166" spans="1:19" ht="43" customHeight="1" x14ac:dyDescent="0.35">
      <c r="A166" s="234">
        <v>84131602</v>
      </c>
      <c r="B166" s="857" t="s">
        <v>1154</v>
      </c>
      <c r="C166" s="234" t="s">
        <v>78</v>
      </c>
      <c r="D166" s="234" t="s">
        <v>79</v>
      </c>
      <c r="E166" s="234">
        <v>12</v>
      </c>
      <c r="F166" s="174" t="s">
        <v>1353</v>
      </c>
      <c r="G166" s="874" t="s">
        <v>1355</v>
      </c>
      <c r="H166" s="233" t="s">
        <v>1359</v>
      </c>
      <c r="I166" s="883">
        <v>9062383169.7000008</v>
      </c>
      <c r="J166" s="883">
        <v>7899106868</v>
      </c>
      <c r="K166" s="851" t="s">
        <v>1365</v>
      </c>
      <c r="L166" s="851" t="s">
        <v>1366</v>
      </c>
      <c r="M166" s="234" t="s">
        <v>1426</v>
      </c>
      <c r="N166" s="856" t="s">
        <v>1368</v>
      </c>
      <c r="O166" s="906" t="s">
        <v>1433</v>
      </c>
      <c r="P166" s="856" t="s">
        <v>1370</v>
      </c>
      <c r="Q166" s="856" t="s">
        <v>1371</v>
      </c>
      <c r="R166" s="856" t="s">
        <v>1365</v>
      </c>
      <c r="S166" s="232" t="s">
        <v>1365</v>
      </c>
    </row>
    <row r="167" spans="1:19" ht="43" customHeight="1" x14ac:dyDescent="0.35">
      <c r="A167" s="234">
        <v>84131601</v>
      </c>
      <c r="B167" s="857" t="s">
        <v>1155</v>
      </c>
      <c r="C167" s="234" t="s">
        <v>78</v>
      </c>
      <c r="D167" s="234" t="s">
        <v>79</v>
      </c>
      <c r="E167" s="234">
        <v>12</v>
      </c>
      <c r="F167" s="174" t="s">
        <v>1353</v>
      </c>
      <c r="G167" s="874" t="s">
        <v>1355</v>
      </c>
      <c r="H167" s="233" t="s">
        <v>1359</v>
      </c>
      <c r="I167" s="883">
        <v>1311936747.408</v>
      </c>
      <c r="J167" s="883">
        <v>1307265292</v>
      </c>
      <c r="K167" s="851" t="s">
        <v>1365</v>
      </c>
      <c r="L167" s="851" t="s">
        <v>1366</v>
      </c>
      <c r="M167" s="234" t="s">
        <v>1426</v>
      </c>
      <c r="N167" s="856" t="s">
        <v>1368</v>
      </c>
      <c r="O167" s="906" t="s">
        <v>1433</v>
      </c>
      <c r="P167" s="856" t="s">
        <v>1370</v>
      </c>
      <c r="Q167" s="856" t="s">
        <v>1371</v>
      </c>
      <c r="R167" s="856" t="s">
        <v>1365</v>
      </c>
      <c r="S167" s="232" t="s">
        <v>1365</v>
      </c>
    </row>
    <row r="168" spans="1:19" ht="43" customHeight="1" x14ac:dyDescent="0.35">
      <c r="A168" s="234">
        <v>84131601</v>
      </c>
      <c r="B168" s="857" t="s">
        <v>1156</v>
      </c>
      <c r="C168" s="234" t="s">
        <v>78</v>
      </c>
      <c r="D168" s="234" t="s">
        <v>79</v>
      </c>
      <c r="E168" s="234">
        <v>12</v>
      </c>
      <c r="F168" s="174" t="s">
        <v>1353</v>
      </c>
      <c r="G168" s="874" t="s">
        <v>1355</v>
      </c>
      <c r="H168" s="233" t="s">
        <v>1359</v>
      </c>
      <c r="I168" s="883">
        <v>110000000</v>
      </c>
      <c r="J168" s="883">
        <v>110000000</v>
      </c>
      <c r="K168" s="851" t="s">
        <v>1365</v>
      </c>
      <c r="L168" s="851" t="s">
        <v>1366</v>
      </c>
      <c r="M168" s="234" t="s">
        <v>1426</v>
      </c>
      <c r="N168" s="856" t="s">
        <v>1368</v>
      </c>
      <c r="O168" s="906" t="s">
        <v>1433</v>
      </c>
      <c r="P168" s="856" t="s">
        <v>1370</v>
      </c>
      <c r="Q168" s="856" t="s">
        <v>1371</v>
      </c>
      <c r="R168" s="856" t="s">
        <v>1365</v>
      </c>
      <c r="S168" s="232" t="s">
        <v>1365</v>
      </c>
    </row>
    <row r="169" spans="1:19" ht="43" customHeight="1" x14ac:dyDescent="0.35">
      <c r="A169" s="234">
        <v>70171708</v>
      </c>
      <c r="B169" s="857" t="s">
        <v>1157</v>
      </c>
      <c r="C169" s="234" t="s">
        <v>69</v>
      </c>
      <c r="D169" s="874" t="s">
        <v>70</v>
      </c>
      <c r="E169" s="234">
        <v>36</v>
      </c>
      <c r="F169" s="174" t="s">
        <v>1353</v>
      </c>
      <c r="G169" s="233" t="s">
        <v>1355</v>
      </c>
      <c r="H169" s="233" t="s">
        <v>1359</v>
      </c>
      <c r="I169" s="883">
        <v>0</v>
      </c>
      <c r="J169" s="883">
        <v>0</v>
      </c>
      <c r="K169" s="851" t="s">
        <v>1365</v>
      </c>
      <c r="L169" s="851" t="s">
        <v>1366</v>
      </c>
      <c r="M169" s="234" t="s">
        <v>1426</v>
      </c>
      <c r="N169" s="856" t="s">
        <v>1368</v>
      </c>
      <c r="O169" s="906" t="s">
        <v>1433</v>
      </c>
      <c r="P169" s="856" t="s">
        <v>1370</v>
      </c>
      <c r="Q169" s="856" t="s">
        <v>1371</v>
      </c>
      <c r="R169" s="856" t="s">
        <v>1365</v>
      </c>
      <c r="S169" s="232" t="s">
        <v>1365</v>
      </c>
    </row>
    <row r="170" spans="1:19" ht="43" customHeight="1" x14ac:dyDescent="0.35">
      <c r="A170" s="234">
        <v>84131501</v>
      </c>
      <c r="B170" s="857" t="s">
        <v>1158</v>
      </c>
      <c r="C170" s="234" t="s">
        <v>78</v>
      </c>
      <c r="D170" s="234" t="s">
        <v>79</v>
      </c>
      <c r="E170" s="234">
        <v>12</v>
      </c>
      <c r="F170" s="174" t="s">
        <v>1353</v>
      </c>
      <c r="G170" s="874" t="s">
        <v>1355</v>
      </c>
      <c r="H170" s="233" t="s">
        <v>1359</v>
      </c>
      <c r="I170" s="883">
        <v>125000000</v>
      </c>
      <c r="J170" s="883">
        <v>125000000</v>
      </c>
      <c r="K170" s="851" t="s">
        <v>1365</v>
      </c>
      <c r="L170" s="851" t="s">
        <v>1366</v>
      </c>
      <c r="M170" s="234" t="s">
        <v>1426</v>
      </c>
      <c r="N170" s="856" t="s">
        <v>1368</v>
      </c>
      <c r="O170" s="906" t="s">
        <v>1433</v>
      </c>
      <c r="P170" s="856" t="s">
        <v>1370</v>
      </c>
      <c r="Q170" s="856" t="s">
        <v>1371</v>
      </c>
      <c r="R170" s="856" t="s">
        <v>1365</v>
      </c>
      <c r="S170" s="232" t="s">
        <v>1365</v>
      </c>
    </row>
    <row r="171" spans="1:19" ht="43" customHeight="1" x14ac:dyDescent="0.35">
      <c r="A171" s="234">
        <v>90121502</v>
      </c>
      <c r="B171" s="857" t="s">
        <v>1159</v>
      </c>
      <c r="C171" s="234" t="s">
        <v>71</v>
      </c>
      <c r="D171" s="874" t="s">
        <v>72</v>
      </c>
      <c r="E171" s="234">
        <v>24</v>
      </c>
      <c r="F171" s="174" t="s">
        <v>1353</v>
      </c>
      <c r="G171" s="233" t="s">
        <v>1356</v>
      </c>
      <c r="H171" s="233" t="s">
        <v>1359</v>
      </c>
      <c r="I171" s="883">
        <v>2599015732.7979598</v>
      </c>
      <c r="J171" s="883">
        <v>802233900</v>
      </c>
      <c r="K171" s="851" t="s">
        <v>1373</v>
      </c>
      <c r="L171" s="851" t="s">
        <v>1374</v>
      </c>
      <c r="M171" s="234" t="s">
        <v>1426</v>
      </c>
      <c r="N171" s="856" t="s">
        <v>1368</v>
      </c>
      <c r="O171" s="906" t="s">
        <v>1433</v>
      </c>
      <c r="P171" s="856" t="s">
        <v>1370</v>
      </c>
      <c r="Q171" s="856" t="s">
        <v>1371</v>
      </c>
      <c r="R171" s="856" t="s">
        <v>1365</v>
      </c>
      <c r="S171" s="232" t="s">
        <v>1365</v>
      </c>
    </row>
    <row r="172" spans="1:19" ht="43" customHeight="1" x14ac:dyDescent="0.35">
      <c r="A172" s="234">
        <v>80121610</v>
      </c>
      <c r="B172" s="857" t="s">
        <v>1160</v>
      </c>
      <c r="C172" s="234" t="s">
        <v>77</v>
      </c>
      <c r="D172" s="234" t="s">
        <v>78</v>
      </c>
      <c r="E172" s="234">
        <v>36</v>
      </c>
      <c r="F172" s="174" t="s">
        <v>1353</v>
      </c>
      <c r="G172" s="233" t="s">
        <v>1355</v>
      </c>
      <c r="H172" s="233" t="s">
        <v>1359</v>
      </c>
      <c r="I172" s="883">
        <v>918054600</v>
      </c>
      <c r="J172" s="883">
        <v>0</v>
      </c>
      <c r="K172" s="851" t="s">
        <v>1373</v>
      </c>
      <c r="L172" s="851" t="s">
        <v>1374</v>
      </c>
      <c r="M172" s="234" t="s">
        <v>1426</v>
      </c>
      <c r="N172" s="856" t="s">
        <v>1368</v>
      </c>
      <c r="O172" s="906" t="s">
        <v>1433</v>
      </c>
      <c r="P172" s="856" t="s">
        <v>1370</v>
      </c>
      <c r="Q172" s="856" t="s">
        <v>1371</v>
      </c>
      <c r="R172" s="856" t="s">
        <v>1365</v>
      </c>
      <c r="S172" s="232" t="s">
        <v>1365</v>
      </c>
    </row>
    <row r="173" spans="1:19" ht="43" customHeight="1" x14ac:dyDescent="0.35">
      <c r="A173" s="234">
        <v>70111501</v>
      </c>
      <c r="B173" s="851" t="s">
        <v>1161</v>
      </c>
      <c r="C173" s="234" t="s">
        <v>73</v>
      </c>
      <c r="D173" s="874" t="s">
        <v>74</v>
      </c>
      <c r="E173" s="874">
        <v>3</v>
      </c>
      <c r="F173" s="174" t="s">
        <v>1353</v>
      </c>
      <c r="G173" s="874" t="s">
        <v>1355</v>
      </c>
      <c r="H173" s="233" t="s">
        <v>1359</v>
      </c>
      <c r="I173" s="881">
        <v>92820000</v>
      </c>
      <c r="J173" s="883">
        <v>78000000</v>
      </c>
      <c r="K173" s="851" t="s">
        <v>1365</v>
      </c>
      <c r="L173" s="851" t="s">
        <v>1366</v>
      </c>
      <c r="M173" s="234" t="s">
        <v>1426</v>
      </c>
      <c r="N173" s="856" t="s">
        <v>1368</v>
      </c>
      <c r="O173" s="906" t="s">
        <v>1434</v>
      </c>
      <c r="P173" s="856" t="s">
        <v>1370</v>
      </c>
      <c r="Q173" s="856" t="s">
        <v>1371</v>
      </c>
      <c r="R173" s="856" t="s">
        <v>1365</v>
      </c>
      <c r="S173" s="232" t="s">
        <v>1365</v>
      </c>
    </row>
    <row r="174" spans="1:19" ht="43" customHeight="1" x14ac:dyDescent="0.35">
      <c r="A174" s="837" t="s">
        <v>994</v>
      </c>
      <c r="B174" s="851" t="s">
        <v>1162</v>
      </c>
      <c r="C174" s="234" t="s">
        <v>75</v>
      </c>
      <c r="D174" s="874" t="s">
        <v>76</v>
      </c>
      <c r="E174" s="874">
        <v>3</v>
      </c>
      <c r="F174" s="174" t="s">
        <v>1353</v>
      </c>
      <c r="G174" s="874" t="s">
        <v>1355</v>
      </c>
      <c r="H174" s="233" t="s">
        <v>1359</v>
      </c>
      <c r="I174" s="881">
        <v>3570000</v>
      </c>
      <c r="J174" s="883">
        <v>3000000</v>
      </c>
      <c r="K174" s="851" t="s">
        <v>1365</v>
      </c>
      <c r="L174" s="851" t="s">
        <v>1366</v>
      </c>
      <c r="M174" s="234" t="s">
        <v>1426</v>
      </c>
      <c r="N174" s="856" t="s">
        <v>1368</v>
      </c>
      <c r="O174" s="906" t="s">
        <v>1434</v>
      </c>
      <c r="P174" s="856" t="s">
        <v>1370</v>
      </c>
      <c r="Q174" s="856" t="s">
        <v>1371</v>
      </c>
      <c r="R174" s="856" t="s">
        <v>1365</v>
      </c>
      <c r="S174" s="232" t="s">
        <v>1365</v>
      </c>
    </row>
    <row r="175" spans="1:19" ht="43" customHeight="1" x14ac:dyDescent="0.35">
      <c r="A175" s="234">
        <v>73131505</v>
      </c>
      <c r="B175" s="851" t="s">
        <v>1163</v>
      </c>
      <c r="C175" s="234" t="s">
        <v>77</v>
      </c>
      <c r="D175" s="874" t="s">
        <v>78</v>
      </c>
      <c r="E175" s="874">
        <v>12</v>
      </c>
      <c r="F175" s="174" t="s">
        <v>1353</v>
      </c>
      <c r="G175" s="874" t="s">
        <v>1355</v>
      </c>
      <c r="H175" s="233" t="s">
        <v>1359</v>
      </c>
      <c r="I175" s="881">
        <v>37154853.809700005</v>
      </c>
      <c r="J175" s="883">
        <v>0</v>
      </c>
      <c r="K175" s="851" t="s">
        <v>1365</v>
      </c>
      <c r="L175" s="851" t="s">
        <v>1366</v>
      </c>
      <c r="M175" s="234" t="s">
        <v>1426</v>
      </c>
      <c r="N175" s="856" t="s">
        <v>1368</v>
      </c>
      <c r="O175" s="906" t="s">
        <v>1435</v>
      </c>
      <c r="P175" s="856" t="s">
        <v>1370</v>
      </c>
      <c r="Q175" s="856" t="s">
        <v>1371</v>
      </c>
      <c r="R175" s="856" t="s">
        <v>1365</v>
      </c>
      <c r="S175" s="232" t="s">
        <v>1365</v>
      </c>
    </row>
    <row r="176" spans="1:19" ht="43" customHeight="1" x14ac:dyDescent="0.35">
      <c r="A176" s="234">
        <v>44101501</v>
      </c>
      <c r="B176" s="851" t="s">
        <v>1164</v>
      </c>
      <c r="C176" s="234" t="s">
        <v>69</v>
      </c>
      <c r="D176" s="874" t="s">
        <v>69</v>
      </c>
      <c r="E176" s="874">
        <v>36</v>
      </c>
      <c r="F176" s="174" t="s">
        <v>1353</v>
      </c>
      <c r="G176" s="874" t="s">
        <v>1355</v>
      </c>
      <c r="H176" s="233" t="s">
        <v>1359</v>
      </c>
      <c r="I176" s="881">
        <v>16829569.050000001</v>
      </c>
      <c r="J176" s="883">
        <v>5303993</v>
      </c>
      <c r="K176" s="851" t="s">
        <v>1373</v>
      </c>
      <c r="L176" s="851" t="s">
        <v>1417</v>
      </c>
      <c r="M176" s="234" t="s">
        <v>1426</v>
      </c>
      <c r="N176" s="856" t="s">
        <v>1368</v>
      </c>
      <c r="O176" s="906" t="s">
        <v>1435</v>
      </c>
      <c r="P176" s="856" t="s">
        <v>1370</v>
      </c>
      <c r="Q176" s="856" t="s">
        <v>1371</v>
      </c>
      <c r="R176" s="856" t="s">
        <v>1365</v>
      </c>
      <c r="S176" s="232" t="s">
        <v>1365</v>
      </c>
    </row>
    <row r="177" spans="1:19" ht="43" customHeight="1" x14ac:dyDescent="0.35">
      <c r="A177" s="234">
        <v>77101802</v>
      </c>
      <c r="B177" s="851" t="s">
        <v>1165</v>
      </c>
      <c r="C177" s="234" t="s">
        <v>74</v>
      </c>
      <c r="D177" s="874" t="s">
        <v>75</v>
      </c>
      <c r="E177" s="874">
        <v>12</v>
      </c>
      <c r="F177" s="174" t="s">
        <v>1353</v>
      </c>
      <c r="G177" s="874" t="s">
        <v>1355</v>
      </c>
      <c r="H177" s="233" t="s">
        <v>1359</v>
      </c>
      <c r="I177" s="881">
        <v>2629900</v>
      </c>
      <c r="J177" s="883">
        <v>2629900</v>
      </c>
      <c r="K177" s="851" t="s">
        <v>1365</v>
      </c>
      <c r="L177" s="851" t="s">
        <v>1366</v>
      </c>
      <c r="M177" s="234" t="s">
        <v>1426</v>
      </c>
      <c r="N177" s="856" t="s">
        <v>1368</v>
      </c>
      <c r="O177" s="906" t="s">
        <v>1435</v>
      </c>
      <c r="P177" s="856" t="s">
        <v>1370</v>
      </c>
      <c r="Q177" s="856" t="s">
        <v>1371</v>
      </c>
      <c r="R177" s="856" t="s">
        <v>1365</v>
      </c>
      <c r="S177" s="232" t="s">
        <v>1365</v>
      </c>
    </row>
    <row r="178" spans="1:19" ht="43" customHeight="1" x14ac:dyDescent="0.35">
      <c r="A178" s="234">
        <v>48101705</v>
      </c>
      <c r="B178" s="851" t="s">
        <v>1166</v>
      </c>
      <c r="C178" s="234" t="s">
        <v>72</v>
      </c>
      <c r="D178" s="874" t="s">
        <v>73</v>
      </c>
      <c r="E178" s="874">
        <v>12</v>
      </c>
      <c r="F178" s="174" t="s">
        <v>1353</v>
      </c>
      <c r="G178" s="874" t="s">
        <v>1355</v>
      </c>
      <c r="H178" s="233" t="s">
        <v>1359</v>
      </c>
      <c r="I178" s="881">
        <v>2335659.4950000001</v>
      </c>
      <c r="J178" s="883">
        <v>2335659</v>
      </c>
      <c r="K178" s="851" t="s">
        <v>1365</v>
      </c>
      <c r="L178" s="851" t="s">
        <v>1366</v>
      </c>
      <c r="M178" s="234" t="s">
        <v>1426</v>
      </c>
      <c r="N178" s="856" t="s">
        <v>1368</v>
      </c>
      <c r="O178" s="906" t="s">
        <v>1435</v>
      </c>
      <c r="P178" s="856" t="s">
        <v>1370</v>
      </c>
      <c r="Q178" s="856" t="s">
        <v>1371</v>
      </c>
      <c r="R178" s="856" t="s">
        <v>1365</v>
      </c>
      <c r="S178" s="232" t="s">
        <v>1365</v>
      </c>
    </row>
    <row r="179" spans="1:19" ht="43" customHeight="1" x14ac:dyDescent="0.35">
      <c r="A179" s="234">
        <v>55121621</v>
      </c>
      <c r="B179" s="851" t="s">
        <v>1167</v>
      </c>
      <c r="C179" s="234" t="s">
        <v>69</v>
      </c>
      <c r="D179" s="874" t="s">
        <v>69</v>
      </c>
      <c r="E179" s="874">
        <v>36</v>
      </c>
      <c r="F179" s="174" t="s">
        <v>1353</v>
      </c>
      <c r="G179" s="874" t="s">
        <v>1355</v>
      </c>
      <c r="H179" s="233" t="s">
        <v>1359</v>
      </c>
      <c r="I179" s="881">
        <v>52054002.210000001</v>
      </c>
      <c r="J179" s="883">
        <v>16405296</v>
      </c>
      <c r="K179" s="851" t="s">
        <v>1373</v>
      </c>
      <c r="L179" s="851" t="s">
        <v>1417</v>
      </c>
      <c r="M179" s="234" t="s">
        <v>1426</v>
      </c>
      <c r="N179" s="856" t="s">
        <v>1368</v>
      </c>
      <c r="O179" s="906" t="s">
        <v>1435</v>
      </c>
      <c r="P179" s="856" t="s">
        <v>1370</v>
      </c>
      <c r="Q179" s="856" t="s">
        <v>1371</v>
      </c>
      <c r="R179" s="856" t="s">
        <v>1365</v>
      </c>
      <c r="S179" s="232" t="s">
        <v>1365</v>
      </c>
    </row>
    <row r="180" spans="1:19" ht="43" customHeight="1" x14ac:dyDescent="0.35">
      <c r="A180" s="234">
        <v>72101511</v>
      </c>
      <c r="B180" s="851" t="s">
        <v>1168</v>
      </c>
      <c r="C180" s="234" t="s">
        <v>76</v>
      </c>
      <c r="D180" s="874" t="s">
        <v>77</v>
      </c>
      <c r="E180" s="874">
        <v>12</v>
      </c>
      <c r="F180" s="174" t="s">
        <v>1353</v>
      </c>
      <c r="G180" s="874" t="s">
        <v>1355</v>
      </c>
      <c r="H180" s="233" t="s">
        <v>1359</v>
      </c>
      <c r="I180" s="881">
        <v>52598483.140000001</v>
      </c>
      <c r="J180" s="883">
        <v>4154698.4873333336</v>
      </c>
      <c r="K180" s="851" t="s">
        <v>1373</v>
      </c>
      <c r="L180" s="851" t="s">
        <v>1374</v>
      </c>
      <c r="M180" s="234" t="s">
        <v>1426</v>
      </c>
      <c r="N180" s="856" t="s">
        <v>1368</v>
      </c>
      <c r="O180" s="906" t="s">
        <v>1435</v>
      </c>
      <c r="P180" s="856" t="s">
        <v>1370</v>
      </c>
      <c r="Q180" s="856" t="s">
        <v>1371</v>
      </c>
      <c r="R180" s="856" t="s">
        <v>1365</v>
      </c>
      <c r="S180" s="232" t="s">
        <v>1365</v>
      </c>
    </row>
    <row r="181" spans="1:19" ht="43" customHeight="1" x14ac:dyDescent="0.35">
      <c r="A181" s="234">
        <v>84131501</v>
      </c>
      <c r="B181" s="851" t="s">
        <v>1169</v>
      </c>
      <c r="C181" s="234" t="s">
        <v>77</v>
      </c>
      <c r="D181" s="874" t="s">
        <v>78</v>
      </c>
      <c r="E181" s="874">
        <v>12</v>
      </c>
      <c r="F181" s="174" t="s">
        <v>1353</v>
      </c>
      <c r="G181" s="874" t="s">
        <v>1355</v>
      </c>
      <c r="H181" s="233" t="s">
        <v>1359</v>
      </c>
      <c r="I181" s="881">
        <v>0</v>
      </c>
      <c r="J181" s="883">
        <v>0</v>
      </c>
      <c r="K181" s="851" t="s">
        <v>1365</v>
      </c>
      <c r="L181" s="851" t="s">
        <v>1366</v>
      </c>
      <c r="M181" s="234" t="s">
        <v>1426</v>
      </c>
      <c r="N181" s="856" t="s">
        <v>1368</v>
      </c>
      <c r="O181" s="906" t="s">
        <v>1435</v>
      </c>
      <c r="P181" s="856" t="s">
        <v>1370</v>
      </c>
      <c r="Q181" s="856" t="s">
        <v>1371</v>
      </c>
      <c r="R181" s="856" t="s">
        <v>1365</v>
      </c>
      <c r="S181" s="232" t="s">
        <v>1365</v>
      </c>
    </row>
    <row r="182" spans="1:19" ht="43" customHeight="1" x14ac:dyDescent="0.35">
      <c r="A182" s="234">
        <v>48101505</v>
      </c>
      <c r="B182" s="851" t="s">
        <v>1170</v>
      </c>
      <c r="C182" s="234" t="s">
        <v>72</v>
      </c>
      <c r="D182" s="874" t="s">
        <v>73</v>
      </c>
      <c r="E182" s="874">
        <v>12</v>
      </c>
      <c r="F182" s="174" t="s">
        <v>1353</v>
      </c>
      <c r="G182" s="874" t="s">
        <v>1355</v>
      </c>
      <c r="H182" s="233" t="s">
        <v>1359</v>
      </c>
      <c r="I182" s="881">
        <v>43542888.545000002</v>
      </c>
      <c r="J182" s="883">
        <v>36590662.642857142</v>
      </c>
      <c r="K182" s="851" t="s">
        <v>1365</v>
      </c>
      <c r="L182" s="851" t="s">
        <v>1366</v>
      </c>
      <c r="M182" s="234" t="s">
        <v>1426</v>
      </c>
      <c r="N182" s="856" t="s">
        <v>1368</v>
      </c>
      <c r="O182" s="906" t="s">
        <v>1435</v>
      </c>
      <c r="P182" s="856" t="s">
        <v>1370</v>
      </c>
      <c r="Q182" s="856" t="s">
        <v>1371</v>
      </c>
      <c r="R182" s="856" t="s">
        <v>1365</v>
      </c>
      <c r="S182" s="232" t="s">
        <v>1365</v>
      </c>
    </row>
    <row r="183" spans="1:19" ht="43" customHeight="1" x14ac:dyDescent="0.35">
      <c r="A183" s="234">
        <v>55101506</v>
      </c>
      <c r="B183" s="851" t="s">
        <v>1171</v>
      </c>
      <c r="C183" s="234" t="s">
        <v>69</v>
      </c>
      <c r="D183" s="874" t="s">
        <v>69</v>
      </c>
      <c r="E183" s="874">
        <v>12</v>
      </c>
      <c r="F183" s="174" t="s">
        <v>1353</v>
      </c>
      <c r="G183" s="874" t="s">
        <v>1355</v>
      </c>
      <c r="H183" s="233" t="s">
        <v>1359</v>
      </c>
      <c r="I183" s="881">
        <v>2689811.74</v>
      </c>
      <c r="J183" s="894">
        <v>2260346</v>
      </c>
      <c r="K183" s="851" t="s">
        <v>1365</v>
      </c>
      <c r="L183" s="851" t="s">
        <v>1366</v>
      </c>
      <c r="M183" s="234" t="s">
        <v>1426</v>
      </c>
      <c r="N183" s="856" t="s">
        <v>1368</v>
      </c>
      <c r="O183" s="906" t="s">
        <v>1435</v>
      </c>
      <c r="P183" s="856" t="s">
        <v>1370</v>
      </c>
      <c r="Q183" s="856" t="s">
        <v>1371</v>
      </c>
      <c r="R183" s="856" t="s">
        <v>1365</v>
      </c>
      <c r="S183" s="232" t="s">
        <v>1365</v>
      </c>
    </row>
    <row r="184" spans="1:19" ht="43" customHeight="1" x14ac:dyDescent="0.35">
      <c r="A184" s="234">
        <v>84131501</v>
      </c>
      <c r="B184" s="851" t="s">
        <v>1172</v>
      </c>
      <c r="C184" s="234" t="s">
        <v>77</v>
      </c>
      <c r="D184" s="874" t="s">
        <v>78</v>
      </c>
      <c r="E184" s="874">
        <v>12</v>
      </c>
      <c r="F184" s="174" t="s">
        <v>1353</v>
      </c>
      <c r="G184" s="874" t="s">
        <v>1356</v>
      </c>
      <c r="H184" s="233" t="s">
        <v>1359</v>
      </c>
      <c r="I184" s="881">
        <v>2337977191.4688001</v>
      </c>
      <c r="J184" s="883">
        <v>2688673770.1891198</v>
      </c>
      <c r="K184" s="851" t="s">
        <v>1365</v>
      </c>
      <c r="L184" s="851" t="s">
        <v>1366</v>
      </c>
      <c r="M184" s="234" t="s">
        <v>1426</v>
      </c>
      <c r="N184" s="856" t="s">
        <v>1368</v>
      </c>
      <c r="O184" s="906" t="s">
        <v>1435</v>
      </c>
      <c r="P184" s="856" t="s">
        <v>1370</v>
      </c>
      <c r="Q184" s="856" t="s">
        <v>1371</v>
      </c>
      <c r="R184" s="856" t="s">
        <v>1365</v>
      </c>
      <c r="S184" s="232" t="s">
        <v>1365</v>
      </c>
    </row>
    <row r="185" spans="1:19" ht="43" customHeight="1" x14ac:dyDescent="0.35">
      <c r="A185" s="234">
        <v>72154028</v>
      </c>
      <c r="B185" s="851" t="s">
        <v>1173</v>
      </c>
      <c r="C185" s="234" t="s">
        <v>77</v>
      </c>
      <c r="D185" s="874" t="s">
        <v>78</v>
      </c>
      <c r="E185" s="874">
        <v>12</v>
      </c>
      <c r="F185" s="174" t="s">
        <v>1353</v>
      </c>
      <c r="G185" s="874" t="s">
        <v>1355</v>
      </c>
      <c r="H185" s="233" t="s">
        <v>1359</v>
      </c>
      <c r="I185" s="881">
        <v>56749034.160000011</v>
      </c>
      <c r="J185" s="883">
        <v>0</v>
      </c>
      <c r="K185" s="851" t="s">
        <v>1365</v>
      </c>
      <c r="L185" s="851" t="s">
        <v>1366</v>
      </c>
      <c r="M185" s="234" t="s">
        <v>1426</v>
      </c>
      <c r="N185" s="856" t="s">
        <v>1368</v>
      </c>
      <c r="O185" s="906" t="s">
        <v>1435</v>
      </c>
      <c r="P185" s="856" t="s">
        <v>1370</v>
      </c>
      <c r="Q185" s="856" t="s">
        <v>1371</v>
      </c>
      <c r="R185" s="856" t="s">
        <v>1365</v>
      </c>
      <c r="S185" s="232" t="s">
        <v>1365</v>
      </c>
    </row>
    <row r="186" spans="1:19" ht="43" customHeight="1" x14ac:dyDescent="0.35">
      <c r="A186" s="837" t="s">
        <v>995</v>
      </c>
      <c r="B186" s="851" t="s">
        <v>1174</v>
      </c>
      <c r="C186" s="234" t="s">
        <v>76</v>
      </c>
      <c r="D186" s="874" t="s">
        <v>77</v>
      </c>
      <c r="E186" s="874">
        <v>36</v>
      </c>
      <c r="F186" s="174" t="s">
        <v>1353</v>
      </c>
      <c r="G186" s="874" t="s">
        <v>1355</v>
      </c>
      <c r="H186" s="233" t="s">
        <v>1359</v>
      </c>
      <c r="I186" s="881">
        <v>54303751.950000003</v>
      </c>
      <c r="J186" s="883">
        <v>41896119</v>
      </c>
      <c r="K186" s="851" t="s">
        <v>1373</v>
      </c>
      <c r="L186" s="851" t="s">
        <v>1374</v>
      </c>
      <c r="M186" s="234" t="s">
        <v>1426</v>
      </c>
      <c r="N186" s="856" t="s">
        <v>1368</v>
      </c>
      <c r="O186" s="906" t="s">
        <v>1435</v>
      </c>
      <c r="P186" s="856" t="s">
        <v>1370</v>
      </c>
      <c r="Q186" s="856" t="s">
        <v>1371</v>
      </c>
      <c r="R186" s="856" t="s">
        <v>1365</v>
      </c>
      <c r="S186" s="232" t="s">
        <v>1365</v>
      </c>
    </row>
    <row r="187" spans="1:19" ht="43" customHeight="1" x14ac:dyDescent="0.35">
      <c r="A187" s="838" t="s">
        <v>996</v>
      </c>
      <c r="B187" s="851" t="s">
        <v>1175</v>
      </c>
      <c r="C187" s="234" t="s">
        <v>76</v>
      </c>
      <c r="D187" s="874" t="s">
        <v>77</v>
      </c>
      <c r="E187" s="874">
        <v>36</v>
      </c>
      <c r="F187" s="174" t="s">
        <v>1353</v>
      </c>
      <c r="G187" s="874" t="s">
        <v>1355</v>
      </c>
      <c r="H187" s="233" t="s">
        <v>1359</v>
      </c>
      <c r="I187" s="881">
        <v>8684981.7599999998</v>
      </c>
      <c r="J187" s="883">
        <v>2432768</v>
      </c>
      <c r="K187" s="851" t="s">
        <v>1373</v>
      </c>
      <c r="L187" s="851" t="s">
        <v>1374</v>
      </c>
      <c r="M187" s="234" t="s">
        <v>1426</v>
      </c>
      <c r="N187" s="856" t="s">
        <v>1368</v>
      </c>
      <c r="O187" s="906" t="s">
        <v>1435</v>
      </c>
      <c r="P187" s="856" t="s">
        <v>1370</v>
      </c>
      <c r="Q187" s="856" t="s">
        <v>1371</v>
      </c>
      <c r="R187" s="856" t="s">
        <v>1365</v>
      </c>
      <c r="S187" s="232" t="s">
        <v>1365</v>
      </c>
    </row>
    <row r="188" spans="1:19" ht="43" customHeight="1" x14ac:dyDescent="0.35">
      <c r="A188" s="234">
        <v>55101506</v>
      </c>
      <c r="B188" s="851" t="s">
        <v>1176</v>
      </c>
      <c r="C188" s="234" t="s">
        <v>77</v>
      </c>
      <c r="D188" s="874" t="s">
        <v>78</v>
      </c>
      <c r="E188" s="874">
        <v>24</v>
      </c>
      <c r="F188" s="174" t="s">
        <v>1353</v>
      </c>
      <c r="G188" s="874" t="s">
        <v>1355</v>
      </c>
      <c r="H188" s="233" t="s">
        <v>1359</v>
      </c>
      <c r="I188" s="881">
        <v>43690247.971324503</v>
      </c>
      <c r="J188" s="883">
        <v>0</v>
      </c>
      <c r="K188" s="851" t="s">
        <v>1365</v>
      </c>
      <c r="L188" s="851" t="s">
        <v>1366</v>
      </c>
      <c r="M188" s="234" t="s">
        <v>1426</v>
      </c>
      <c r="N188" s="856" t="s">
        <v>1368</v>
      </c>
      <c r="O188" s="906" t="s">
        <v>1435</v>
      </c>
      <c r="P188" s="856" t="s">
        <v>1370</v>
      </c>
      <c r="Q188" s="856" t="s">
        <v>1371</v>
      </c>
      <c r="R188" s="856" t="s">
        <v>1365</v>
      </c>
      <c r="S188" s="232" t="s">
        <v>1365</v>
      </c>
    </row>
    <row r="189" spans="1:19" ht="43" customHeight="1" x14ac:dyDescent="0.35">
      <c r="A189" s="838" t="s">
        <v>997</v>
      </c>
      <c r="B189" s="849" t="s">
        <v>1177</v>
      </c>
      <c r="C189" s="234" t="s">
        <v>69</v>
      </c>
      <c r="D189" s="874" t="s">
        <v>70</v>
      </c>
      <c r="E189" s="874">
        <v>12</v>
      </c>
      <c r="F189" s="174" t="s">
        <v>1353</v>
      </c>
      <c r="G189" s="874" t="s">
        <v>1355</v>
      </c>
      <c r="H189" s="233" t="s">
        <v>1359</v>
      </c>
      <c r="I189" s="881">
        <v>20031582.969999999</v>
      </c>
      <c r="J189" s="883">
        <v>14458500</v>
      </c>
      <c r="K189" s="851" t="s">
        <v>1373</v>
      </c>
      <c r="L189" s="851" t="s">
        <v>1374</v>
      </c>
      <c r="M189" s="234" t="s">
        <v>1426</v>
      </c>
      <c r="N189" s="856" t="s">
        <v>1368</v>
      </c>
      <c r="O189" s="906" t="s">
        <v>1435</v>
      </c>
      <c r="P189" s="856" t="s">
        <v>1370</v>
      </c>
      <c r="Q189" s="856" t="s">
        <v>1371</v>
      </c>
      <c r="R189" s="856" t="s">
        <v>1365</v>
      </c>
      <c r="S189" s="232" t="s">
        <v>1365</v>
      </c>
    </row>
    <row r="190" spans="1:19" ht="43" customHeight="1" x14ac:dyDescent="0.35">
      <c r="A190" s="838" t="s">
        <v>998</v>
      </c>
      <c r="B190" s="849" t="s">
        <v>1178</v>
      </c>
      <c r="C190" s="234" t="s">
        <v>69</v>
      </c>
      <c r="D190" s="874" t="s">
        <v>70</v>
      </c>
      <c r="E190" s="874">
        <v>24</v>
      </c>
      <c r="F190" s="174" t="s">
        <v>1353</v>
      </c>
      <c r="G190" s="874" t="s">
        <v>1356</v>
      </c>
      <c r="H190" s="233" t="s">
        <v>1359</v>
      </c>
      <c r="I190" s="881">
        <v>3927805826.5165997</v>
      </c>
      <c r="J190" s="883">
        <v>1049608198.24</v>
      </c>
      <c r="K190" s="851" t="s">
        <v>1373</v>
      </c>
      <c r="L190" s="851" t="s">
        <v>1436</v>
      </c>
      <c r="M190" s="234" t="s">
        <v>1426</v>
      </c>
      <c r="N190" s="856" t="s">
        <v>1368</v>
      </c>
      <c r="O190" s="906" t="s">
        <v>1435</v>
      </c>
      <c r="P190" s="856" t="s">
        <v>1370</v>
      </c>
      <c r="Q190" s="856" t="s">
        <v>1371</v>
      </c>
      <c r="R190" s="856" t="s">
        <v>1365</v>
      </c>
      <c r="S190" s="232" t="s">
        <v>1365</v>
      </c>
    </row>
    <row r="191" spans="1:19" ht="43" customHeight="1" x14ac:dyDescent="0.35">
      <c r="A191" s="836">
        <v>92101501</v>
      </c>
      <c r="B191" s="849" t="s">
        <v>1179</v>
      </c>
      <c r="C191" s="234" t="s">
        <v>78</v>
      </c>
      <c r="D191" s="233" t="s">
        <v>69</v>
      </c>
      <c r="E191" s="874">
        <v>24</v>
      </c>
      <c r="F191" s="174" t="s">
        <v>1353</v>
      </c>
      <c r="G191" s="874" t="s">
        <v>1356</v>
      </c>
      <c r="H191" s="233" t="s">
        <v>1359</v>
      </c>
      <c r="I191" s="881">
        <v>5274431796.9535055</v>
      </c>
      <c r="J191" s="883">
        <v>1853702610.8579998</v>
      </c>
      <c r="K191" s="851" t="s">
        <v>1373</v>
      </c>
      <c r="L191" s="851" t="s">
        <v>1436</v>
      </c>
      <c r="M191" s="234" t="s">
        <v>1426</v>
      </c>
      <c r="N191" s="856" t="s">
        <v>1368</v>
      </c>
      <c r="O191" s="906" t="s">
        <v>1435</v>
      </c>
      <c r="P191" s="856" t="s">
        <v>1370</v>
      </c>
      <c r="Q191" s="856" t="s">
        <v>1371</v>
      </c>
      <c r="R191" s="856" t="s">
        <v>1365</v>
      </c>
      <c r="S191" s="232" t="s">
        <v>1365</v>
      </c>
    </row>
    <row r="192" spans="1:19" ht="43" customHeight="1" x14ac:dyDescent="0.35">
      <c r="A192" s="234">
        <v>80131500</v>
      </c>
      <c r="B192" s="857" t="s">
        <v>1180</v>
      </c>
      <c r="C192" s="234" t="s">
        <v>70</v>
      </c>
      <c r="D192" s="874" t="s">
        <v>72</v>
      </c>
      <c r="E192" s="874">
        <v>12</v>
      </c>
      <c r="F192" s="174" t="s">
        <v>1353</v>
      </c>
      <c r="G192" s="874" t="s">
        <v>1355</v>
      </c>
      <c r="H192" s="233" t="s">
        <v>1359</v>
      </c>
      <c r="I192" s="881">
        <v>46610962.874111995</v>
      </c>
      <c r="J192" s="883">
        <v>39168876.364799999</v>
      </c>
      <c r="K192" s="851" t="s">
        <v>1365</v>
      </c>
      <c r="L192" s="851" t="s">
        <v>1366</v>
      </c>
      <c r="M192" s="234" t="s">
        <v>1426</v>
      </c>
      <c r="N192" s="856" t="s">
        <v>1368</v>
      </c>
      <c r="O192" s="906" t="s">
        <v>1437</v>
      </c>
      <c r="P192" s="856" t="s">
        <v>1370</v>
      </c>
      <c r="Q192" s="856" t="s">
        <v>1371</v>
      </c>
      <c r="R192" s="856" t="s">
        <v>1365</v>
      </c>
      <c r="S192" s="232" t="s">
        <v>1365</v>
      </c>
    </row>
    <row r="193" spans="1:19" ht="43" customHeight="1" x14ac:dyDescent="0.35">
      <c r="A193" s="234">
        <v>80131500</v>
      </c>
      <c r="B193" s="857" t="s">
        <v>1181</v>
      </c>
      <c r="C193" s="234" t="s">
        <v>74</v>
      </c>
      <c r="D193" s="874" t="s">
        <v>75</v>
      </c>
      <c r="E193" s="874">
        <v>12</v>
      </c>
      <c r="F193" s="174" t="s">
        <v>1353</v>
      </c>
      <c r="G193" s="874" t="s">
        <v>1355</v>
      </c>
      <c r="H193" s="233" t="s">
        <v>1359</v>
      </c>
      <c r="I193" s="881">
        <v>36499032.224928007</v>
      </c>
      <c r="J193" s="883">
        <v>30671455.651200008</v>
      </c>
      <c r="K193" s="851" t="s">
        <v>1365</v>
      </c>
      <c r="L193" s="851" t="s">
        <v>1366</v>
      </c>
      <c r="M193" s="234" t="s">
        <v>1426</v>
      </c>
      <c r="N193" s="856" t="s">
        <v>1368</v>
      </c>
      <c r="O193" s="906" t="s">
        <v>1437</v>
      </c>
      <c r="P193" s="856" t="s">
        <v>1370</v>
      </c>
      <c r="Q193" s="856" t="s">
        <v>1371</v>
      </c>
      <c r="R193" s="856" t="s">
        <v>1365</v>
      </c>
      <c r="S193" s="232" t="s">
        <v>1365</v>
      </c>
    </row>
    <row r="194" spans="1:19" ht="43" customHeight="1" x14ac:dyDescent="0.35">
      <c r="A194" s="234">
        <v>78101801</v>
      </c>
      <c r="B194" s="851" t="s">
        <v>1182</v>
      </c>
      <c r="C194" s="234" t="s">
        <v>76</v>
      </c>
      <c r="D194" s="874" t="s">
        <v>77</v>
      </c>
      <c r="E194" s="874">
        <v>3</v>
      </c>
      <c r="F194" s="174" t="s">
        <v>1353</v>
      </c>
      <c r="G194" s="874" t="s">
        <v>1355</v>
      </c>
      <c r="H194" s="233" t="s">
        <v>1359</v>
      </c>
      <c r="I194" s="881">
        <v>12840486.75</v>
      </c>
      <c r="J194" s="883">
        <v>10790325</v>
      </c>
      <c r="K194" s="851" t="s">
        <v>1365</v>
      </c>
      <c r="L194" s="851" t="s">
        <v>1366</v>
      </c>
      <c r="M194" s="234" t="s">
        <v>1426</v>
      </c>
      <c r="N194" s="856" t="s">
        <v>1368</v>
      </c>
      <c r="O194" s="906" t="s">
        <v>1437</v>
      </c>
      <c r="P194" s="856" t="s">
        <v>1370</v>
      </c>
      <c r="Q194" s="856" t="s">
        <v>1371</v>
      </c>
      <c r="R194" s="856" t="s">
        <v>1365</v>
      </c>
      <c r="S194" s="232" t="s">
        <v>1365</v>
      </c>
    </row>
    <row r="195" spans="1:19" ht="43" customHeight="1" x14ac:dyDescent="0.35">
      <c r="A195" s="234">
        <v>43232804</v>
      </c>
      <c r="B195" s="851" t="s">
        <v>1183</v>
      </c>
      <c r="C195" s="234" t="s">
        <v>75</v>
      </c>
      <c r="D195" s="874" t="s">
        <v>76</v>
      </c>
      <c r="E195" s="874">
        <v>24</v>
      </c>
      <c r="F195" s="174" t="s">
        <v>1353</v>
      </c>
      <c r="G195" s="874" t="s">
        <v>1355</v>
      </c>
      <c r="H195" s="233" t="s">
        <v>1359</v>
      </c>
      <c r="I195" s="881">
        <v>145868682.69053751</v>
      </c>
      <c r="J195" s="883">
        <v>98466910</v>
      </c>
      <c r="K195" s="851" t="s">
        <v>1373</v>
      </c>
      <c r="L195" s="851" t="s">
        <v>1374</v>
      </c>
      <c r="M195" s="234" t="s">
        <v>1426</v>
      </c>
      <c r="N195" s="856" t="s">
        <v>1368</v>
      </c>
      <c r="O195" s="906" t="s">
        <v>1437</v>
      </c>
      <c r="P195" s="856" t="s">
        <v>1370</v>
      </c>
      <c r="Q195" s="856" t="s">
        <v>1371</v>
      </c>
      <c r="R195" s="856" t="s">
        <v>1365</v>
      </c>
      <c r="S195" s="232" t="s">
        <v>1365</v>
      </c>
    </row>
    <row r="196" spans="1:19" ht="43" customHeight="1" x14ac:dyDescent="0.35">
      <c r="A196" s="234">
        <v>80131802</v>
      </c>
      <c r="B196" s="851" t="s">
        <v>1184</v>
      </c>
      <c r="C196" s="234" t="s">
        <v>71</v>
      </c>
      <c r="D196" s="874" t="s">
        <v>72</v>
      </c>
      <c r="E196" s="874">
        <v>36</v>
      </c>
      <c r="F196" s="174" t="s">
        <v>1353</v>
      </c>
      <c r="G196" s="874" t="s">
        <v>1354</v>
      </c>
      <c r="H196" s="233" t="s">
        <v>1359</v>
      </c>
      <c r="I196" s="881">
        <v>189307440.06481454</v>
      </c>
      <c r="J196" s="883">
        <v>62874018.871950008</v>
      </c>
      <c r="K196" s="851" t="s">
        <v>1373</v>
      </c>
      <c r="L196" s="851" t="s">
        <v>1374</v>
      </c>
      <c r="M196" s="234" t="s">
        <v>1426</v>
      </c>
      <c r="N196" s="856" t="s">
        <v>1368</v>
      </c>
      <c r="O196" s="906" t="s">
        <v>1437</v>
      </c>
      <c r="P196" s="856" t="s">
        <v>1370</v>
      </c>
      <c r="Q196" s="856" t="s">
        <v>1371</v>
      </c>
      <c r="R196" s="856" t="s">
        <v>1365</v>
      </c>
      <c r="S196" s="232" t="s">
        <v>1365</v>
      </c>
    </row>
    <row r="197" spans="1:19" ht="43" customHeight="1" x14ac:dyDescent="0.35">
      <c r="A197" s="234">
        <v>93151507</v>
      </c>
      <c r="B197" s="851" t="s">
        <v>1185</v>
      </c>
      <c r="C197" s="234" t="s">
        <v>74</v>
      </c>
      <c r="D197" s="874" t="s">
        <v>75</v>
      </c>
      <c r="E197" s="874">
        <v>12</v>
      </c>
      <c r="F197" s="174" t="s">
        <v>1353</v>
      </c>
      <c r="G197" s="874" t="s">
        <v>1355</v>
      </c>
      <c r="H197" s="233" t="s">
        <v>1359</v>
      </c>
      <c r="I197" s="881">
        <v>25209667.097999997</v>
      </c>
      <c r="J197" s="883">
        <v>25209667</v>
      </c>
      <c r="K197" s="851" t="s">
        <v>1373</v>
      </c>
      <c r="L197" s="851" t="s">
        <v>1374</v>
      </c>
      <c r="M197" s="234" t="s">
        <v>1426</v>
      </c>
      <c r="N197" s="856" t="s">
        <v>1368</v>
      </c>
      <c r="O197" s="906" t="s">
        <v>1437</v>
      </c>
      <c r="P197" s="856" t="s">
        <v>1370</v>
      </c>
      <c r="Q197" s="856" t="s">
        <v>1371</v>
      </c>
      <c r="R197" s="856" t="s">
        <v>1365</v>
      </c>
      <c r="S197" s="232" t="s">
        <v>1365</v>
      </c>
    </row>
    <row r="198" spans="1:19" ht="43" customHeight="1" x14ac:dyDescent="0.35">
      <c r="A198" s="234">
        <v>78102206</v>
      </c>
      <c r="B198" s="849" t="s">
        <v>1186</v>
      </c>
      <c r="C198" s="233" t="s">
        <v>69</v>
      </c>
      <c r="D198" s="233" t="s">
        <v>69</v>
      </c>
      <c r="E198" s="874">
        <v>24</v>
      </c>
      <c r="F198" s="174" t="s">
        <v>1353</v>
      </c>
      <c r="G198" s="874" t="s">
        <v>1356</v>
      </c>
      <c r="H198" s="233" t="s">
        <v>1359</v>
      </c>
      <c r="I198" s="881">
        <v>1387063449</v>
      </c>
      <c r="J198" s="883">
        <v>599315057</v>
      </c>
      <c r="K198" s="851" t="s">
        <v>1373</v>
      </c>
      <c r="L198" s="851" t="s">
        <v>1374</v>
      </c>
      <c r="M198" s="234" t="s">
        <v>1426</v>
      </c>
      <c r="N198" s="856" t="s">
        <v>1368</v>
      </c>
      <c r="O198" s="906" t="s">
        <v>1438</v>
      </c>
      <c r="P198" s="856" t="s">
        <v>1370</v>
      </c>
      <c r="Q198" s="856" t="s">
        <v>1371</v>
      </c>
      <c r="R198" s="856" t="s">
        <v>1365</v>
      </c>
      <c r="S198" s="232" t="s">
        <v>1365</v>
      </c>
    </row>
    <row r="199" spans="1:19" ht="43" customHeight="1" x14ac:dyDescent="0.35">
      <c r="A199" s="234">
        <v>25101509</v>
      </c>
      <c r="B199" s="851" t="s">
        <v>1187</v>
      </c>
      <c r="C199" s="234" t="s">
        <v>70</v>
      </c>
      <c r="D199" s="874" t="s">
        <v>71</v>
      </c>
      <c r="E199" s="874">
        <v>3</v>
      </c>
      <c r="F199" s="174" t="s">
        <v>1353</v>
      </c>
      <c r="G199" s="874" t="s">
        <v>1354</v>
      </c>
      <c r="H199" s="233" t="s">
        <v>1359</v>
      </c>
      <c r="I199" s="881">
        <v>285600000</v>
      </c>
      <c r="J199" s="883">
        <v>285600000</v>
      </c>
      <c r="K199" s="851" t="s">
        <v>1365</v>
      </c>
      <c r="L199" s="851" t="s">
        <v>1366</v>
      </c>
      <c r="M199" s="234" t="s">
        <v>1426</v>
      </c>
      <c r="N199" s="856" t="s">
        <v>1368</v>
      </c>
      <c r="O199" s="906" t="s">
        <v>1438</v>
      </c>
      <c r="P199" s="856" t="s">
        <v>1370</v>
      </c>
      <c r="Q199" s="856" t="s">
        <v>1371</v>
      </c>
      <c r="R199" s="856" t="s">
        <v>1365</v>
      </c>
      <c r="S199" s="232" t="s">
        <v>1365</v>
      </c>
    </row>
    <row r="200" spans="1:19" ht="43" customHeight="1" x14ac:dyDescent="0.35">
      <c r="A200" s="837" t="s">
        <v>999</v>
      </c>
      <c r="B200" s="851" t="s">
        <v>1188</v>
      </c>
      <c r="C200" s="234" t="s">
        <v>71</v>
      </c>
      <c r="D200" s="874" t="s">
        <v>72</v>
      </c>
      <c r="E200" s="874">
        <v>7</v>
      </c>
      <c r="F200" s="174" t="s">
        <v>1353</v>
      </c>
      <c r="G200" s="874" t="s">
        <v>1354</v>
      </c>
      <c r="H200" s="233" t="s">
        <v>1359</v>
      </c>
      <c r="I200" s="881">
        <v>84368152.329999998</v>
      </c>
      <c r="J200" s="883">
        <v>84368152.329999998</v>
      </c>
      <c r="K200" s="851" t="s">
        <v>1365</v>
      </c>
      <c r="L200" s="851" t="s">
        <v>1366</v>
      </c>
      <c r="M200" s="234" t="s">
        <v>1426</v>
      </c>
      <c r="N200" s="856" t="s">
        <v>1368</v>
      </c>
      <c r="O200" s="906" t="s">
        <v>1438</v>
      </c>
      <c r="P200" s="856" t="s">
        <v>1370</v>
      </c>
      <c r="Q200" s="856" t="s">
        <v>1371</v>
      </c>
      <c r="R200" s="856" t="s">
        <v>1365</v>
      </c>
      <c r="S200" s="232" t="s">
        <v>1365</v>
      </c>
    </row>
    <row r="201" spans="1:19" ht="43" customHeight="1" x14ac:dyDescent="0.35">
      <c r="A201" s="234">
        <v>81161600</v>
      </c>
      <c r="B201" s="851" t="s">
        <v>1189</v>
      </c>
      <c r="C201" s="234" t="s">
        <v>70</v>
      </c>
      <c r="D201" s="874" t="s">
        <v>70</v>
      </c>
      <c r="E201" s="874">
        <v>8</v>
      </c>
      <c r="F201" s="174" t="s">
        <v>1353</v>
      </c>
      <c r="G201" s="874" t="s">
        <v>1355</v>
      </c>
      <c r="H201" s="233" t="s">
        <v>1359</v>
      </c>
      <c r="I201" s="881">
        <v>107766400</v>
      </c>
      <c r="J201" s="883">
        <v>107766400</v>
      </c>
      <c r="K201" s="851" t="s">
        <v>1365</v>
      </c>
      <c r="L201" s="851" t="s">
        <v>1366</v>
      </c>
      <c r="M201" s="234" t="s">
        <v>1426</v>
      </c>
      <c r="N201" s="856" t="s">
        <v>1368</v>
      </c>
      <c r="O201" s="906" t="s">
        <v>1439</v>
      </c>
      <c r="P201" s="856" t="s">
        <v>1370</v>
      </c>
      <c r="Q201" s="856" t="s">
        <v>1371</v>
      </c>
      <c r="R201" s="856" t="s">
        <v>1365</v>
      </c>
      <c r="S201" s="232" t="s">
        <v>1365</v>
      </c>
    </row>
    <row r="202" spans="1:19" ht="43" customHeight="1" x14ac:dyDescent="0.35">
      <c r="A202" s="837" t="s">
        <v>1000</v>
      </c>
      <c r="B202" s="851" t="s">
        <v>1190</v>
      </c>
      <c r="C202" s="234" t="s">
        <v>69</v>
      </c>
      <c r="D202" s="874" t="s">
        <v>70</v>
      </c>
      <c r="E202" s="874">
        <v>3</v>
      </c>
      <c r="F202" s="174" t="s">
        <v>1353</v>
      </c>
      <c r="G202" s="874" t="s">
        <v>1355</v>
      </c>
      <c r="H202" s="233" t="s">
        <v>1359</v>
      </c>
      <c r="I202" s="881">
        <v>47600000</v>
      </c>
      <c r="J202" s="883">
        <v>47600000</v>
      </c>
      <c r="K202" s="851" t="s">
        <v>1365</v>
      </c>
      <c r="L202" s="851" t="s">
        <v>1366</v>
      </c>
      <c r="M202" s="234" t="s">
        <v>1426</v>
      </c>
      <c r="N202" s="856" t="s">
        <v>1368</v>
      </c>
      <c r="O202" s="906" t="s">
        <v>1440</v>
      </c>
      <c r="P202" s="856" t="s">
        <v>1370</v>
      </c>
      <c r="Q202" s="856" t="s">
        <v>1371</v>
      </c>
      <c r="R202" s="856" t="s">
        <v>1365</v>
      </c>
      <c r="S202" s="232" t="s">
        <v>1365</v>
      </c>
    </row>
    <row r="203" spans="1:19" ht="43" customHeight="1" x14ac:dyDescent="0.35">
      <c r="A203" s="234">
        <v>31162800</v>
      </c>
      <c r="B203" s="851" t="s">
        <v>1191</v>
      </c>
      <c r="C203" s="234" t="s">
        <v>69</v>
      </c>
      <c r="D203" s="874" t="s">
        <v>70</v>
      </c>
      <c r="E203" s="874">
        <v>12</v>
      </c>
      <c r="F203" s="174" t="s">
        <v>1353</v>
      </c>
      <c r="G203" s="874" t="s">
        <v>1354</v>
      </c>
      <c r="H203" s="233" t="s">
        <v>1359</v>
      </c>
      <c r="I203" s="881">
        <v>98754508.347949997</v>
      </c>
      <c r="J203" s="883">
        <v>98754508.347949997</v>
      </c>
      <c r="K203" s="851" t="s">
        <v>1365</v>
      </c>
      <c r="L203" s="851" t="s">
        <v>1366</v>
      </c>
      <c r="M203" s="234" t="s">
        <v>1426</v>
      </c>
      <c r="N203" s="856" t="s">
        <v>1368</v>
      </c>
      <c r="O203" s="906" t="s">
        <v>1440</v>
      </c>
      <c r="P203" s="856" t="s">
        <v>1370</v>
      </c>
      <c r="Q203" s="856" t="s">
        <v>1371</v>
      </c>
      <c r="R203" s="856" t="s">
        <v>1365</v>
      </c>
      <c r="S203" s="232" t="s">
        <v>1365</v>
      </c>
    </row>
    <row r="204" spans="1:19" ht="43" customHeight="1" x14ac:dyDescent="0.35">
      <c r="A204" s="234">
        <v>72153600</v>
      </c>
      <c r="B204" s="851" t="s">
        <v>1192</v>
      </c>
      <c r="C204" s="234" t="s">
        <v>70</v>
      </c>
      <c r="D204" s="874" t="s">
        <v>71</v>
      </c>
      <c r="E204" s="874">
        <v>12</v>
      </c>
      <c r="F204" s="174" t="s">
        <v>1353</v>
      </c>
      <c r="G204" s="874" t="s">
        <v>1354</v>
      </c>
      <c r="H204" s="233" t="s">
        <v>1359</v>
      </c>
      <c r="I204" s="881">
        <v>1618043568.8199999</v>
      </c>
      <c r="J204" s="883">
        <v>1618043568.8199999</v>
      </c>
      <c r="K204" s="851" t="s">
        <v>1365</v>
      </c>
      <c r="L204" s="851" t="s">
        <v>1366</v>
      </c>
      <c r="M204" s="234" t="s">
        <v>1426</v>
      </c>
      <c r="N204" s="856" t="s">
        <v>1368</v>
      </c>
      <c r="O204" s="906" t="s">
        <v>1440</v>
      </c>
      <c r="P204" s="856" t="s">
        <v>1370</v>
      </c>
      <c r="Q204" s="856" t="s">
        <v>1371</v>
      </c>
      <c r="R204" s="856" t="s">
        <v>1365</v>
      </c>
      <c r="S204" s="232" t="s">
        <v>1365</v>
      </c>
    </row>
    <row r="205" spans="1:19" ht="43" customHeight="1" x14ac:dyDescent="0.35">
      <c r="A205" s="234">
        <v>72153600</v>
      </c>
      <c r="B205" s="851" t="s">
        <v>1193</v>
      </c>
      <c r="C205" s="234" t="s">
        <v>69</v>
      </c>
      <c r="D205" s="874" t="s">
        <v>70</v>
      </c>
      <c r="E205" s="874">
        <v>5</v>
      </c>
      <c r="F205" s="174" t="s">
        <v>1353</v>
      </c>
      <c r="G205" s="874" t="s">
        <v>1356</v>
      </c>
      <c r="H205" s="233" t="s">
        <v>1359</v>
      </c>
      <c r="I205" s="881">
        <v>1538538872.71</v>
      </c>
      <c r="J205" s="883">
        <v>1538538872.71</v>
      </c>
      <c r="K205" s="851" t="s">
        <v>1365</v>
      </c>
      <c r="L205" s="851" t="s">
        <v>1366</v>
      </c>
      <c r="M205" s="234" t="s">
        <v>1426</v>
      </c>
      <c r="N205" s="856" t="s">
        <v>1368</v>
      </c>
      <c r="O205" s="906" t="s">
        <v>1440</v>
      </c>
      <c r="P205" s="856" t="s">
        <v>1370</v>
      </c>
      <c r="Q205" s="856" t="s">
        <v>1371</v>
      </c>
      <c r="R205" s="856" t="s">
        <v>1365</v>
      </c>
      <c r="S205" s="232" t="s">
        <v>1365</v>
      </c>
    </row>
    <row r="206" spans="1:19" ht="43" customHeight="1" x14ac:dyDescent="0.35">
      <c r="A206" s="234">
        <v>72153600</v>
      </c>
      <c r="B206" s="851" t="s">
        <v>1194</v>
      </c>
      <c r="C206" s="234" t="s">
        <v>69</v>
      </c>
      <c r="D206" s="874" t="s">
        <v>70</v>
      </c>
      <c r="E206" s="874">
        <v>3</v>
      </c>
      <c r="F206" s="174" t="s">
        <v>1353</v>
      </c>
      <c r="G206" s="874" t="s">
        <v>1354</v>
      </c>
      <c r="H206" s="233" t="s">
        <v>1359</v>
      </c>
      <c r="I206" s="881">
        <v>703996952.82000005</v>
      </c>
      <c r="J206" s="883">
        <v>703996952.82000005</v>
      </c>
      <c r="K206" s="851" t="s">
        <v>1365</v>
      </c>
      <c r="L206" s="851" t="s">
        <v>1366</v>
      </c>
      <c r="M206" s="234" t="s">
        <v>1426</v>
      </c>
      <c r="N206" s="856" t="s">
        <v>1368</v>
      </c>
      <c r="O206" s="906" t="s">
        <v>1440</v>
      </c>
      <c r="P206" s="856" t="s">
        <v>1370</v>
      </c>
      <c r="Q206" s="856" t="s">
        <v>1371</v>
      </c>
      <c r="R206" s="856" t="s">
        <v>1365</v>
      </c>
      <c r="S206" s="232" t="s">
        <v>1365</v>
      </c>
    </row>
    <row r="207" spans="1:19" ht="43" customHeight="1" x14ac:dyDescent="0.35">
      <c r="A207" s="234">
        <v>55101506</v>
      </c>
      <c r="B207" s="851" t="s">
        <v>1195</v>
      </c>
      <c r="C207" s="234" t="s">
        <v>69</v>
      </c>
      <c r="D207" s="874" t="s">
        <v>70</v>
      </c>
      <c r="E207" s="874">
        <v>24</v>
      </c>
      <c r="F207" s="174" t="s">
        <v>1353</v>
      </c>
      <c r="G207" s="874" t="s">
        <v>1355</v>
      </c>
      <c r="H207" s="233" t="s">
        <v>1359</v>
      </c>
      <c r="I207" s="881">
        <v>4000000</v>
      </c>
      <c r="J207" s="883">
        <v>4000000</v>
      </c>
      <c r="K207" s="851" t="s">
        <v>1365</v>
      </c>
      <c r="L207" s="851" t="s">
        <v>1366</v>
      </c>
      <c r="M207" s="234" t="s">
        <v>1426</v>
      </c>
      <c r="N207" s="856" t="s">
        <v>1368</v>
      </c>
      <c r="O207" s="906" t="s">
        <v>1435</v>
      </c>
      <c r="P207" s="856" t="s">
        <v>1370</v>
      </c>
      <c r="Q207" s="856" t="s">
        <v>1371</v>
      </c>
      <c r="R207" s="856" t="s">
        <v>1365</v>
      </c>
      <c r="S207" s="232" t="s">
        <v>1365</v>
      </c>
    </row>
    <row r="208" spans="1:19" ht="43" customHeight="1" x14ac:dyDescent="0.35">
      <c r="A208" s="234" t="s">
        <v>1001</v>
      </c>
      <c r="B208" s="851" t="s">
        <v>1196</v>
      </c>
      <c r="C208" s="234" t="s">
        <v>69</v>
      </c>
      <c r="D208" s="874" t="s">
        <v>69</v>
      </c>
      <c r="E208" s="874">
        <v>11</v>
      </c>
      <c r="F208" s="174" t="s">
        <v>1353</v>
      </c>
      <c r="G208" s="874" t="s">
        <v>1355</v>
      </c>
      <c r="H208" s="233" t="s">
        <v>1359</v>
      </c>
      <c r="I208" s="881">
        <v>23983513.469999999</v>
      </c>
      <c r="J208" s="883">
        <v>23983514</v>
      </c>
      <c r="K208" s="851" t="s">
        <v>1365</v>
      </c>
      <c r="L208" s="851" t="s">
        <v>1366</v>
      </c>
      <c r="M208" s="234" t="s">
        <v>1426</v>
      </c>
      <c r="N208" s="856" t="s">
        <v>1368</v>
      </c>
      <c r="O208" s="906" t="s">
        <v>1435</v>
      </c>
      <c r="P208" s="856" t="s">
        <v>1370</v>
      </c>
      <c r="Q208" s="856" t="s">
        <v>1371</v>
      </c>
      <c r="R208" s="856" t="s">
        <v>1365</v>
      </c>
      <c r="S208" s="232" t="s">
        <v>1365</v>
      </c>
    </row>
    <row r="209" spans="1:19" ht="43" customHeight="1" x14ac:dyDescent="0.35">
      <c r="A209" s="234" t="s">
        <v>1002</v>
      </c>
      <c r="B209" s="851" t="s">
        <v>1197</v>
      </c>
      <c r="C209" s="234" t="s">
        <v>69</v>
      </c>
      <c r="D209" s="234" t="s">
        <v>69</v>
      </c>
      <c r="E209" s="874">
        <v>3</v>
      </c>
      <c r="F209" s="174" t="s">
        <v>1353</v>
      </c>
      <c r="G209" s="874" t="s">
        <v>1354</v>
      </c>
      <c r="H209" s="233" t="s">
        <v>1359</v>
      </c>
      <c r="I209" s="881">
        <v>384627981</v>
      </c>
      <c r="J209" s="883">
        <v>384627981</v>
      </c>
      <c r="K209" s="851" t="s">
        <v>1365</v>
      </c>
      <c r="L209" s="851" t="s">
        <v>1366</v>
      </c>
      <c r="M209" s="234" t="s">
        <v>1426</v>
      </c>
      <c r="N209" s="856" t="s">
        <v>1368</v>
      </c>
      <c r="O209" s="906" t="s">
        <v>1438</v>
      </c>
      <c r="P209" s="856" t="s">
        <v>1370</v>
      </c>
      <c r="Q209" s="856" t="s">
        <v>1371</v>
      </c>
      <c r="R209" s="856" t="s">
        <v>1365</v>
      </c>
      <c r="S209" s="232" t="s">
        <v>1365</v>
      </c>
    </row>
    <row r="210" spans="1:19" ht="43" customHeight="1" x14ac:dyDescent="0.35">
      <c r="A210" s="234">
        <v>80101706</v>
      </c>
      <c r="B210" s="851" t="s">
        <v>1198</v>
      </c>
      <c r="C210" s="233" t="s">
        <v>80</v>
      </c>
      <c r="D210" s="233" t="s">
        <v>69</v>
      </c>
      <c r="E210" s="234">
        <v>12</v>
      </c>
      <c r="F210" s="174" t="s">
        <v>1353</v>
      </c>
      <c r="G210" s="233" t="s">
        <v>1355</v>
      </c>
      <c r="H210" s="233" t="s">
        <v>1359</v>
      </c>
      <c r="I210" s="881">
        <v>60960000</v>
      </c>
      <c r="J210" s="895">
        <v>60960000</v>
      </c>
      <c r="K210" s="907" t="s">
        <v>1365</v>
      </c>
      <c r="L210" s="907" t="s">
        <v>1366</v>
      </c>
      <c r="M210" s="234" t="s">
        <v>1426</v>
      </c>
      <c r="N210" s="856" t="s">
        <v>1368</v>
      </c>
      <c r="O210" s="906" t="s">
        <v>1427</v>
      </c>
      <c r="P210" s="856" t="s">
        <v>1370</v>
      </c>
      <c r="Q210" s="856" t="s">
        <v>1371</v>
      </c>
      <c r="R210" s="856" t="s">
        <v>1365</v>
      </c>
      <c r="S210" s="232" t="s">
        <v>1365</v>
      </c>
    </row>
    <row r="211" spans="1:19" ht="43" customHeight="1" x14ac:dyDescent="0.35">
      <c r="A211" s="233">
        <v>80101706</v>
      </c>
      <c r="B211" s="849" t="s">
        <v>1199</v>
      </c>
      <c r="C211" s="233" t="s">
        <v>69</v>
      </c>
      <c r="D211" s="233" t="s">
        <v>69</v>
      </c>
      <c r="E211" s="234">
        <v>12</v>
      </c>
      <c r="F211" s="174" t="s">
        <v>1353</v>
      </c>
      <c r="G211" s="233" t="s">
        <v>1355</v>
      </c>
      <c r="H211" s="233" t="s">
        <v>1359</v>
      </c>
      <c r="I211" s="881">
        <v>107100000</v>
      </c>
      <c r="J211" s="883">
        <v>107100000</v>
      </c>
      <c r="K211" s="851" t="s">
        <v>1365</v>
      </c>
      <c r="L211" s="851" t="s">
        <v>1366</v>
      </c>
      <c r="M211" s="234" t="s">
        <v>1426</v>
      </c>
      <c r="N211" s="856" t="s">
        <v>1368</v>
      </c>
      <c r="O211" s="906" t="s">
        <v>1441</v>
      </c>
      <c r="P211" s="856" t="s">
        <v>1370</v>
      </c>
      <c r="Q211" s="856" t="s">
        <v>1371</v>
      </c>
      <c r="R211" s="856" t="s">
        <v>1365</v>
      </c>
      <c r="S211" s="232" t="s">
        <v>1365</v>
      </c>
    </row>
    <row r="212" spans="1:19" ht="43" customHeight="1" x14ac:dyDescent="0.35">
      <c r="A212" s="839">
        <v>82101800</v>
      </c>
      <c r="B212" s="851" t="s">
        <v>1200</v>
      </c>
      <c r="C212" s="234" t="s">
        <v>69</v>
      </c>
      <c r="D212" s="234" t="s">
        <v>69</v>
      </c>
      <c r="E212" s="234">
        <v>12</v>
      </c>
      <c r="F212" s="174" t="s">
        <v>1353</v>
      </c>
      <c r="G212" s="234" t="s">
        <v>1356</v>
      </c>
      <c r="H212" s="233" t="s">
        <v>1359</v>
      </c>
      <c r="I212" s="878">
        <v>1800726956.7</v>
      </c>
      <c r="J212" s="896">
        <v>1500605797</v>
      </c>
      <c r="K212" s="851" t="s">
        <v>1373</v>
      </c>
      <c r="L212" s="851" t="s">
        <v>1374</v>
      </c>
      <c r="M212" s="851" t="s">
        <v>1442</v>
      </c>
      <c r="N212" s="856" t="s">
        <v>1368</v>
      </c>
      <c r="O212" s="906" t="s">
        <v>1443</v>
      </c>
      <c r="P212" s="856" t="s">
        <v>1370</v>
      </c>
      <c r="Q212" s="856" t="s">
        <v>1371</v>
      </c>
      <c r="R212" s="856" t="s">
        <v>1365</v>
      </c>
      <c r="S212" s="232" t="s">
        <v>1365</v>
      </c>
    </row>
    <row r="213" spans="1:19" ht="43" customHeight="1" x14ac:dyDescent="0.35">
      <c r="A213" s="839">
        <v>82101500</v>
      </c>
      <c r="B213" s="851" t="s">
        <v>1201</v>
      </c>
      <c r="C213" s="234" t="s">
        <v>69</v>
      </c>
      <c r="D213" s="234" t="s">
        <v>69</v>
      </c>
      <c r="E213" s="234">
        <v>12</v>
      </c>
      <c r="F213" s="174" t="s">
        <v>1353</v>
      </c>
      <c r="G213" s="234" t="s">
        <v>1354</v>
      </c>
      <c r="H213" s="233" t="s">
        <v>1359</v>
      </c>
      <c r="I213" s="878">
        <v>292509727.86000001</v>
      </c>
      <c r="J213" s="896">
        <v>292509728</v>
      </c>
      <c r="K213" s="851" t="s">
        <v>1365</v>
      </c>
      <c r="L213" s="851" t="s">
        <v>1366</v>
      </c>
      <c r="M213" s="851" t="s">
        <v>1442</v>
      </c>
      <c r="N213" s="856" t="s">
        <v>1368</v>
      </c>
      <c r="O213" s="906" t="s">
        <v>1443</v>
      </c>
      <c r="P213" s="856" t="s">
        <v>1370</v>
      </c>
      <c r="Q213" s="856" t="s">
        <v>1371</v>
      </c>
      <c r="R213" s="856" t="s">
        <v>1365</v>
      </c>
      <c r="S213" s="232" t="s">
        <v>1365</v>
      </c>
    </row>
    <row r="214" spans="1:19" ht="43" customHeight="1" x14ac:dyDescent="0.35">
      <c r="A214" s="840">
        <v>82101600</v>
      </c>
      <c r="B214" s="858" t="s">
        <v>1202</v>
      </c>
      <c r="C214" s="842" t="s">
        <v>71</v>
      </c>
      <c r="D214" s="842" t="s">
        <v>71</v>
      </c>
      <c r="E214" s="842">
        <v>1</v>
      </c>
      <c r="F214" s="174" t="s">
        <v>1353</v>
      </c>
      <c r="G214" s="234" t="s">
        <v>1355</v>
      </c>
      <c r="H214" s="233" t="s">
        <v>1359</v>
      </c>
      <c r="I214" s="878">
        <v>59500000</v>
      </c>
      <c r="J214" s="897">
        <v>71400000</v>
      </c>
      <c r="K214" s="851" t="s">
        <v>1365</v>
      </c>
      <c r="L214" s="851" t="s">
        <v>1366</v>
      </c>
      <c r="M214" s="858" t="s">
        <v>1442</v>
      </c>
      <c r="N214" s="856" t="s">
        <v>1368</v>
      </c>
      <c r="O214" s="908" t="s">
        <v>1443</v>
      </c>
      <c r="P214" s="856" t="s">
        <v>1370</v>
      </c>
      <c r="Q214" s="856" t="s">
        <v>1371</v>
      </c>
      <c r="R214" s="856" t="s">
        <v>1365</v>
      </c>
      <c r="S214" s="232" t="s">
        <v>1365</v>
      </c>
    </row>
    <row r="215" spans="1:19" ht="43" customHeight="1" x14ac:dyDescent="0.35">
      <c r="A215" s="840">
        <v>82101600</v>
      </c>
      <c r="B215" s="858" t="s">
        <v>1203</v>
      </c>
      <c r="C215" s="842" t="s">
        <v>76</v>
      </c>
      <c r="D215" s="842" t="s">
        <v>76</v>
      </c>
      <c r="E215" s="842">
        <v>1</v>
      </c>
      <c r="F215" s="174" t="s">
        <v>1353</v>
      </c>
      <c r="G215" s="234" t="s">
        <v>1355</v>
      </c>
      <c r="H215" s="233" t="s">
        <v>1359</v>
      </c>
      <c r="I215" s="878">
        <v>59500000</v>
      </c>
      <c r="J215" s="897">
        <v>71400000</v>
      </c>
      <c r="K215" s="851" t="s">
        <v>1365</v>
      </c>
      <c r="L215" s="851" t="s">
        <v>1366</v>
      </c>
      <c r="M215" s="858" t="s">
        <v>1442</v>
      </c>
      <c r="N215" s="856" t="s">
        <v>1368</v>
      </c>
      <c r="O215" s="908" t="s">
        <v>1443</v>
      </c>
      <c r="P215" s="856" t="s">
        <v>1370</v>
      </c>
      <c r="Q215" s="856" t="s">
        <v>1371</v>
      </c>
      <c r="R215" s="856" t="s">
        <v>1365</v>
      </c>
      <c r="S215" s="232" t="s">
        <v>1365</v>
      </c>
    </row>
    <row r="216" spans="1:19" ht="43" customHeight="1" x14ac:dyDescent="0.35">
      <c r="A216" s="841" t="s">
        <v>1003</v>
      </c>
      <c r="B216" s="851" t="s">
        <v>1204</v>
      </c>
      <c r="C216" s="234" t="s">
        <v>1348</v>
      </c>
      <c r="D216" s="234" t="s">
        <v>1348</v>
      </c>
      <c r="E216" s="234">
        <v>9</v>
      </c>
      <c r="F216" s="174" t="s">
        <v>1353</v>
      </c>
      <c r="G216" s="234" t="s">
        <v>1355</v>
      </c>
      <c r="H216" s="233" t="s">
        <v>1359</v>
      </c>
      <c r="I216" s="878">
        <v>50000000</v>
      </c>
      <c r="J216" s="898">
        <v>50000000</v>
      </c>
      <c r="K216" s="851" t="s">
        <v>1365</v>
      </c>
      <c r="L216" s="851" t="s">
        <v>1366</v>
      </c>
      <c r="M216" s="858" t="s">
        <v>1442</v>
      </c>
      <c r="N216" s="856" t="s">
        <v>1368</v>
      </c>
      <c r="O216" s="906" t="s">
        <v>1444</v>
      </c>
      <c r="P216" s="856" t="s">
        <v>1370</v>
      </c>
      <c r="Q216" s="856" t="s">
        <v>1371</v>
      </c>
      <c r="R216" s="856" t="s">
        <v>1365</v>
      </c>
      <c r="S216" s="232" t="s">
        <v>1365</v>
      </c>
    </row>
    <row r="217" spans="1:19" ht="43" customHeight="1" x14ac:dyDescent="0.35">
      <c r="A217" s="840">
        <v>86121700</v>
      </c>
      <c r="B217" s="858" t="s">
        <v>1205</v>
      </c>
      <c r="C217" s="842" t="s">
        <v>73</v>
      </c>
      <c r="D217" s="842" t="s">
        <v>71</v>
      </c>
      <c r="E217" s="842">
        <v>2</v>
      </c>
      <c r="F217" s="174" t="s">
        <v>1353</v>
      </c>
      <c r="G217" s="234" t="s">
        <v>1355</v>
      </c>
      <c r="H217" s="233" t="s">
        <v>1359</v>
      </c>
      <c r="I217" s="878">
        <v>33320000</v>
      </c>
      <c r="J217" s="897">
        <v>33320000</v>
      </c>
      <c r="K217" s="858" t="s">
        <v>1365</v>
      </c>
      <c r="L217" s="851" t="s">
        <v>1366</v>
      </c>
      <c r="M217" s="858" t="s">
        <v>1442</v>
      </c>
      <c r="N217" s="856" t="s">
        <v>1368</v>
      </c>
      <c r="O217" s="908" t="s">
        <v>1445</v>
      </c>
      <c r="P217" s="856" t="s">
        <v>1370</v>
      </c>
      <c r="Q217" s="856" t="s">
        <v>1371</v>
      </c>
      <c r="R217" s="856" t="s">
        <v>1365</v>
      </c>
      <c r="S217" s="232" t="s">
        <v>1365</v>
      </c>
    </row>
    <row r="218" spans="1:19" ht="43" customHeight="1" x14ac:dyDescent="0.35">
      <c r="A218" s="840">
        <v>86121700</v>
      </c>
      <c r="B218" s="858" t="s">
        <v>1205</v>
      </c>
      <c r="C218" s="842" t="s">
        <v>78</v>
      </c>
      <c r="D218" s="842" t="s">
        <v>78</v>
      </c>
      <c r="E218" s="842">
        <v>2</v>
      </c>
      <c r="F218" s="174" t="s">
        <v>1353</v>
      </c>
      <c r="G218" s="234" t="s">
        <v>1355</v>
      </c>
      <c r="H218" s="233" t="s">
        <v>1359</v>
      </c>
      <c r="I218" s="878">
        <v>33320000</v>
      </c>
      <c r="J218" s="897">
        <v>33320000</v>
      </c>
      <c r="K218" s="858" t="s">
        <v>1365</v>
      </c>
      <c r="L218" s="851" t="s">
        <v>1366</v>
      </c>
      <c r="M218" s="858" t="s">
        <v>1442</v>
      </c>
      <c r="N218" s="856" t="s">
        <v>1368</v>
      </c>
      <c r="O218" s="908" t="s">
        <v>1445</v>
      </c>
      <c r="P218" s="856" t="s">
        <v>1370</v>
      </c>
      <c r="Q218" s="856" t="s">
        <v>1371</v>
      </c>
      <c r="R218" s="856" t="s">
        <v>1365</v>
      </c>
      <c r="S218" s="232" t="s">
        <v>1365</v>
      </c>
    </row>
    <row r="219" spans="1:19" ht="43" customHeight="1" x14ac:dyDescent="0.35">
      <c r="A219" s="842">
        <v>90121502</v>
      </c>
      <c r="B219" s="858" t="s">
        <v>1206</v>
      </c>
      <c r="C219" s="842" t="s">
        <v>69</v>
      </c>
      <c r="D219" s="842" t="s">
        <v>69</v>
      </c>
      <c r="E219" s="842">
        <v>5</v>
      </c>
      <c r="F219" s="174" t="s">
        <v>1353</v>
      </c>
      <c r="G219" s="234" t="s">
        <v>1356</v>
      </c>
      <c r="H219" s="233" t="s">
        <v>1359</v>
      </c>
      <c r="I219" s="878">
        <v>1309000000</v>
      </c>
      <c r="J219" s="897">
        <v>1309000000</v>
      </c>
      <c r="K219" s="858" t="s">
        <v>1365</v>
      </c>
      <c r="L219" s="851" t="s">
        <v>1366</v>
      </c>
      <c r="M219" s="858" t="s">
        <v>1442</v>
      </c>
      <c r="N219" s="856" t="s">
        <v>1368</v>
      </c>
      <c r="O219" s="908" t="s">
        <v>1445</v>
      </c>
      <c r="P219" s="856" t="s">
        <v>1370</v>
      </c>
      <c r="Q219" s="856" t="s">
        <v>1371</v>
      </c>
      <c r="R219" s="856" t="s">
        <v>1365</v>
      </c>
      <c r="S219" s="232" t="s">
        <v>1365</v>
      </c>
    </row>
    <row r="220" spans="1:19" ht="43" customHeight="1" x14ac:dyDescent="0.35">
      <c r="A220" s="841" t="s">
        <v>1004</v>
      </c>
      <c r="B220" s="858" t="s">
        <v>1207</v>
      </c>
      <c r="C220" s="234" t="s">
        <v>77</v>
      </c>
      <c r="D220" s="234" t="s">
        <v>77</v>
      </c>
      <c r="E220" s="234">
        <v>12</v>
      </c>
      <c r="F220" s="174" t="s">
        <v>1353</v>
      </c>
      <c r="G220" s="233" t="s">
        <v>1355</v>
      </c>
      <c r="H220" s="233" t="s">
        <v>1359</v>
      </c>
      <c r="I220" s="878">
        <v>19999999.18</v>
      </c>
      <c r="J220" s="898">
        <v>20000000</v>
      </c>
      <c r="K220" s="851" t="s">
        <v>1365</v>
      </c>
      <c r="L220" s="851" t="s">
        <v>1366</v>
      </c>
      <c r="M220" s="906" t="s">
        <v>1442</v>
      </c>
      <c r="N220" s="856" t="s">
        <v>1368</v>
      </c>
      <c r="O220" s="906" t="s">
        <v>1446</v>
      </c>
      <c r="P220" s="856" t="s">
        <v>1370</v>
      </c>
      <c r="Q220" s="856" t="s">
        <v>1371</v>
      </c>
      <c r="R220" s="856" t="s">
        <v>1365</v>
      </c>
      <c r="S220" s="232" t="s">
        <v>1365</v>
      </c>
    </row>
    <row r="221" spans="1:19" ht="43" customHeight="1" x14ac:dyDescent="0.35">
      <c r="A221" s="843">
        <v>83111507</v>
      </c>
      <c r="B221" s="859" t="s">
        <v>1208</v>
      </c>
      <c r="C221" s="843" t="s">
        <v>1349</v>
      </c>
      <c r="D221" s="843" t="s">
        <v>1348</v>
      </c>
      <c r="E221" s="843">
        <v>36</v>
      </c>
      <c r="F221" s="174" t="s">
        <v>1353</v>
      </c>
      <c r="G221" s="843" t="s">
        <v>1356</v>
      </c>
      <c r="H221" s="233" t="s">
        <v>1359</v>
      </c>
      <c r="I221" s="884">
        <v>374891559.56</v>
      </c>
      <c r="J221" s="899">
        <v>309912909.07046413</v>
      </c>
      <c r="K221" s="909" t="s">
        <v>1373</v>
      </c>
      <c r="L221" s="909" t="s">
        <v>1374</v>
      </c>
      <c r="M221" s="859" t="s">
        <v>1442</v>
      </c>
      <c r="N221" s="856" t="s">
        <v>1368</v>
      </c>
      <c r="O221" s="859" t="s">
        <v>1447</v>
      </c>
      <c r="P221" s="856" t="s">
        <v>1370</v>
      </c>
      <c r="Q221" s="856" t="s">
        <v>1371</v>
      </c>
      <c r="R221" s="856" t="s">
        <v>1365</v>
      </c>
      <c r="S221" s="232" t="s">
        <v>1365</v>
      </c>
    </row>
    <row r="222" spans="1:19" ht="43" customHeight="1" x14ac:dyDescent="0.35">
      <c r="A222" s="843">
        <v>83111507</v>
      </c>
      <c r="B222" s="859" t="s">
        <v>1209</v>
      </c>
      <c r="C222" s="843" t="s">
        <v>1349</v>
      </c>
      <c r="D222" s="843" t="s">
        <v>1348</v>
      </c>
      <c r="E222" s="843">
        <v>36</v>
      </c>
      <c r="F222" s="174" t="s">
        <v>1353</v>
      </c>
      <c r="G222" s="843" t="s">
        <v>1356</v>
      </c>
      <c r="H222" s="233" t="s">
        <v>1359</v>
      </c>
      <c r="I222" s="884">
        <v>5100922243.1999998</v>
      </c>
      <c r="J222" s="899">
        <v>4142656120.9026732</v>
      </c>
      <c r="K222" s="909" t="s">
        <v>1373</v>
      </c>
      <c r="L222" s="909" t="s">
        <v>1374</v>
      </c>
      <c r="M222" s="859" t="s">
        <v>1442</v>
      </c>
      <c r="N222" s="856" t="s">
        <v>1368</v>
      </c>
      <c r="O222" s="859" t="s">
        <v>1447</v>
      </c>
      <c r="P222" s="856" t="s">
        <v>1370</v>
      </c>
      <c r="Q222" s="856" t="s">
        <v>1371</v>
      </c>
      <c r="R222" s="856" t="s">
        <v>1365</v>
      </c>
      <c r="S222" s="232" t="s">
        <v>1365</v>
      </c>
    </row>
    <row r="223" spans="1:19" ht="43" customHeight="1" x14ac:dyDescent="0.35">
      <c r="A223" s="843" t="s">
        <v>1005</v>
      </c>
      <c r="B223" s="859" t="s">
        <v>1210</v>
      </c>
      <c r="C223" s="843" t="s">
        <v>79</v>
      </c>
      <c r="D223" s="843" t="s">
        <v>69</v>
      </c>
      <c r="E223" s="843">
        <v>12</v>
      </c>
      <c r="F223" s="174" t="s">
        <v>1353</v>
      </c>
      <c r="G223" s="843" t="s">
        <v>1355</v>
      </c>
      <c r="H223" s="233" t="s">
        <v>1359</v>
      </c>
      <c r="I223" s="884">
        <v>23244950.68</v>
      </c>
      <c r="J223" s="900">
        <v>23244950.68</v>
      </c>
      <c r="K223" s="909" t="s">
        <v>1365</v>
      </c>
      <c r="L223" s="909" t="s">
        <v>1366</v>
      </c>
      <c r="M223" s="859" t="s">
        <v>1442</v>
      </c>
      <c r="N223" s="856" t="s">
        <v>1368</v>
      </c>
      <c r="O223" s="859" t="s">
        <v>1448</v>
      </c>
      <c r="P223" s="856" t="s">
        <v>1370</v>
      </c>
      <c r="Q223" s="856" t="s">
        <v>1371</v>
      </c>
      <c r="R223" s="856" t="s">
        <v>1365</v>
      </c>
      <c r="S223" s="232" t="s">
        <v>1365</v>
      </c>
    </row>
    <row r="224" spans="1:19" ht="43" customHeight="1" x14ac:dyDescent="0.35">
      <c r="A224" s="843">
        <v>80141605</v>
      </c>
      <c r="B224" s="859" t="s">
        <v>1211</v>
      </c>
      <c r="C224" s="843" t="s">
        <v>1350</v>
      </c>
      <c r="D224" s="843" t="s">
        <v>1351</v>
      </c>
      <c r="E224" s="843">
        <v>2</v>
      </c>
      <c r="F224" s="174" t="s">
        <v>1353</v>
      </c>
      <c r="G224" s="843" t="s">
        <v>1355</v>
      </c>
      <c r="H224" s="233" t="s">
        <v>1359</v>
      </c>
      <c r="I224" s="884">
        <v>26299000</v>
      </c>
      <c r="J224" s="900">
        <v>26299000</v>
      </c>
      <c r="K224" s="909" t="s">
        <v>1365</v>
      </c>
      <c r="L224" s="909" t="s">
        <v>1366</v>
      </c>
      <c r="M224" s="859" t="s">
        <v>1442</v>
      </c>
      <c r="N224" s="856" t="s">
        <v>1368</v>
      </c>
      <c r="O224" s="859" t="s">
        <v>1449</v>
      </c>
      <c r="P224" s="856" t="s">
        <v>1370</v>
      </c>
      <c r="Q224" s="856" t="s">
        <v>1371</v>
      </c>
      <c r="R224" s="856" t="s">
        <v>1365</v>
      </c>
      <c r="S224" s="232" t="s">
        <v>1365</v>
      </c>
    </row>
    <row r="225" spans="1:19" ht="43" customHeight="1" x14ac:dyDescent="0.35">
      <c r="A225" s="843">
        <v>80101509</v>
      </c>
      <c r="B225" s="859" t="s">
        <v>1212</v>
      </c>
      <c r="C225" s="843" t="s">
        <v>1348</v>
      </c>
      <c r="D225" s="843" t="s">
        <v>1352</v>
      </c>
      <c r="E225" s="843">
        <v>8</v>
      </c>
      <c r="F225" s="174" t="s">
        <v>1353</v>
      </c>
      <c r="G225" s="843" t="s">
        <v>1354</v>
      </c>
      <c r="H225" s="233" t="s">
        <v>1359</v>
      </c>
      <c r="I225" s="884">
        <v>308210000</v>
      </c>
      <c r="J225" s="901">
        <v>308210000</v>
      </c>
      <c r="K225" s="909" t="s">
        <v>1365</v>
      </c>
      <c r="L225" s="909" t="s">
        <v>1366</v>
      </c>
      <c r="M225" s="859" t="s">
        <v>1442</v>
      </c>
      <c r="N225" s="856" t="s">
        <v>1368</v>
      </c>
      <c r="O225" s="859" t="s">
        <v>1450</v>
      </c>
      <c r="P225" s="856" t="s">
        <v>1370</v>
      </c>
      <c r="Q225" s="856" t="s">
        <v>1371</v>
      </c>
      <c r="R225" s="856" t="s">
        <v>1365</v>
      </c>
      <c r="S225" s="232" t="s">
        <v>1365</v>
      </c>
    </row>
    <row r="226" spans="1:19" ht="43" customHeight="1" x14ac:dyDescent="0.35">
      <c r="A226" s="843">
        <v>60105200</v>
      </c>
      <c r="B226" s="859" t="s">
        <v>1213</v>
      </c>
      <c r="C226" s="843" t="s">
        <v>79</v>
      </c>
      <c r="D226" s="843" t="s">
        <v>69</v>
      </c>
      <c r="E226" s="843">
        <v>12</v>
      </c>
      <c r="F226" s="174" t="s">
        <v>1353</v>
      </c>
      <c r="G226" s="843" t="s">
        <v>1354</v>
      </c>
      <c r="H226" s="233" t="s">
        <v>1359</v>
      </c>
      <c r="I226" s="884">
        <v>109123000</v>
      </c>
      <c r="J226" s="900">
        <v>109123000</v>
      </c>
      <c r="K226" s="909" t="s">
        <v>1365</v>
      </c>
      <c r="L226" s="909" t="s">
        <v>1366</v>
      </c>
      <c r="M226" s="859" t="s">
        <v>1442</v>
      </c>
      <c r="N226" s="856" t="s">
        <v>1368</v>
      </c>
      <c r="O226" s="859" t="s">
        <v>1448</v>
      </c>
      <c r="P226" s="856" t="s">
        <v>1370</v>
      </c>
      <c r="Q226" s="856" t="s">
        <v>1371</v>
      </c>
      <c r="R226" s="856" t="s">
        <v>1365</v>
      </c>
      <c r="S226" s="232" t="s">
        <v>1365</v>
      </c>
    </row>
    <row r="227" spans="1:19" ht="43" customHeight="1" x14ac:dyDescent="0.35">
      <c r="A227" s="844">
        <v>80141902</v>
      </c>
      <c r="B227" s="860" t="s">
        <v>1214</v>
      </c>
      <c r="C227" s="228" t="s">
        <v>74</v>
      </c>
      <c r="D227" s="228" t="s">
        <v>74</v>
      </c>
      <c r="E227" s="228">
        <v>1</v>
      </c>
      <c r="F227" s="174" t="s">
        <v>1353</v>
      </c>
      <c r="G227" s="233" t="s">
        <v>1358</v>
      </c>
      <c r="H227" s="233" t="s">
        <v>1359</v>
      </c>
      <c r="I227" s="880">
        <v>599999.18999999994</v>
      </c>
      <c r="J227" s="902">
        <v>599999.18999999994</v>
      </c>
      <c r="K227" s="860" t="s">
        <v>1365</v>
      </c>
      <c r="L227" s="849" t="s">
        <v>1366</v>
      </c>
      <c r="M227" s="228" t="s">
        <v>1442</v>
      </c>
      <c r="N227" s="228" t="s">
        <v>1451</v>
      </c>
      <c r="O227" s="910" t="s">
        <v>1452</v>
      </c>
      <c r="P227" s="856" t="s">
        <v>1370</v>
      </c>
      <c r="Q227" s="856" t="s">
        <v>1371</v>
      </c>
      <c r="R227" s="856" t="s">
        <v>1365</v>
      </c>
      <c r="S227" s="232" t="s">
        <v>1365</v>
      </c>
    </row>
    <row r="228" spans="1:19" ht="43" customHeight="1" x14ac:dyDescent="0.35">
      <c r="A228" s="844">
        <v>80141902</v>
      </c>
      <c r="B228" s="860" t="s">
        <v>1215</v>
      </c>
      <c r="C228" s="228" t="s">
        <v>80</v>
      </c>
      <c r="D228" s="228" t="s">
        <v>80</v>
      </c>
      <c r="E228" s="228">
        <v>1</v>
      </c>
      <c r="F228" s="174" t="s">
        <v>1353</v>
      </c>
      <c r="G228" s="233" t="s">
        <v>1358</v>
      </c>
      <c r="H228" s="233" t="s">
        <v>1359</v>
      </c>
      <c r="I228" s="880">
        <v>799998.92</v>
      </c>
      <c r="J228" s="902">
        <v>799998.92</v>
      </c>
      <c r="K228" s="860" t="s">
        <v>1365</v>
      </c>
      <c r="L228" s="849" t="s">
        <v>1366</v>
      </c>
      <c r="M228" s="228" t="s">
        <v>1442</v>
      </c>
      <c r="N228" s="228" t="s">
        <v>1451</v>
      </c>
      <c r="O228" s="910" t="s">
        <v>1452</v>
      </c>
      <c r="P228" s="856" t="s">
        <v>1370</v>
      </c>
      <c r="Q228" s="856" t="s">
        <v>1371</v>
      </c>
      <c r="R228" s="856" t="s">
        <v>1365</v>
      </c>
      <c r="S228" s="232" t="s">
        <v>1365</v>
      </c>
    </row>
    <row r="229" spans="1:19" ht="43" customHeight="1" x14ac:dyDescent="0.35">
      <c r="A229" s="844">
        <v>80131502</v>
      </c>
      <c r="B229" s="860" t="s">
        <v>1216</v>
      </c>
      <c r="C229" s="228" t="s">
        <v>77</v>
      </c>
      <c r="D229" s="228" t="s">
        <v>77</v>
      </c>
      <c r="E229" s="228">
        <v>1</v>
      </c>
      <c r="F229" s="174" t="s">
        <v>1353</v>
      </c>
      <c r="G229" s="233" t="s">
        <v>1355</v>
      </c>
      <c r="H229" s="233" t="s">
        <v>1359</v>
      </c>
      <c r="I229" s="880">
        <v>58871156.399999999</v>
      </c>
      <c r="J229" s="902">
        <v>58871156.399999999</v>
      </c>
      <c r="K229" s="860" t="s">
        <v>1373</v>
      </c>
      <c r="L229" s="849" t="s">
        <v>1374</v>
      </c>
      <c r="M229" s="228" t="s">
        <v>1442</v>
      </c>
      <c r="N229" s="228" t="s">
        <v>1451</v>
      </c>
      <c r="O229" s="910" t="s">
        <v>1452</v>
      </c>
      <c r="P229" s="856" t="s">
        <v>1370</v>
      </c>
      <c r="Q229" s="856" t="s">
        <v>1371</v>
      </c>
      <c r="R229" s="856" t="s">
        <v>1365</v>
      </c>
      <c r="S229" s="232" t="s">
        <v>1365</v>
      </c>
    </row>
    <row r="230" spans="1:19" ht="43" customHeight="1" x14ac:dyDescent="0.35">
      <c r="A230" s="844">
        <v>72101511</v>
      </c>
      <c r="B230" s="860" t="s">
        <v>1217</v>
      </c>
      <c r="C230" s="228" t="s">
        <v>73</v>
      </c>
      <c r="D230" s="228" t="s">
        <v>73</v>
      </c>
      <c r="E230" s="228">
        <v>1</v>
      </c>
      <c r="F230" s="174" t="s">
        <v>1353</v>
      </c>
      <c r="G230" s="228" t="s">
        <v>1358</v>
      </c>
      <c r="H230" s="233" t="s">
        <v>1359</v>
      </c>
      <c r="I230" s="880">
        <v>1784384.77</v>
      </c>
      <c r="J230" s="902">
        <v>1784384.77</v>
      </c>
      <c r="K230" s="860" t="s">
        <v>1365</v>
      </c>
      <c r="L230" s="849" t="s">
        <v>1366</v>
      </c>
      <c r="M230" s="228" t="s">
        <v>1442</v>
      </c>
      <c r="N230" s="228" t="s">
        <v>1451</v>
      </c>
      <c r="O230" s="910" t="s">
        <v>1452</v>
      </c>
      <c r="P230" s="856" t="s">
        <v>1370</v>
      </c>
      <c r="Q230" s="856" t="s">
        <v>1371</v>
      </c>
      <c r="R230" s="856" t="s">
        <v>1365</v>
      </c>
      <c r="S230" s="232" t="s">
        <v>1365</v>
      </c>
    </row>
    <row r="231" spans="1:19" ht="43" customHeight="1" x14ac:dyDescent="0.35">
      <c r="A231" s="844">
        <v>86131502</v>
      </c>
      <c r="B231" s="860" t="s">
        <v>1218</v>
      </c>
      <c r="C231" s="228" t="s">
        <v>73</v>
      </c>
      <c r="D231" s="228" t="s">
        <v>73</v>
      </c>
      <c r="E231" s="228">
        <v>1</v>
      </c>
      <c r="F231" s="174" t="s">
        <v>1353</v>
      </c>
      <c r="G231" s="233" t="s">
        <v>1355</v>
      </c>
      <c r="H231" s="233" t="s">
        <v>1359</v>
      </c>
      <c r="I231" s="880">
        <v>3570000</v>
      </c>
      <c r="J231" s="902">
        <v>3570000</v>
      </c>
      <c r="K231" s="860" t="s">
        <v>1365</v>
      </c>
      <c r="L231" s="849" t="s">
        <v>1366</v>
      </c>
      <c r="M231" s="228" t="s">
        <v>1442</v>
      </c>
      <c r="N231" s="228" t="s">
        <v>1451</v>
      </c>
      <c r="O231" s="910" t="s">
        <v>1452</v>
      </c>
      <c r="P231" s="856" t="s">
        <v>1370</v>
      </c>
      <c r="Q231" s="856" t="s">
        <v>1371</v>
      </c>
      <c r="R231" s="856" t="s">
        <v>1365</v>
      </c>
      <c r="S231" s="232" t="s">
        <v>1365</v>
      </c>
    </row>
    <row r="232" spans="1:19" ht="43" customHeight="1" x14ac:dyDescent="0.35">
      <c r="A232" s="844" t="s">
        <v>1006</v>
      </c>
      <c r="B232" s="860" t="s">
        <v>1219</v>
      </c>
      <c r="C232" s="228" t="s">
        <v>75</v>
      </c>
      <c r="D232" s="228" t="s">
        <v>75</v>
      </c>
      <c r="E232" s="228">
        <v>1</v>
      </c>
      <c r="F232" s="174" t="s">
        <v>1353</v>
      </c>
      <c r="G232" s="233" t="s">
        <v>1358</v>
      </c>
      <c r="H232" s="233" t="s">
        <v>1359</v>
      </c>
      <c r="I232" s="880">
        <v>595000</v>
      </c>
      <c r="J232" s="902">
        <v>595000</v>
      </c>
      <c r="K232" s="860" t="s">
        <v>1365</v>
      </c>
      <c r="L232" s="849" t="s">
        <v>1366</v>
      </c>
      <c r="M232" s="228" t="s">
        <v>1442</v>
      </c>
      <c r="N232" s="228" t="s">
        <v>1451</v>
      </c>
      <c r="O232" s="910" t="s">
        <v>1452</v>
      </c>
      <c r="P232" s="856" t="s">
        <v>1370</v>
      </c>
      <c r="Q232" s="856" t="s">
        <v>1371</v>
      </c>
      <c r="R232" s="856" t="s">
        <v>1365</v>
      </c>
      <c r="S232" s="232" t="s">
        <v>1365</v>
      </c>
    </row>
    <row r="233" spans="1:19" ht="43" customHeight="1" x14ac:dyDescent="0.35">
      <c r="A233" s="844">
        <v>90101600</v>
      </c>
      <c r="B233" s="860" t="s">
        <v>1220</v>
      </c>
      <c r="C233" s="228" t="s">
        <v>72</v>
      </c>
      <c r="D233" s="228" t="s">
        <v>71</v>
      </c>
      <c r="E233" s="228">
        <v>1</v>
      </c>
      <c r="F233" s="174" t="s">
        <v>1353</v>
      </c>
      <c r="G233" s="233" t="s">
        <v>1358</v>
      </c>
      <c r="H233" s="233" t="s">
        <v>1359</v>
      </c>
      <c r="I233" s="880">
        <v>1950648</v>
      </c>
      <c r="J233" s="902">
        <v>1950648</v>
      </c>
      <c r="K233" s="860" t="s">
        <v>1365</v>
      </c>
      <c r="L233" s="860" t="s">
        <v>1366</v>
      </c>
      <c r="M233" s="228" t="s">
        <v>1442</v>
      </c>
      <c r="N233" s="228" t="s">
        <v>1451</v>
      </c>
      <c r="O233" s="866" t="s">
        <v>1452</v>
      </c>
      <c r="P233" s="856" t="s">
        <v>1370</v>
      </c>
      <c r="Q233" s="856" t="s">
        <v>1371</v>
      </c>
      <c r="R233" s="856" t="s">
        <v>1365</v>
      </c>
      <c r="S233" s="232" t="s">
        <v>1365</v>
      </c>
    </row>
    <row r="234" spans="1:19" ht="43" customHeight="1" x14ac:dyDescent="0.35">
      <c r="A234" s="844">
        <v>80141902</v>
      </c>
      <c r="B234" s="860" t="s">
        <v>1221</v>
      </c>
      <c r="C234" s="228" t="s">
        <v>80</v>
      </c>
      <c r="D234" s="228" t="s">
        <v>79</v>
      </c>
      <c r="E234" s="228">
        <v>1</v>
      </c>
      <c r="F234" s="174" t="s">
        <v>1353</v>
      </c>
      <c r="G234" s="233" t="s">
        <v>1358</v>
      </c>
      <c r="H234" s="233" t="s">
        <v>1359</v>
      </c>
      <c r="I234" s="880">
        <v>1950648</v>
      </c>
      <c r="J234" s="902">
        <v>1950648</v>
      </c>
      <c r="K234" s="860" t="s">
        <v>1365</v>
      </c>
      <c r="L234" s="860" t="s">
        <v>1366</v>
      </c>
      <c r="M234" s="228" t="s">
        <v>1442</v>
      </c>
      <c r="N234" s="228" t="s">
        <v>1451</v>
      </c>
      <c r="O234" s="866" t="s">
        <v>1452</v>
      </c>
      <c r="P234" s="856" t="s">
        <v>1370</v>
      </c>
      <c r="Q234" s="856" t="s">
        <v>1371</v>
      </c>
      <c r="R234" s="856" t="s">
        <v>1365</v>
      </c>
      <c r="S234" s="232" t="s">
        <v>1365</v>
      </c>
    </row>
    <row r="235" spans="1:19" ht="43" customHeight="1" x14ac:dyDescent="0.35">
      <c r="A235" s="844" t="s">
        <v>1007</v>
      </c>
      <c r="B235" s="860" t="s">
        <v>1222</v>
      </c>
      <c r="C235" s="228" t="s">
        <v>75</v>
      </c>
      <c r="D235" s="228" t="s">
        <v>75</v>
      </c>
      <c r="E235" s="228">
        <v>1</v>
      </c>
      <c r="F235" s="174" t="s">
        <v>1353</v>
      </c>
      <c r="G235" s="233" t="s">
        <v>1355</v>
      </c>
      <c r="H235" s="233" t="s">
        <v>1359</v>
      </c>
      <c r="I235" s="880">
        <v>2142000</v>
      </c>
      <c r="J235" s="902">
        <v>2142000</v>
      </c>
      <c r="K235" s="860" t="s">
        <v>1365</v>
      </c>
      <c r="L235" s="849" t="s">
        <v>1366</v>
      </c>
      <c r="M235" s="228" t="s">
        <v>1442</v>
      </c>
      <c r="N235" s="228" t="s">
        <v>1453</v>
      </c>
      <c r="O235" s="866" t="s">
        <v>1454</v>
      </c>
      <c r="P235" s="856" t="s">
        <v>1370</v>
      </c>
      <c r="Q235" s="856" t="s">
        <v>1371</v>
      </c>
      <c r="R235" s="856" t="s">
        <v>1365</v>
      </c>
      <c r="S235" s="232" t="s">
        <v>1365</v>
      </c>
    </row>
    <row r="236" spans="1:19" ht="43" customHeight="1" x14ac:dyDescent="0.35">
      <c r="A236" s="844" t="s">
        <v>1007</v>
      </c>
      <c r="B236" s="860" t="s">
        <v>1223</v>
      </c>
      <c r="C236" s="228" t="s">
        <v>80</v>
      </c>
      <c r="D236" s="228" t="s">
        <v>80</v>
      </c>
      <c r="E236" s="228">
        <v>1</v>
      </c>
      <c r="F236" s="174" t="s">
        <v>1353</v>
      </c>
      <c r="G236" s="233" t="s">
        <v>1355</v>
      </c>
      <c r="H236" s="233" t="s">
        <v>1359</v>
      </c>
      <c r="I236" s="880">
        <v>2159850</v>
      </c>
      <c r="J236" s="902">
        <v>2159850</v>
      </c>
      <c r="K236" s="860" t="s">
        <v>1365</v>
      </c>
      <c r="L236" s="849" t="s">
        <v>1366</v>
      </c>
      <c r="M236" s="228" t="s">
        <v>1442</v>
      </c>
      <c r="N236" s="228" t="s">
        <v>1453</v>
      </c>
      <c r="O236" s="866" t="s">
        <v>1454</v>
      </c>
      <c r="P236" s="856" t="s">
        <v>1370</v>
      </c>
      <c r="Q236" s="856" t="s">
        <v>1371</v>
      </c>
      <c r="R236" s="856" t="s">
        <v>1365</v>
      </c>
      <c r="S236" s="232" t="s">
        <v>1365</v>
      </c>
    </row>
    <row r="237" spans="1:19" ht="43" customHeight="1" x14ac:dyDescent="0.35">
      <c r="A237" s="845">
        <v>78181703</v>
      </c>
      <c r="B237" s="860" t="s">
        <v>1224</v>
      </c>
      <c r="C237" s="228" t="s">
        <v>72</v>
      </c>
      <c r="D237" s="228" t="s">
        <v>72</v>
      </c>
      <c r="E237" s="228">
        <v>8</v>
      </c>
      <c r="F237" s="174" t="s">
        <v>1353</v>
      </c>
      <c r="G237" s="233" t="s">
        <v>1355</v>
      </c>
      <c r="H237" s="233" t="s">
        <v>1359</v>
      </c>
      <c r="I237" s="880">
        <v>3904269.81</v>
      </c>
      <c r="J237" s="902">
        <v>3904269.81</v>
      </c>
      <c r="K237" s="860" t="s">
        <v>1365</v>
      </c>
      <c r="L237" s="849" t="s">
        <v>1366</v>
      </c>
      <c r="M237" s="228" t="s">
        <v>1442</v>
      </c>
      <c r="N237" s="228" t="s">
        <v>1453</v>
      </c>
      <c r="O237" s="866" t="s">
        <v>1454</v>
      </c>
      <c r="P237" s="856" t="s">
        <v>1370</v>
      </c>
      <c r="Q237" s="856" t="s">
        <v>1371</v>
      </c>
      <c r="R237" s="856" t="s">
        <v>1365</v>
      </c>
      <c r="S237" s="232" t="s">
        <v>1365</v>
      </c>
    </row>
    <row r="238" spans="1:19" ht="43" customHeight="1" x14ac:dyDescent="0.35">
      <c r="A238" s="844">
        <v>72101511</v>
      </c>
      <c r="B238" s="860" t="s">
        <v>1225</v>
      </c>
      <c r="C238" s="228" t="s">
        <v>69</v>
      </c>
      <c r="D238" s="228" t="s">
        <v>69</v>
      </c>
      <c r="E238" s="228">
        <v>12</v>
      </c>
      <c r="F238" s="174" t="s">
        <v>1353</v>
      </c>
      <c r="G238" s="233" t="s">
        <v>1355</v>
      </c>
      <c r="H238" s="233" t="s">
        <v>1359</v>
      </c>
      <c r="I238" s="880">
        <v>9996000</v>
      </c>
      <c r="J238" s="902">
        <v>9996000</v>
      </c>
      <c r="K238" s="860" t="s">
        <v>1365</v>
      </c>
      <c r="L238" s="849" t="s">
        <v>1366</v>
      </c>
      <c r="M238" s="228" t="s">
        <v>1442</v>
      </c>
      <c r="N238" s="228" t="s">
        <v>1453</v>
      </c>
      <c r="O238" s="866" t="s">
        <v>1454</v>
      </c>
      <c r="P238" s="856" t="s">
        <v>1370</v>
      </c>
      <c r="Q238" s="856" t="s">
        <v>1371</v>
      </c>
      <c r="R238" s="856" t="s">
        <v>1365</v>
      </c>
      <c r="S238" s="232" t="s">
        <v>1365</v>
      </c>
    </row>
    <row r="239" spans="1:19" ht="43" customHeight="1" x14ac:dyDescent="0.35">
      <c r="A239" s="844">
        <v>90101600</v>
      </c>
      <c r="B239" s="860" t="s">
        <v>1220</v>
      </c>
      <c r="C239" s="228" t="s">
        <v>72</v>
      </c>
      <c r="D239" s="228" t="s">
        <v>71</v>
      </c>
      <c r="E239" s="228">
        <v>1</v>
      </c>
      <c r="F239" s="174" t="s">
        <v>1353</v>
      </c>
      <c r="G239" s="233" t="s">
        <v>1355</v>
      </c>
      <c r="H239" s="233" t="s">
        <v>1359</v>
      </c>
      <c r="I239" s="880">
        <v>4760000</v>
      </c>
      <c r="J239" s="902">
        <v>4760000</v>
      </c>
      <c r="K239" s="860" t="s">
        <v>1365</v>
      </c>
      <c r="L239" s="860" t="s">
        <v>1366</v>
      </c>
      <c r="M239" s="228" t="s">
        <v>1442</v>
      </c>
      <c r="N239" s="228" t="s">
        <v>1453</v>
      </c>
      <c r="O239" s="866" t="s">
        <v>1454</v>
      </c>
      <c r="P239" s="856" t="s">
        <v>1370</v>
      </c>
      <c r="Q239" s="856" t="s">
        <v>1371</v>
      </c>
      <c r="R239" s="856" t="s">
        <v>1365</v>
      </c>
      <c r="S239" s="232" t="s">
        <v>1365</v>
      </c>
    </row>
    <row r="240" spans="1:19" ht="43" customHeight="1" x14ac:dyDescent="0.35">
      <c r="A240" s="844">
        <v>80141902</v>
      </c>
      <c r="B240" s="860" t="s">
        <v>1221</v>
      </c>
      <c r="C240" s="228" t="s">
        <v>80</v>
      </c>
      <c r="D240" s="228" t="s">
        <v>79</v>
      </c>
      <c r="E240" s="228">
        <v>1</v>
      </c>
      <c r="F240" s="174" t="s">
        <v>1353</v>
      </c>
      <c r="G240" s="233" t="s">
        <v>1355</v>
      </c>
      <c r="H240" s="233" t="s">
        <v>1359</v>
      </c>
      <c r="I240" s="880">
        <v>4760000</v>
      </c>
      <c r="J240" s="902">
        <v>4760000</v>
      </c>
      <c r="K240" s="860" t="s">
        <v>1365</v>
      </c>
      <c r="L240" s="860" t="s">
        <v>1366</v>
      </c>
      <c r="M240" s="228" t="s">
        <v>1442</v>
      </c>
      <c r="N240" s="228" t="s">
        <v>1453</v>
      </c>
      <c r="O240" s="866" t="s">
        <v>1454</v>
      </c>
      <c r="P240" s="856" t="s">
        <v>1370</v>
      </c>
      <c r="Q240" s="856" t="s">
        <v>1371</v>
      </c>
      <c r="R240" s="856" t="s">
        <v>1365</v>
      </c>
      <c r="S240" s="232" t="s">
        <v>1365</v>
      </c>
    </row>
    <row r="241" spans="1:19" ht="43" customHeight="1" x14ac:dyDescent="0.35">
      <c r="A241" s="844">
        <v>48101909</v>
      </c>
      <c r="B241" s="860" t="s">
        <v>1226</v>
      </c>
      <c r="C241" s="228" t="s">
        <v>71</v>
      </c>
      <c r="D241" s="228" t="s">
        <v>71</v>
      </c>
      <c r="E241" s="228">
        <v>1</v>
      </c>
      <c r="F241" s="174" t="s">
        <v>1353</v>
      </c>
      <c r="G241" s="233" t="s">
        <v>1358</v>
      </c>
      <c r="H241" s="233" t="s">
        <v>1359</v>
      </c>
      <c r="I241" s="880">
        <v>714000</v>
      </c>
      <c r="J241" s="902">
        <v>714000</v>
      </c>
      <c r="K241" s="860" t="s">
        <v>1365</v>
      </c>
      <c r="L241" s="849" t="s">
        <v>1366</v>
      </c>
      <c r="M241" s="228" t="s">
        <v>1442</v>
      </c>
      <c r="N241" s="228" t="s">
        <v>1455</v>
      </c>
      <c r="O241" s="866" t="s">
        <v>1456</v>
      </c>
      <c r="P241" s="856" t="s">
        <v>1370</v>
      </c>
      <c r="Q241" s="856" t="s">
        <v>1371</v>
      </c>
      <c r="R241" s="856" t="s">
        <v>1365</v>
      </c>
      <c r="S241" s="232" t="s">
        <v>1365</v>
      </c>
    </row>
    <row r="242" spans="1:19" ht="43" customHeight="1" x14ac:dyDescent="0.35">
      <c r="A242" s="844">
        <v>56121400</v>
      </c>
      <c r="B242" s="860" t="s">
        <v>1227</v>
      </c>
      <c r="C242" s="228" t="s">
        <v>71</v>
      </c>
      <c r="D242" s="228" t="s">
        <v>71</v>
      </c>
      <c r="E242" s="228">
        <v>2</v>
      </c>
      <c r="F242" s="174" t="s">
        <v>1353</v>
      </c>
      <c r="G242" s="233" t="s">
        <v>1355</v>
      </c>
      <c r="H242" s="233" t="s">
        <v>1359</v>
      </c>
      <c r="I242" s="880">
        <v>4760000</v>
      </c>
      <c r="J242" s="902">
        <v>4760000</v>
      </c>
      <c r="K242" s="860" t="s">
        <v>1365</v>
      </c>
      <c r="L242" s="849" t="s">
        <v>1366</v>
      </c>
      <c r="M242" s="228" t="s">
        <v>1442</v>
      </c>
      <c r="N242" s="228" t="s">
        <v>1455</v>
      </c>
      <c r="O242" s="866" t="s">
        <v>1456</v>
      </c>
      <c r="P242" s="856" t="s">
        <v>1370</v>
      </c>
      <c r="Q242" s="856" t="s">
        <v>1371</v>
      </c>
      <c r="R242" s="856" t="s">
        <v>1365</v>
      </c>
      <c r="S242" s="232" t="s">
        <v>1365</v>
      </c>
    </row>
    <row r="243" spans="1:19" ht="43" customHeight="1" x14ac:dyDescent="0.35">
      <c r="A243" s="844">
        <v>90101600</v>
      </c>
      <c r="B243" s="860" t="s">
        <v>1220</v>
      </c>
      <c r="C243" s="228" t="s">
        <v>76</v>
      </c>
      <c r="D243" s="228" t="s">
        <v>76</v>
      </c>
      <c r="E243" s="228">
        <v>1</v>
      </c>
      <c r="F243" s="174" t="s">
        <v>1353</v>
      </c>
      <c r="G243" s="233" t="s">
        <v>1355</v>
      </c>
      <c r="H243" s="233" t="s">
        <v>1359</v>
      </c>
      <c r="I243" s="880">
        <v>3570000</v>
      </c>
      <c r="J243" s="902">
        <v>3570000</v>
      </c>
      <c r="K243" s="860" t="s">
        <v>1365</v>
      </c>
      <c r="L243" s="849" t="s">
        <v>1366</v>
      </c>
      <c r="M243" s="228" t="s">
        <v>1442</v>
      </c>
      <c r="N243" s="228" t="s">
        <v>1455</v>
      </c>
      <c r="O243" s="866" t="s">
        <v>1456</v>
      </c>
      <c r="P243" s="856" t="s">
        <v>1370</v>
      </c>
      <c r="Q243" s="856" t="s">
        <v>1371</v>
      </c>
      <c r="R243" s="856" t="s">
        <v>1365</v>
      </c>
      <c r="S243" s="232" t="s">
        <v>1365</v>
      </c>
    </row>
    <row r="244" spans="1:19" ht="43" customHeight="1" x14ac:dyDescent="0.35">
      <c r="A244" s="844">
        <v>90101600</v>
      </c>
      <c r="B244" s="860" t="s">
        <v>1228</v>
      </c>
      <c r="C244" s="228" t="s">
        <v>80</v>
      </c>
      <c r="D244" s="228" t="s">
        <v>80</v>
      </c>
      <c r="E244" s="228">
        <v>1</v>
      </c>
      <c r="F244" s="174" t="s">
        <v>1353</v>
      </c>
      <c r="G244" s="233" t="s">
        <v>1355</v>
      </c>
      <c r="H244" s="233" t="s">
        <v>1359</v>
      </c>
      <c r="I244" s="880">
        <v>3570000</v>
      </c>
      <c r="J244" s="902">
        <v>3570000</v>
      </c>
      <c r="K244" s="860" t="s">
        <v>1365</v>
      </c>
      <c r="L244" s="849" t="s">
        <v>1366</v>
      </c>
      <c r="M244" s="228" t="s">
        <v>1442</v>
      </c>
      <c r="N244" s="228" t="s">
        <v>1455</v>
      </c>
      <c r="O244" s="866" t="s">
        <v>1456</v>
      </c>
      <c r="P244" s="856" t="s">
        <v>1370</v>
      </c>
      <c r="Q244" s="856" t="s">
        <v>1371</v>
      </c>
      <c r="R244" s="856" t="s">
        <v>1365</v>
      </c>
      <c r="S244" s="232" t="s">
        <v>1365</v>
      </c>
    </row>
    <row r="245" spans="1:19" ht="43" customHeight="1" x14ac:dyDescent="0.35">
      <c r="A245" s="845">
        <v>46191601</v>
      </c>
      <c r="B245" s="860" t="s">
        <v>1229</v>
      </c>
      <c r="C245" s="228" t="s">
        <v>71</v>
      </c>
      <c r="D245" s="228" t="s">
        <v>71</v>
      </c>
      <c r="E245" s="228">
        <v>1</v>
      </c>
      <c r="F245" s="174" t="s">
        <v>1353</v>
      </c>
      <c r="G245" s="233" t="s">
        <v>1358</v>
      </c>
      <c r="H245" s="233" t="s">
        <v>1359</v>
      </c>
      <c r="I245" s="880">
        <v>1428000</v>
      </c>
      <c r="J245" s="902">
        <v>1428000</v>
      </c>
      <c r="K245" s="860" t="s">
        <v>1365</v>
      </c>
      <c r="L245" s="849" t="s">
        <v>1366</v>
      </c>
      <c r="M245" s="228" t="s">
        <v>1442</v>
      </c>
      <c r="N245" s="228" t="s">
        <v>1455</v>
      </c>
      <c r="O245" s="866" t="s">
        <v>1456</v>
      </c>
      <c r="P245" s="856" t="s">
        <v>1370</v>
      </c>
      <c r="Q245" s="856" t="s">
        <v>1371</v>
      </c>
      <c r="R245" s="856" t="s">
        <v>1365</v>
      </c>
      <c r="S245" s="232" t="s">
        <v>1365</v>
      </c>
    </row>
    <row r="246" spans="1:19" ht="43" customHeight="1" x14ac:dyDescent="0.35">
      <c r="A246" s="844">
        <v>40101701</v>
      </c>
      <c r="B246" s="860" t="s">
        <v>1230</v>
      </c>
      <c r="C246" s="228" t="s">
        <v>73</v>
      </c>
      <c r="D246" s="228" t="s">
        <v>73</v>
      </c>
      <c r="E246" s="228">
        <v>2</v>
      </c>
      <c r="F246" s="174" t="s">
        <v>1353</v>
      </c>
      <c r="G246" s="233" t="s">
        <v>1355</v>
      </c>
      <c r="H246" s="233" t="s">
        <v>1359</v>
      </c>
      <c r="I246" s="880">
        <v>30940000</v>
      </c>
      <c r="J246" s="902">
        <v>30940000</v>
      </c>
      <c r="K246" s="860" t="s">
        <v>1365</v>
      </c>
      <c r="L246" s="849" t="s">
        <v>1366</v>
      </c>
      <c r="M246" s="228" t="s">
        <v>1442</v>
      </c>
      <c r="N246" s="228" t="s">
        <v>1455</v>
      </c>
      <c r="O246" s="866" t="s">
        <v>1456</v>
      </c>
      <c r="P246" s="856" t="s">
        <v>1370</v>
      </c>
      <c r="Q246" s="856" t="s">
        <v>1371</v>
      </c>
      <c r="R246" s="856" t="s">
        <v>1365</v>
      </c>
      <c r="S246" s="232" t="s">
        <v>1365</v>
      </c>
    </row>
    <row r="247" spans="1:19" ht="43" customHeight="1" x14ac:dyDescent="0.35">
      <c r="A247" s="844">
        <v>72101511</v>
      </c>
      <c r="B247" s="860" t="s">
        <v>1231</v>
      </c>
      <c r="C247" s="228" t="s">
        <v>73</v>
      </c>
      <c r="D247" s="228" t="s">
        <v>73</v>
      </c>
      <c r="E247" s="228">
        <v>2</v>
      </c>
      <c r="F247" s="174" t="s">
        <v>1353</v>
      </c>
      <c r="G247" s="233" t="s">
        <v>1355</v>
      </c>
      <c r="H247" s="233" t="s">
        <v>1359</v>
      </c>
      <c r="I247" s="880">
        <v>5950000</v>
      </c>
      <c r="J247" s="902">
        <v>5950000</v>
      </c>
      <c r="K247" s="860" t="s">
        <v>1365</v>
      </c>
      <c r="L247" s="849" t="s">
        <v>1366</v>
      </c>
      <c r="M247" s="228" t="s">
        <v>1442</v>
      </c>
      <c r="N247" s="228" t="s">
        <v>1455</v>
      </c>
      <c r="O247" s="866" t="s">
        <v>1456</v>
      </c>
      <c r="P247" s="856" t="s">
        <v>1370</v>
      </c>
      <c r="Q247" s="856" t="s">
        <v>1371</v>
      </c>
      <c r="R247" s="856" t="s">
        <v>1365</v>
      </c>
      <c r="S247" s="232" t="s">
        <v>1365</v>
      </c>
    </row>
    <row r="248" spans="1:19" ht="43" customHeight="1" x14ac:dyDescent="0.35">
      <c r="A248" s="846">
        <v>30171501</v>
      </c>
      <c r="B248" s="860" t="s">
        <v>1232</v>
      </c>
      <c r="C248" s="228" t="s">
        <v>70</v>
      </c>
      <c r="D248" s="228" t="s">
        <v>70</v>
      </c>
      <c r="E248" s="228">
        <v>2</v>
      </c>
      <c r="F248" s="174" t="s">
        <v>1353</v>
      </c>
      <c r="G248" s="233" t="s">
        <v>1355</v>
      </c>
      <c r="H248" s="233" t="s">
        <v>1359</v>
      </c>
      <c r="I248" s="880">
        <v>3213000</v>
      </c>
      <c r="J248" s="902">
        <v>3213000</v>
      </c>
      <c r="K248" s="860" t="s">
        <v>1365</v>
      </c>
      <c r="L248" s="849" t="s">
        <v>1366</v>
      </c>
      <c r="M248" s="228" t="s">
        <v>1442</v>
      </c>
      <c r="N248" s="228" t="s">
        <v>1455</v>
      </c>
      <c r="O248" s="866" t="s">
        <v>1456</v>
      </c>
      <c r="P248" s="856" t="s">
        <v>1370</v>
      </c>
      <c r="Q248" s="856" t="s">
        <v>1371</v>
      </c>
      <c r="R248" s="856" t="s">
        <v>1365</v>
      </c>
      <c r="S248" s="232" t="s">
        <v>1365</v>
      </c>
    </row>
    <row r="249" spans="1:19" ht="43" customHeight="1" x14ac:dyDescent="0.35">
      <c r="A249" s="844">
        <v>72154028</v>
      </c>
      <c r="B249" s="861" t="s">
        <v>1233</v>
      </c>
      <c r="C249" s="228" t="s">
        <v>75</v>
      </c>
      <c r="D249" s="228" t="s">
        <v>75</v>
      </c>
      <c r="E249" s="228">
        <v>2</v>
      </c>
      <c r="F249" s="174" t="s">
        <v>1353</v>
      </c>
      <c r="G249" s="233" t="s">
        <v>1355</v>
      </c>
      <c r="H249" s="233" t="s">
        <v>1359</v>
      </c>
      <c r="I249" s="880">
        <v>11900000</v>
      </c>
      <c r="J249" s="902">
        <v>11900000</v>
      </c>
      <c r="K249" s="860" t="s">
        <v>1365</v>
      </c>
      <c r="L249" s="849" t="s">
        <v>1366</v>
      </c>
      <c r="M249" s="228" t="s">
        <v>1442</v>
      </c>
      <c r="N249" s="228" t="s">
        <v>1455</v>
      </c>
      <c r="O249" s="866" t="s">
        <v>1456</v>
      </c>
      <c r="P249" s="856" t="s">
        <v>1370</v>
      </c>
      <c r="Q249" s="856" t="s">
        <v>1371</v>
      </c>
      <c r="R249" s="856" t="s">
        <v>1365</v>
      </c>
      <c r="S249" s="232" t="s">
        <v>1365</v>
      </c>
    </row>
    <row r="250" spans="1:19" ht="43" customHeight="1" x14ac:dyDescent="0.35">
      <c r="A250" s="844">
        <v>56112102</v>
      </c>
      <c r="B250" s="860" t="s">
        <v>1234</v>
      </c>
      <c r="C250" s="228" t="s">
        <v>70</v>
      </c>
      <c r="D250" s="228" t="s">
        <v>71</v>
      </c>
      <c r="E250" s="228">
        <v>1</v>
      </c>
      <c r="F250" s="174" t="s">
        <v>1353</v>
      </c>
      <c r="G250" s="233" t="s">
        <v>1358</v>
      </c>
      <c r="H250" s="233" t="s">
        <v>1359</v>
      </c>
      <c r="I250" s="880">
        <v>1487500</v>
      </c>
      <c r="J250" s="902">
        <v>1487500</v>
      </c>
      <c r="K250" s="860" t="s">
        <v>1365</v>
      </c>
      <c r="L250" s="849" t="s">
        <v>1366</v>
      </c>
      <c r="M250" s="228" t="s">
        <v>1442</v>
      </c>
      <c r="N250" s="228" t="s">
        <v>1455</v>
      </c>
      <c r="O250" s="866" t="s">
        <v>1456</v>
      </c>
      <c r="P250" s="856" t="s">
        <v>1370</v>
      </c>
      <c r="Q250" s="856" t="s">
        <v>1371</v>
      </c>
      <c r="R250" s="856" t="s">
        <v>1365</v>
      </c>
      <c r="S250" s="232" t="s">
        <v>1365</v>
      </c>
    </row>
    <row r="251" spans="1:19" ht="43" customHeight="1" x14ac:dyDescent="0.35">
      <c r="A251" s="844">
        <v>80161801</v>
      </c>
      <c r="B251" s="860" t="s">
        <v>1235</v>
      </c>
      <c r="C251" s="228" t="s">
        <v>69</v>
      </c>
      <c r="D251" s="228" t="s">
        <v>69</v>
      </c>
      <c r="E251" s="228">
        <v>12</v>
      </c>
      <c r="F251" s="174" t="s">
        <v>1353</v>
      </c>
      <c r="G251" s="233" t="s">
        <v>1355</v>
      </c>
      <c r="H251" s="233" t="s">
        <v>1359</v>
      </c>
      <c r="I251" s="880">
        <v>4760000</v>
      </c>
      <c r="J251" s="902">
        <v>4760000</v>
      </c>
      <c r="K251" s="860" t="s">
        <v>1365</v>
      </c>
      <c r="L251" s="849" t="s">
        <v>1366</v>
      </c>
      <c r="M251" s="228" t="s">
        <v>1442</v>
      </c>
      <c r="N251" s="228" t="s">
        <v>1455</v>
      </c>
      <c r="O251" s="866" t="s">
        <v>1456</v>
      </c>
      <c r="P251" s="856" t="s">
        <v>1370</v>
      </c>
      <c r="Q251" s="856" t="s">
        <v>1371</v>
      </c>
      <c r="R251" s="856" t="s">
        <v>1365</v>
      </c>
      <c r="S251" s="232" t="s">
        <v>1365</v>
      </c>
    </row>
    <row r="252" spans="1:19" ht="43" customHeight="1" x14ac:dyDescent="0.35">
      <c r="A252" s="844">
        <v>72153613</v>
      </c>
      <c r="B252" s="860" t="s">
        <v>1236</v>
      </c>
      <c r="C252" s="228" t="s">
        <v>71</v>
      </c>
      <c r="D252" s="228" t="s">
        <v>71</v>
      </c>
      <c r="E252" s="228">
        <v>1</v>
      </c>
      <c r="F252" s="174" t="s">
        <v>1353</v>
      </c>
      <c r="G252" s="233" t="s">
        <v>1358</v>
      </c>
      <c r="H252" s="233" t="s">
        <v>1359</v>
      </c>
      <c r="I252" s="880">
        <v>714000</v>
      </c>
      <c r="J252" s="902">
        <v>714000</v>
      </c>
      <c r="K252" s="860" t="s">
        <v>1365</v>
      </c>
      <c r="L252" s="849" t="s">
        <v>1366</v>
      </c>
      <c r="M252" s="228" t="s">
        <v>1442</v>
      </c>
      <c r="N252" s="228" t="s">
        <v>1455</v>
      </c>
      <c r="O252" s="866" t="s">
        <v>1456</v>
      </c>
      <c r="P252" s="856" t="s">
        <v>1370</v>
      </c>
      <c r="Q252" s="856" t="s">
        <v>1371</v>
      </c>
      <c r="R252" s="856" t="s">
        <v>1365</v>
      </c>
      <c r="S252" s="232" t="s">
        <v>1365</v>
      </c>
    </row>
    <row r="253" spans="1:19" ht="43" customHeight="1" x14ac:dyDescent="0.35">
      <c r="A253" s="844">
        <v>72101511</v>
      </c>
      <c r="B253" s="860" t="s">
        <v>1237</v>
      </c>
      <c r="C253" s="228" t="s">
        <v>69</v>
      </c>
      <c r="D253" s="228" t="s">
        <v>69</v>
      </c>
      <c r="E253" s="228">
        <v>12</v>
      </c>
      <c r="F253" s="174" t="s">
        <v>1353</v>
      </c>
      <c r="G253" s="233" t="s">
        <v>1355</v>
      </c>
      <c r="H253" s="233" t="s">
        <v>1359</v>
      </c>
      <c r="I253" s="880">
        <v>12208210</v>
      </c>
      <c r="J253" s="902">
        <v>12208210</v>
      </c>
      <c r="K253" s="860" t="s">
        <v>1365</v>
      </c>
      <c r="L253" s="849" t="s">
        <v>1366</v>
      </c>
      <c r="M253" s="228" t="s">
        <v>1442</v>
      </c>
      <c r="N253" s="228" t="s">
        <v>1455</v>
      </c>
      <c r="O253" s="866" t="s">
        <v>1456</v>
      </c>
      <c r="P253" s="856" t="s">
        <v>1370</v>
      </c>
      <c r="Q253" s="856" t="s">
        <v>1371</v>
      </c>
      <c r="R253" s="856" t="s">
        <v>1365</v>
      </c>
      <c r="S253" s="232" t="s">
        <v>1365</v>
      </c>
    </row>
    <row r="254" spans="1:19" ht="43" customHeight="1" x14ac:dyDescent="0.35">
      <c r="A254" s="844">
        <v>72101516</v>
      </c>
      <c r="B254" s="860" t="s">
        <v>1238</v>
      </c>
      <c r="C254" s="228" t="s">
        <v>70</v>
      </c>
      <c r="D254" s="228" t="s">
        <v>70</v>
      </c>
      <c r="E254" s="228">
        <v>1</v>
      </c>
      <c r="F254" s="174" t="s">
        <v>1353</v>
      </c>
      <c r="G254" s="233" t="s">
        <v>1358</v>
      </c>
      <c r="H254" s="233" t="s">
        <v>1359</v>
      </c>
      <c r="I254" s="880">
        <v>1054589.8999999999</v>
      </c>
      <c r="J254" s="902">
        <v>1054589.8999999999</v>
      </c>
      <c r="K254" s="860" t="s">
        <v>1365</v>
      </c>
      <c r="L254" s="849" t="s">
        <v>1366</v>
      </c>
      <c r="M254" s="228" t="s">
        <v>1442</v>
      </c>
      <c r="N254" s="228" t="s">
        <v>1455</v>
      </c>
      <c r="O254" s="866" t="s">
        <v>1456</v>
      </c>
      <c r="P254" s="856" t="s">
        <v>1370</v>
      </c>
      <c r="Q254" s="856" t="s">
        <v>1371</v>
      </c>
      <c r="R254" s="856" t="s">
        <v>1365</v>
      </c>
      <c r="S254" s="232" t="s">
        <v>1365</v>
      </c>
    </row>
    <row r="255" spans="1:19" ht="43" customHeight="1" x14ac:dyDescent="0.35">
      <c r="A255" s="844">
        <v>90101600</v>
      </c>
      <c r="B255" s="860" t="s">
        <v>1220</v>
      </c>
      <c r="C255" s="228" t="s">
        <v>72</v>
      </c>
      <c r="D255" s="228" t="s">
        <v>71</v>
      </c>
      <c r="E255" s="228">
        <v>1</v>
      </c>
      <c r="F255" s="174" t="s">
        <v>1353</v>
      </c>
      <c r="G255" s="233" t="s">
        <v>1355</v>
      </c>
      <c r="H255" s="233" t="s">
        <v>1359</v>
      </c>
      <c r="I255" s="880">
        <v>11900000</v>
      </c>
      <c r="J255" s="902">
        <v>11900000</v>
      </c>
      <c r="K255" s="860" t="s">
        <v>1365</v>
      </c>
      <c r="L255" s="860" t="s">
        <v>1366</v>
      </c>
      <c r="M255" s="228" t="s">
        <v>1442</v>
      </c>
      <c r="N255" s="228" t="s">
        <v>1455</v>
      </c>
      <c r="O255" s="866" t="s">
        <v>1456</v>
      </c>
      <c r="P255" s="856" t="s">
        <v>1370</v>
      </c>
      <c r="Q255" s="856" t="s">
        <v>1371</v>
      </c>
      <c r="R255" s="856" t="s">
        <v>1365</v>
      </c>
      <c r="S255" s="232" t="s">
        <v>1365</v>
      </c>
    </row>
    <row r="256" spans="1:19" ht="43" customHeight="1" x14ac:dyDescent="0.35">
      <c r="A256" s="844">
        <v>80141902</v>
      </c>
      <c r="B256" s="860" t="s">
        <v>1221</v>
      </c>
      <c r="C256" s="228" t="s">
        <v>80</v>
      </c>
      <c r="D256" s="228" t="s">
        <v>79</v>
      </c>
      <c r="E256" s="228">
        <v>1</v>
      </c>
      <c r="F256" s="174" t="s">
        <v>1353</v>
      </c>
      <c r="G256" s="233" t="s">
        <v>1355</v>
      </c>
      <c r="H256" s="233" t="s">
        <v>1359</v>
      </c>
      <c r="I256" s="880">
        <v>11900000</v>
      </c>
      <c r="J256" s="902">
        <v>11900000</v>
      </c>
      <c r="K256" s="860" t="s">
        <v>1365</v>
      </c>
      <c r="L256" s="860" t="s">
        <v>1366</v>
      </c>
      <c r="M256" s="228" t="s">
        <v>1442</v>
      </c>
      <c r="N256" s="228" t="s">
        <v>1457</v>
      </c>
      <c r="O256" s="866" t="s">
        <v>1456</v>
      </c>
      <c r="P256" s="856" t="s">
        <v>1370</v>
      </c>
      <c r="Q256" s="856" t="s">
        <v>1371</v>
      </c>
      <c r="R256" s="856" t="s">
        <v>1365</v>
      </c>
      <c r="S256" s="232" t="s">
        <v>1365</v>
      </c>
    </row>
    <row r="257" spans="1:19" ht="43" customHeight="1" x14ac:dyDescent="0.35">
      <c r="A257" s="844">
        <v>82121507</v>
      </c>
      <c r="B257" s="860" t="s">
        <v>1239</v>
      </c>
      <c r="C257" s="228" t="s">
        <v>73</v>
      </c>
      <c r="D257" s="228" t="s">
        <v>74</v>
      </c>
      <c r="E257" s="228">
        <v>2</v>
      </c>
      <c r="F257" s="174" t="s">
        <v>1353</v>
      </c>
      <c r="G257" s="233" t="s">
        <v>1355</v>
      </c>
      <c r="H257" s="233" t="s">
        <v>1359</v>
      </c>
      <c r="I257" s="880">
        <v>3000000</v>
      </c>
      <c r="J257" s="902">
        <v>3000000</v>
      </c>
      <c r="K257" s="860" t="s">
        <v>1365</v>
      </c>
      <c r="L257" s="849" t="s">
        <v>1366</v>
      </c>
      <c r="M257" s="228" t="s">
        <v>1442</v>
      </c>
      <c r="N257" s="228" t="s">
        <v>1457</v>
      </c>
      <c r="O257" s="911" t="s">
        <v>1458</v>
      </c>
      <c r="P257" s="856" t="s">
        <v>1370</v>
      </c>
      <c r="Q257" s="856" t="s">
        <v>1371</v>
      </c>
      <c r="R257" s="856" t="s">
        <v>1365</v>
      </c>
      <c r="S257" s="232" t="s">
        <v>1365</v>
      </c>
    </row>
    <row r="258" spans="1:19" ht="43" customHeight="1" x14ac:dyDescent="0.35">
      <c r="A258" s="844">
        <v>80141902</v>
      </c>
      <c r="B258" s="860" t="s">
        <v>1240</v>
      </c>
      <c r="C258" s="228" t="s">
        <v>80</v>
      </c>
      <c r="D258" s="228" t="s">
        <v>80</v>
      </c>
      <c r="E258" s="228">
        <v>1</v>
      </c>
      <c r="F258" s="174" t="s">
        <v>1353</v>
      </c>
      <c r="G258" s="233" t="s">
        <v>1358</v>
      </c>
      <c r="H258" s="233" t="s">
        <v>1359</v>
      </c>
      <c r="I258" s="880">
        <v>664299.65</v>
      </c>
      <c r="J258" s="902">
        <v>664299.65</v>
      </c>
      <c r="K258" s="860" t="s">
        <v>1365</v>
      </c>
      <c r="L258" s="849" t="s">
        <v>1366</v>
      </c>
      <c r="M258" s="228" t="s">
        <v>1442</v>
      </c>
      <c r="N258" s="228" t="s">
        <v>1457</v>
      </c>
      <c r="O258" s="866" t="s">
        <v>1459</v>
      </c>
      <c r="P258" s="856" t="s">
        <v>1370</v>
      </c>
      <c r="Q258" s="856" t="s">
        <v>1371</v>
      </c>
      <c r="R258" s="856" t="s">
        <v>1365</v>
      </c>
      <c r="S258" s="232" t="s">
        <v>1365</v>
      </c>
    </row>
    <row r="259" spans="1:19" ht="43" customHeight="1" x14ac:dyDescent="0.35">
      <c r="A259" s="844">
        <v>30171501</v>
      </c>
      <c r="B259" s="860" t="s">
        <v>1241</v>
      </c>
      <c r="C259" s="228" t="s">
        <v>73</v>
      </c>
      <c r="D259" s="228" t="s">
        <v>73</v>
      </c>
      <c r="E259" s="228">
        <v>1</v>
      </c>
      <c r="F259" s="174" t="s">
        <v>1353</v>
      </c>
      <c r="G259" s="233" t="s">
        <v>1355</v>
      </c>
      <c r="H259" s="233" t="s">
        <v>1359</v>
      </c>
      <c r="I259" s="880">
        <v>3769999.73</v>
      </c>
      <c r="J259" s="902">
        <v>3769999.73</v>
      </c>
      <c r="K259" s="860" t="s">
        <v>1365</v>
      </c>
      <c r="L259" s="849" t="s">
        <v>1366</v>
      </c>
      <c r="M259" s="228" t="s">
        <v>1442</v>
      </c>
      <c r="N259" s="228" t="s">
        <v>1457</v>
      </c>
      <c r="O259" s="866" t="s">
        <v>1459</v>
      </c>
      <c r="P259" s="856" t="s">
        <v>1370</v>
      </c>
      <c r="Q259" s="856" t="s">
        <v>1371</v>
      </c>
      <c r="R259" s="856" t="s">
        <v>1365</v>
      </c>
      <c r="S259" s="232" t="s">
        <v>1365</v>
      </c>
    </row>
    <row r="260" spans="1:19" ht="43" customHeight="1" x14ac:dyDescent="0.35">
      <c r="A260" s="844">
        <v>72101511</v>
      </c>
      <c r="B260" s="860" t="s">
        <v>1242</v>
      </c>
      <c r="C260" s="228" t="s">
        <v>71</v>
      </c>
      <c r="D260" s="228" t="s">
        <v>71</v>
      </c>
      <c r="E260" s="228">
        <v>12</v>
      </c>
      <c r="F260" s="174" t="s">
        <v>1353</v>
      </c>
      <c r="G260" s="233" t="s">
        <v>1355</v>
      </c>
      <c r="H260" s="233" t="s">
        <v>1359</v>
      </c>
      <c r="I260" s="880">
        <v>2992000.34</v>
      </c>
      <c r="J260" s="902">
        <v>2992000.34</v>
      </c>
      <c r="K260" s="860" t="s">
        <v>1365</v>
      </c>
      <c r="L260" s="849" t="s">
        <v>1366</v>
      </c>
      <c r="M260" s="228" t="s">
        <v>1442</v>
      </c>
      <c r="N260" s="228" t="s">
        <v>1457</v>
      </c>
      <c r="O260" s="866" t="s">
        <v>1459</v>
      </c>
      <c r="P260" s="856" t="s">
        <v>1370</v>
      </c>
      <c r="Q260" s="856" t="s">
        <v>1371</v>
      </c>
      <c r="R260" s="856" t="s">
        <v>1365</v>
      </c>
      <c r="S260" s="232" t="s">
        <v>1365</v>
      </c>
    </row>
    <row r="261" spans="1:19" ht="43" customHeight="1" x14ac:dyDescent="0.35">
      <c r="A261" s="844">
        <v>90101600</v>
      </c>
      <c r="B261" s="860" t="s">
        <v>1220</v>
      </c>
      <c r="C261" s="228" t="s">
        <v>72</v>
      </c>
      <c r="D261" s="228" t="s">
        <v>71</v>
      </c>
      <c r="E261" s="228">
        <v>1</v>
      </c>
      <c r="F261" s="174" t="s">
        <v>1353</v>
      </c>
      <c r="G261" s="233" t="s">
        <v>1355</v>
      </c>
      <c r="H261" s="233" t="s">
        <v>1359</v>
      </c>
      <c r="I261" s="880">
        <v>3094000</v>
      </c>
      <c r="J261" s="902">
        <v>3094000</v>
      </c>
      <c r="K261" s="860" t="s">
        <v>1365</v>
      </c>
      <c r="L261" s="860" t="s">
        <v>1366</v>
      </c>
      <c r="M261" s="228" t="s">
        <v>1442</v>
      </c>
      <c r="N261" s="228" t="s">
        <v>1457</v>
      </c>
      <c r="O261" s="866" t="s">
        <v>1458</v>
      </c>
      <c r="P261" s="856" t="s">
        <v>1370</v>
      </c>
      <c r="Q261" s="856" t="s">
        <v>1371</v>
      </c>
      <c r="R261" s="856" t="s">
        <v>1365</v>
      </c>
      <c r="S261" s="232" t="s">
        <v>1365</v>
      </c>
    </row>
    <row r="262" spans="1:19" ht="43" customHeight="1" x14ac:dyDescent="0.35">
      <c r="A262" s="844">
        <v>80141902</v>
      </c>
      <c r="B262" s="860" t="s">
        <v>1221</v>
      </c>
      <c r="C262" s="228" t="s">
        <v>80</v>
      </c>
      <c r="D262" s="228" t="s">
        <v>79</v>
      </c>
      <c r="E262" s="228">
        <v>1</v>
      </c>
      <c r="F262" s="174" t="s">
        <v>1353</v>
      </c>
      <c r="G262" s="233" t="s">
        <v>1355</v>
      </c>
      <c r="H262" s="233" t="s">
        <v>1359</v>
      </c>
      <c r="I262" s="880">
        <v>3094000</v>
      </c>
      <c r="J262" s="902">
        <v>3094000</v>
      </c>
      <c r="K262" s="860" t="s">
        <v>1365</v>
      </c>
      <c r="L262" s="860" t="s">
        <v>1366</v>
      </c>
      <c r="M262" s="228" t="s">
        <v>1442</v>
      </c>
      <c r="N262" s="228" t="s">
        <v>1457</v>
      </c>
      <c r="O262" s="866" t="s">
        <v>1458</v>
      </c>
      <c r="P262" s="856" t="s">
        <v>1370</v>
      </c>
      <c r="Q262" s="856" t="s">
        <v>1371</v>
      </c>
      <c r="R262" s="856" t="s">
        <v>1365</v>
      </c>
      <c r="S262" s="232" t="s">
        <v>1365</v>
      </c>
    </row>
    <row r="263" spans="1:19" ht="43" customHeight="1" x14ac:dyDescent="0.35">
      <c r="A263" s="844">
        <v>72154066</v>
      </c>
      <c r="B263" s="860" t="s">
        <v>1243</v>
      </c>
      <c r="C263" s="228" t="s">
        <v>72</v>
      </c>
      <c r="D263" s="228" t="s">
        <v>73</v>
      </c>
      <c r="E263" s="228">
        <v>1</v>
      </c>
      <c r="F263" s="174" t="s">
        <v>1353</v>
      </c>
      <c r="G263" s="233" t="s">
        <v>1355</v>
      </c>
      <c r="H263" s="233" t="s">
        <v>1359</v>
      </c>
      <c r="I263" s="880">
        <v>2142000</v>
      </c>
      <c r="J263" s="902">
        <v>2142000</v>
      </c>
      <c r="K263" s="860" t="s">
        <v>1365</v>
      </c>
      <c r="L263" s="849" t="s">
        <v>1366</v>
      </c>
      <c r="M263" s="228" t="s">
        <v>1442</v>
      </c>
      <c r="N263" s="228" t="s">
        <v>1460</v>
      </c>
      <c r="O263" s="866" t="s">
        <v>1461</v>
      </c>
      <c r="P263" s="856" t="s">
        <v>1370</v>
      </c>
      <c r="Q263" s="856" t="s">
        <v>1371</v>
      </c>
      <c r="R263" s="856" t="s">
        <v>1365</v>
      </c>
      <c r="S263" s="232" t="s">
        <v>1365</v>
      </c>
    </row>
    <row r="264" spans="1:19" ht="43" customHeight="1" x14ac:dyDescent="0.35">
      <c r="A264" s="844">
        <v>52161505</v>
      </c>
      <c r="B264" s="860" t="s">
        <v>1244</v>
      </c>
      <c r="C264" s="228" t="s">
        <v>73</v>
      </c>
      <c r="D264" s="228" t="s">
        <v>73</v>
      </c>
      <c r="E264" s="228">
        <v>1</v>
      </c>
      <c r="F264" s="174" t="s">
        <v>1353</v>
      </c>
      <c r="G264" s="233" t="s">
        <v>1355</v>
      </c>
      <c r="H264" s="233" t="s">
        <v>1359</v>
      </c>
      <c r="I264" s="880">
        <v>3570000</v>
      </c>
      <c r="J264" s="902">
        <v>3570000</v>
      </c>
      <c r="K264" s="860" t="s">
        <v>1365</v>
      </c>
      <c r="L264" s="849" t="s">
        <v>1366</v>
      </c>
      <c r="M264" s="228" t="s">
        <v>1442</v>
      </c>
      <c r="N264" s="228" t="s">
        <v>1460</v>
      </c>
      <c r="O264" s="866" t="s">
        <v>1461</v>
      </c>
      <c r="P264" s="856" t="s">
        <v>1370</v>
      </c>
      <c r="Q264" s="856" t="s">
        <v>1371</v>
      </c>
      <c r="R264" s="856" t="s">
        <v>1365</v>
      </c>
      <c r="S264" s="232" t="s">
        <v>1365</v>
      </c>
    </row>
    <row r="265" spans="1:19" ht="43" customHeight="1" x14ac:dyDescent="0.35">
      <c r="A265" s="844">
        <v>78181703</v>
      </c>
      <c r="B265" s="860" t="s">
        <v>1245</v>
      </c>
      <c r="C265" s="228" t="s">
        <v>69</v>
      </c>
      <c r="D265" s="228" t="s">
        <v>69</v>
      </c>
      <c r="E265" s="228">
        <v>12</v>
      </c>
      <c r="F265" s="174" t="s">
        <v>1353</v>
      </c>
      <c r="G265" s="233" t="s">
        <v>1355</v>
      </c>
      <c r="H265" s="233" t="s">
        <v>1359</v>
      </c>
      <c r="I265" s="880">
        <v>26353819.73</v>
      </c>
      <c r="J265" s="902">
        <v>26353819.73</v>
      </c>
      <c r="K265" s="860" t="s">
        <v>1365</v>
      </c>
      <c r="L265" s="849" t="s">
        <v>1366</v>
      </c>
      <c r="M265" s="228" t="s">
        <v>1442</v>
      </c>
      <c r="N265" s="228" t="s">
        <v>1460</v>
      </c>
      <c r="O265" s="866" t="s">
        <v>1461</v>
      </c>
      <c r="P265" s="856" t="s">
        <v>1370</v>
      </c>
      <c r="Q265" s="856" t="s">
        <v>1371</v>
      </c>
      <c r="R265" s="856" t="s">
        <v>1365</v>
      </c>
      <c r="S265" s="232" t="s">
        <v>1365</v>
      </c>
    </row>
    <row r="266" spans="1:19" ht="43" customHeight="1" x14ac:dyDescent="0.35">
      <c r="A266" s="844">
        <v>80141902</v>
      </c>
      <c r="B266" s="860" t="s">
        <v>1246</v>
      </c>
      <c r="C266" s="228" t="s">
        <v>79</v>
      </c>
      <c r="D266" s="228" t="s">
        <v>80</v>
      </c>
      <c r="E266" s="228">
        <v>1</v>
      </c>
      <c r="F266" s="174" t="s">
        <v>1353</v>
      </c>
      <c r="G266" s="233" t="s">
        <v>1355</v>
      </c>
      <c r="H266" s="233" t="s">
        <v>1359</v>
      </c>
      <c r="I266" s="880">
        <v>7497000</v>
      </c>
      <c r="J266" s="902">
        <v>7497000</v>
      </c>
      <c r="K266" s="860" t="s">
        <v>1365</v>
      </c>
      <c r="L266" s="849" t="s">
        <v>1366</v>
      </c>
      <c r="M266" s="228" t="s">
        <v>1442</v>
      </c>
      <c r="N266" s="228" t="s">
        <v>1460</v>
      </c>
      <c r="O266" s="866" t="s">
        <v>1461</v>
      </c>
      <c r="P266" s="856" t="s">
        <v>1370</v>
      </c>
      <c r="Q266" s="856" t="s">
        <v>1371</v>
      </c>
      <c r="R266" s="856" t="s">
        <v>1365</v>
      </c>
      <c r="S266" s="232" t="s">
        <v>1365</v>
      </c>
    </row>
    <row r="267" spans="1:19" ht="43" customHeight="1" x14ac:dyDescent="0.35">
      <c r="A267" s="844">
        <v>72101511</v>
      </c>
      <c r="B267" s="860" t="s">
        <v>1247</v>
      </c>
      <c r="C267" s="228" t="s">
        <v>70</v>
      </c>
      <c r="D267" s="228" t="s">
        <v>70</v>
      </c>
      <c r="E267" s="228">
        <v>11</v>
      </c>
      <c r="F267" s="174" t="s">
        <v>1353</v>
      </c>
      <c r="G267" s="233" t="s">
        <v>1355</v>
      </c>
      <c r="H267" s="233" t="s">
        <v>1359</v>
      </c>
      <c r="I267" s="880">
        <v>7140000</v>
      </c>
      <c r="J267" s="902">
        <v>7140000</v>
      </c>
      <c r="K267" s="860" t="s">
        <v>1365</v>
      </c>
      <c r="L267" s="849" t="s">
        <v>1366</v>
      </c>
      <c r="M267" s="228" t="s">
        <v>1442</v>
      </c>
      <c r="N267" s="228" t="s">
        <v>1460</v>
      </c>
      <c r="O267" s="866" t="s">
        <v>1461</v>
      </c>
      <c r="P267" s="856" t="s">
        <v>1370</v>
      </c>
      <c r="Q267" s="856" t="s">
        <v>1371</v>
      </c>
      <c r="R267" s="856" t="s">
        <v>1365</v>
      </c>
      <c r="S267" s="232" t="s">
        <v>1365</v>
      </c>
    </row>
    <row r="268" spans="1:19" ht="43" customHeight="1" x14ac:dyDescent="0.35">
      <c r="A268" s="844" t="s">
        <v>1008</v>
      </c>
      <c r="B268" s="860" t="s">
        <v>1248</v>
      </c>
      <c r="C268" s="228" t="s">
        <v>74</v>
      </c>
      <c r="D268" s="228" t="s">
        <v>75</v>
      </c>
      <c r="E268" s="228">
        <v>1</v>
      </c>
      <c r="F268" s="174" t="s">
        <v>1353</v>
      </c>
      <c r="G268" s="233" t="s">
        <v>1358</v>
      </c>
      <c r="H268" s="233" t="s">
        <v>1359</v>
      </c>
      <c r="I268" s="880">
        <v>1190000</v>
      </c>
      <c r="J268" s="902">
        <v>1190000</v>
      </c>
      <c r="K268" s="860" t="s">
        <v>1365</v>
      </c>
      <c r="L268" s="849" t="s">
        <v>1366</v>
      </c>
      <c r="M268" s="228" t="s">
        <v>1442</v>
      </c>
      <c r="N268" s="228" t="s">
        <v>1460</v>
      </c>
      <c r="O268" s="866" t="s">
        <v>1461</v>
      </c>
      <c r="P268" s="856" t="s">
        <v>1370</v>
      </c>
      <c r="Q268" s="856" t="s">
        <v>1371</v>
      </c>
      <c r="R268" s="856" t="s">
        <v>1365</v>
      </c>
      <c r="S268" s="232" t="s">
        <v>1365</v>
      </c>
    </row>
    <row r="269" spans="1:19" ht="43" customHeight="1" x14ac:dyDescent="0.35">
      <c r="A269" s="844">
        <v>90101600</v>
      </c>
      <c r="B269" s="860" t="s">
        <v>1220</v>
      </c>
      <c r="C269" s="228" t="s">
        <v>72</v>
      </c>
      <c r="D269" s="228" t="s">
        <v>71</v>
      </c>
      <c r="E269" s="228">
        <v>1</v>
      </c>
      <c r="F269" s="174" t="s">
        <v>1353</v>
      </c>
      <c r="G269" s="233" t="s">
        <v>1355</v>
      </c>
      <c r="H269" s="233" t="s">
        <v>1359</v>
      </c>
      <c r="I269" s="880">
        <v>17017000</v>
      </c>
      <c r="J269" s="902">
        <v>17017000</v>
      </c>
      <c r="K269" s="860" t="s">
        <v>1365</v>
      </c>
      <c r="L269" s="860" t="s">
        <v>1366</v>
      </c>
      <c r="M269" s="228" t="s">
        <v>1442</v>
      </c>
      <c r="N269" s="228" t="s">
        <v>1460</v>
      </c>
      <c r="O269" s="866" t="s">
        <v>1462</v>
      </c>
      <c r="P269" s="856" t="s">
        <v>1370</v>
      </c>
      <c r="Q269" s="856" t="s">
        <v>1371</v>
      </c>
      <c r="R269" s="856" t="s">
        <v>1365</v>
      </c>
      <c r="S269" s="232" t="s">
        <v>1365</v>
      </c>
    </row>
    <row r="270" spans="1:19" ht="43" customHeight="1" x14ac:dyDescent="0.35">
      <c r="A270" s="844">
        <v>80141902</v>
      </c>
      <c r="B270" s="860" t="s">
        <v>1221</v>
      </c>
      <c r="C270" s="228" t="s">
        <v>80</v>
      </c>
      <c r="D270" s="228" t="s">
        <v>79</v>
      </c>
      <c r="E270" s="228">
        <v>1</v>
      </c>
      <c r="F270" s="174" t="s">
        <v>1353</v>
      </c>
      <c r="G270" s="233" t="s">
        <v>1355</v>
      </c>
      <c r="H270" s="233" t="s">
        <v>1359</v>
      </c>
      <c r="I270" s="880">
        <v>17017000</v>
      </c>
      <c r="J270" s="902">
        <v>17017000</v>
      </c>
      <c r="K270" s="860" t="s">
        <v>1365</v>
      </c>
      <c r="L270" s="860" t="s">
        <v>1366</v>
      </c>
      <c r="M270" s="228" t="s">
        <v>1442</v>
      </c>
      <c r="N270" s="228" t="s">
        <v>1460</v>
      </c>
      <c r="O270" s="866" t="s">
        <v>1462</v>
      </c>
      <c r="P270" s="856" t="s">
        <v>1370</v>
      </c>
      <c r="Q270" s="856" t="s">
        <v>1371</v>
      </c>
      <c r="R270" s="856" t="s">
        <v>1365</v>
      </c>
      <c r="S270" s="232" t="s">
        <v>1365</v>
      </c>
    </row>
    <row r="271" spans="1:19" ht="43" customHeight="1" x14ac:dyDescent="0.35">
      <c r="A271" s="844">
        <v>78181703</v>
      </c>
      <c r="B271" s="862" t="s">
        <v>1249</v>
      </c>
      <c r="C271" s="228" t="s">
        <v>71</v>
      </c>
      <c r="D271" s="228" t="s">
        <v>72</v>
      </c>
      <c r="E271" s="877">
        <v>3</v>
      </c>
      <c r="F271" s="174" t="s">
        <v>1353</v>
      </c>
      <c r="G271" s="228" t="s">
        <v>1355</v>
      </c>
      <c r="H271" s="233" t="s">
        <v>1359</v>
      </c>
      <c r="I271" s="880">
        <v>6832471.8700000001</v>
      </c>
      <c r="J271" s="902">
        <v>6832471.8700000001</v>
      </c>
      <c r="K271" s="862" t="s">
        <v>1365</v>
      </c>
      <c r="L271" s="849" t="s">
        <v>1366</v>
      </c>
      <c r="M271" s="228" t="s">
        <v>1442</v>
      </c>
      <c r="N271" s="228" t="s">
        <v>1463</v>
      </c>
      <c r="O271" s="912" t="s">
        <v>1464</v>
      </c>
      <c r="P271" s="856" t="s">
        <v>1370</v>
      </c>
      <c r="Q271" s="856" t="s">
        <v>1371</v>
      </c>
      <c r="R271" s="856" t="s">
        <v>1365</v>
      </c>
      <c r="S271" s="232" t="s">
        <v>1365</v>
      </c>
    </row>
    <row r="272" spans="1:19" ht="43" customHeight="1" x14ac:dyDescent="0.35">
      <c r="A272" s="844">
        <v>72101511</v>
      </c>
      <c r="B272" s="862" t="s">
        <v>1250</v>
      </c>
      <c r="C272" s="228" t="s">
        <v>72</v>
      </c>
      <c r="D272" s="228" t="s">
        <v>73</v>
      </c>
      <c r="E272" s="877">
        <v>7</v>
      </c>
      <c r="F272" s="174" t="s">
        <v>1353</v>
      </c>
      <c r="G272" s="228" t="s">
        <v>1355</v>
      </c>
      <c r="H272" s="233" t="s">
        <v>1359</v>
      </c>
      <c r="I272" s="880">
        <v>4518752.49</v>
      </c>
      <c r="J272" s="902">
        <v>4518752.49</v>
      </c>
      <c r="K272" s="862" t="s">
        <v>1365</v>
      </c>
      <c r="L272" s="849" t="s">
        <v>1366</v>
      </c>
      <c r="M272" s="228" t="s">
        <v>1442</v>
      </c>
      <c r="N272" s="228" t="s">
        <v>1463</v>
      </c>
      <c r="O272" s="912" t="s">
        <v>1464</v>
      </c>
      <c r="P272" s="856" t="s">
        <v>1370</v>
      </c>
      <c r="Q272" s="856" t="s">
        <v>1371</v>
      </c>
      <c r="R272" s="856" t="s">
        <v>1365</v>
      </c>
      <c r="S272" s="232" t="s">
        <v>1365</v>
      </c>
    </row>
    <row r="273" spans="1:19" ht="43" customHeight="1" x14ac:dyDescent="0.35">
      <c r="A273" s="844">
        <v>73152108</v>
      </c>
      <c r="B273" s="862" t="s">
        <v>1251</v>
      </c>
      <c r="C273" s="228" t="s">
        <v>72</v>
      </c>
      <c r="D273" s="228" t="s">
        <v>73</v>
      </c>
      <c r="E273" s="877">
        <v>7</v>
      </c>
      <c r="F273" s="174" t="s">
        <v>1353</v>
      </c>
      <c r="G273" s="228" t="s">
        <v>1355</v>
      </c>
      <c r="H273" s="233" t="s">
        <v>1359</v>
      </c>
      <c r="I273" s="880">
        <v>3494116.08</v>
      </c>
      <c r="J273" s="902">
        <v>3494116.08</v>
      </c>
      <c r="K273" s="862" t="s">
        <v>1365</v>
      </c>
      <c r="L273" s="849" t="s">
        <v>1366</v>
      </c>
      <c r="M273" s="228" t="s">
        <v>1442</v>
      </c>
      <c r="N273" s="228" t="s">
        <v>1463</v>
      </c>
      <c r="O273" s="912" t="s">
        <v>1464</v>
      </c>
      <c r="P273" s="856" t="s">
        <v>1370</v>
      </c>
      <c r="Q273" s="856" t="s">
        <v>1371</v>
      </c>
      <c r="R273" s="856" t="s">
        <v>1365</v>
      </c>
      <c r="S273" s="232" t="s">
        <v>1365</v>
      </c>
    </row>
    <row r="274" spans="1:19" ht="43" customHeight="1" x14ac:dyDescent="0.35">
      <c r="A274" s="844">
        <v>48101909</v>
      </c>
      <c r="B274" s="862" t="s">
        <v>1252</v>
      </c>
      <c r="C274" s="228" t="s">
        <v>73</v>
      </c>
      <c r="D274" s="228" t="s">
        <v>74</v>
      </c>
      <c r="E274" s="877">
        <v>1</v>
      </c>
      <c r="F274" s="174" t="s">
        <v>1353</v>
      </c>
      <c r="G274" s="228" t="s">
        <v>1358</v>
      </c>
      <c r="H274" s="233" t="s">
        <v>1359</v>
      </c>
      <c r="I274" s="880">
        <v>595000</v>
      </c>
      <c r="J274" s="902">
        <v>595000</v>
      </c>
      <c r="K274" s="862" t="s">
        <v>1365</v>
      </c>
      <c r="L274" s="849" t="s">
        <v>1366</v>
      </c>
      <c r="M274" s="228" t="s">
        <v>1442</v>
      </c>
      <c r="N274" s="228" t="s">
        <v>1463</v>
      </c>
      <c r="O274" s="912" t="s">
        <v>1464</v>
      </c>
      <c r="P274" s="856" t="s">
        <v>1370</v>
      </c>
      <c r="Q274" s="856" t="s">
        <v>1371</v>
      </c>
      <c r="R274" s="856" t="s">
        <v>1365</v>
      </c>
      <c r="S274" s="232" t="s">
        <v>1365</v>
      </c>
    </row>
    <row r="275" spans="1:19" ht="43" customHeight="1" x14ac:dyDescent="0.35">
      <c r="A275" s="844">
        <v>90101600</v>
      </c>
      <c r="B275" s="860" t="s">
        <v>1220</v>
      </c>
      <c r="C275" s="228" t="s">
        <v>72</v>
      </c>
      <c r="D275" s="228" t="s">
        <v>71</v>
      </c>
      <c r="E275" s="228">
        <v>1</v>
      </c>
      <c r="F275" s="174" t="s">
        <v>1353</v>
      </c>
      <c r="G275" s="233" t="s">
        <v>1355</v>
      </c>
      <c r="H275" s="233" t="s">
        <v>1359</v>
      </c>
      <c r="I275" s="880">
        <v>33829320</v>
      </c>
      <c r="J275" s="902">
        <v>33829320</v>
      </c>
      <c r="K275" s="860" t="s">
        <v>1365</v>
      </c>
      <c r="L275" s="860" t="s">
        <v>1366</v>
      </c>
      <c r="M275" s="228" t="s">
        <v>1442</v>
      </c>
      <c r="N275" s="228" t="s">
        <v>1463</v>
      </c>
      <c r="O275" s="866" t="s">
        <v>1465</v>
      </c>
      <c r="P275" s="856" t="s">
        <v>1370</v>
      </c>
      <c r="Q275" s="856" t="s">
        <v>1371</v>
      </c>
      <c r="R275" s="856" t="s">
        <v>1365</v>
      </c>
      <c r="S275" s="232" t="s">
        <v>1365</v>
      </c>
    </row>
    <row r="276" spans="1:19" ht="43" customHeight="1" x14ac:dyDescent="0.35">
      <c r="A276" s="844">
        <v>80141902</v>
      </c>
      <c r="B276" s="860" t="s">
        <v>1221</v>
      </c>
      <c r="C276" s="228" t="s">
        <v>80</v>
      </c>
      <c r="D276" s="228" t="s">
        <v>79</v>
      </c>
      <c r="E276" s="228">
        <v>1</v>
      </c>
      <c r="F276" s="174" t="s">
        <v>1353</v>
      </c>
      <c r="G276" s="233" t="s">
        <v>1355</v>
      </c>
      <c r="H276" s="233" t="s">
        <v>1359</v>
      </c>
      <c r="I276" s="880">
        <v>33829320</v>
      </c>
      <c r="J276" s="902">
        <v>33829320</v>
      </c>
      <c r="K276" s="860" t="s">
        <v>1365</v>
      </c>
      <c r="L276" s="860" t="s">
        <v>1366</v>
      </c>
      <c r="M276" s="228" t="s">
        <v>1442</v>
      </c>
      <c r="N276" s="228" t="s">
        <v>1463</v>
      </c>
      <c r="O276" s="866" t="s">
        <v>1465</v>
      </c>
      <c r="P276" s="856" t="s">
        <v>1370</v>
      </c>
      <c r="Q276" s="856" t="s">
        <v>1371</v>
      </c>
      <c r="R276" s="856" t="s">
        <v>1365</v>
      </c>
      <c r="S276" s="232" t="s">
        <v>1365</v>
      </c>
    </row>
    <row r="277" spans="1:19" ht="43" customHeight="1" x14ac:dyDescent="0.35">
      <c r="A277" s="831">
        <v>52161505</v>
      </c>
      <c r="B277" s="861" t="s">
        <v>1253</v>
      </c>
      <c r="C277" s="228" t="s">
        <v>77</v>
      </c>
      <c r="D277" s="228" t="s">
        <v>77</v>
      </c>
      <c r="E277" s="228">
        <v>1</v>
      </c>
      <c r="F277" s="174" t="s">
        <v>1353</v>
      </c>
      <c r="G277" s="233" t="s">
        <v>1355</v>
      </c>
      <c r="H277" s="233" t="s">
        <v>1359</v>
      </c>
      <c r="I277" s="880">
        <v>3570000</v>
      </c>
      <c r="J277" s="902">
        <v>3570000</v>
      </c>
      <c r="K277" s="860" t="s">
        <v>1365</v>
      </c>
      <c r="L277" s="849" t="s">
        <v>1366</v>
      </c>
      <c r="M277" s="228" t="s">
        <v>1442</v>
      </c>
      <c r="N277" s="228" t="s">
        <v>1368</v>
      </c>
      <c r="O277" s="866" t="s">
        <v>1466</v>
      </c>
      <c r="P277" s="856" t="s">
        <v>1370</v>
      </c>
      <c r="Q277" s="856" t="s">
        <v>1371</v>
      </c>
      <c r="R277" s="856" t="s">
        <v>1365</v>
      </c>
      <c r="S277" s="232" t="s">
        <v>1365</v>
      </c>
    </row>
    <row r="278" spans="1:19" ht="43" customHeight="1" x14ac:dyDescent="0.35">
      <c r="A278" s="831">
        <v>48101909</v>
      </c>
      <c r="B278" s="860" t="s">
        <v>1254</v>
      </c>
      <c r="C278" s="228" t="s">
        <v>73</v>
      </c>
      <c r="D278" s="228" t="s">
        <v>73</v>
      </c>
      <c r="E278" s="228">
        <v>1</v>
      </c>
      <c r="F278" s="174" t="s">
        <v>1353</v>
      </c>
      <c r="G278" s="233" t="s">
        <v>1358</v>
      </c>
      <c r="H278" s="233" t="s">
        <v>1359</v>
      </c>
      <c r="I278" s="880">
        <v>595000</v>
      </c>
      <c r="J278" s="902">
        <v>595000</v>
      </c>
      <c r="K278" s="860" t="s">
        <v>1365</v>
      </c>
      <c r="L278" s="849" t="s">
        <v>1366</v>
      </c>
      <c r="M278" s="228" t="s">
        <v>1442</v>
      </c>
      <c r="N278" s="228" t="s">
        <v>1368</v>
      </c>
      <c r="O278" s="866" t="s">
        <v>1466</v>
      </c>
      <c r="P278" s="856" t="s">
        <v>1370</v>
      </c>
      <c r="Q278" s="856" t="s">
        <v>1371</v>
      </c>
      <c r="R278" s="856" t="s">
        <v>1365</v>
      </c>
      <c r="S278" s="232" t="s">
        <v>1365</v>
      </c>
    </row>
    <row r="279" spans="1:19" ht="43" customHeight="1" x14ac:dyDescent="0.35">
      <c r="A279" s="844">
        <v>90101600</v>
      </c>
      <c r="B279" s="860" t="s">
        <v>1220</v>
      </c>
      <c r="C279" s="228" t="s">
        <v>76</v>
      </c>
      <c r="D279" s="228" t="s">
        <v>76</v>
      </c>
      <c r="E279" s="228">
        <v>1</v>
      </c>
      <c r="F279" s="174" t="s">
        <v>1353</v>
      </c>
      <c r="G279" s="233" t="s">
        <v>1355</v>
      </c>
      <c r="H279" s="233" t="s">
        <v>1359</v>
      </c>
      <c r="I279" s="880">
        <v>2142000</v>
      </c>
      <c r="J279" s="902">
        <v>2142000</v>
      </c>
      <c r="K279" s="860" t="s">
        <v>1365</v>
      </c>
      <c r="L279" s="849" t="s">
        <v>1366</v>
      </c>
      <c r="M279" s="228" t="s">
        <v>1442</v>
      </c>
      <c r="N279" s="228" t="s">
        <v>1467</v>
      </c>
      <c r="O279" s="866" t="s">
        <v>1468</v>
      </c>
      <c r="P279" s="856" t="s">
        <v>1370</v>
      </c>
      <c r="Q279" s="856" t="s">
        <v>1371</v>
      </c>
      <c r="R279" s="856" t="s">
        <v>1365</v>
      </c>
      <c r="S279" s="232" t="s">
        <v>1365</v>
      </c>
    </row>
    <row r="280" spans="1:19" ht="43" customHeight="1" x14ac:dyDescent="0.35">
      <c r="A280" s="844">
        <v>90101600</v>
      </c>
      <c r="B280" s="860" t="s">
        <v>1255</v>
      </c>
      <c r="C280" s="228" t="s">
        <v>80</v>
      </c>
      <c r="D280" s="228" t="s">
        <v>80</v>
      </c>
      <c r="E280" s="228">
        <v>1</v>
      </c>
      <c r="F280" s="174" t="s">
        <v>1353</v>
      </c>
      <c r="G280" s="233" t="s">
        <v>1355</v>
      </c>
      <c r="H280" s="233" t="s">
        <v>1359</v>
      </c>
      <c r="I280" s="880">
        <v>2142000</v>
      </c>
      <c r="J280" s="902">
        <v>2142000</v>
      </c>
      <c r="K280" s="860" t="s">
        <v>1365</v>
      </c>
      <c r="L280" s="849" t="s">
        <v>1366</v>
      </c>
      <c r="M280" s="228" t="s">
        <v>1442</v>
      </c>
      <c r="N280" s="228" t="s">
        <v>1467</v>
      </c>
      <c r="O280" s="866" t="s">
        <v>1468</v>
      </c>
      <c r="P280" s="856" t="s">
        <v>1370</v>
      </c>
      <c r="Q280" s="856" t="s">
        <v>1371</v>
      </c>
      <c r="R280" s="856" t="s">
        <v>1365</v>
      </c>
      <c r="S280" s="232" t="s">
        <v>1365</v>
      </c>
    </row>
    <row r="281" spans="1:19" ht="43" customHeight="1" x14ac:dyDescent="0.35">
      <c r="A281" s="845">
        <v>48101516</v>
      </c>
      <c r="B281" s="860" t="s">
        <v>1256</v>
      </c>
      <c r="C281" s="228" t="s">
        <v>72</v>
      </c>
      <c r="D281" s="228" t="s">
        <v>72</v>
      </c>
      <c r="E281" s="228">
        <v>1</v>
      </c>
      <c r="F281" s="174" t="s">
        <v>1353</v>
      </c>
      <c r="G281" s="233" t="s">
        <v>1358</v>
      </c>
      <c r="H281" s="233" t="s">
        <v>1359</v>
      </c>
      <c r="I281" s="880">
        <v>833000</v>
      </c>
      <c r="J281" s="902">
        <v>833000</v>
      </c>
      <c r="K281" s="860" t="s">
        <v>1365</v>
      </c>
      <c r="L281" s="849" t="s">
        <v>1366</v>
      </c>
      <c r="M281" s="228" t="s">
        <v>1442</v>
      </c>
      <c r="N281" s="228" t="s">
        <v>1467</v>
      </c>
      <c r="O281" s="866" t="s">
        <v>1468</v>
      </c>
      <c r="P281" s="856" t="s">
        <v>1370</v>
      </c>
      <c r="Q281" s="856" t="s">
        <v>1371</v>
      </c>
      <c r="R281" s="856" t="s">
        <v>1365</v>
      </c>
      <c r="S281" s="232" t="s">
        <v>1365</v>
      </c>
    </row>
    <row r="282" spans="1:19" ht="43" customHeight="1" x14ac:dyDescent="0.35">
      <c r="A282" s="845">
        <v>40101808</v>
      </c>
      <c r="B282" s="860" t="s">
        <v>1257</v>
      </c>
      <c r="C282" s="228" t="s">
        <v>73</v>
      </c>
      <c r="D282" s="228" t="s">
        <v>71</v>
      </c>
      <c r="E282" s="228">
        <v>1</v>
      </c>
      <c r="F282" s="174" t="s">
        <v>1353</v>
      </c>
      <c r="G282" s="233" t="s">
        <v>1358</v>
      </c>
      <c r="H282" s="233" t="s">
        <v>1359</v>
      </c>
      <c r="I282" s="880">
        <v>714000</v>
      </c>
      <c r="J282" s="902">
        <v>714000</v>
      </c>
      <c r="K282" s="860" t="s">
        <v>1365</v>
      </c>
      <c r="L282" s="849" t="s">
        <v>1366</v>
      </c>
      <c r="M282" s="228" t="s">
        <v>1442</v>
      </c>
      <c r="N282" s="228" t="s">
        <v>1467</v>
      </c>
      <c r="O282" s="866" t="s">
        <v>1468</v>
      </c>
      <c r="P282" s="856" t="s">
        <v>1370</v>
      </c>
      <c r="Q282" s="856" t="s">
        <v>1371</v>
      </c>
      <c r="R282" s="856" t="s">
        <v>1365</v>
      </c>
      <c r="S282" s="232" t="s">
        <v>1365</v>
      </c>
    </row>
    <row r="283" spans="1:19" ht="43" customHeight="1" x14ac:dyDescent="0.35">
      <c r="A283" s="844">
        <v>72101511</v>
      </c>
      <c r="B283" s="861" t="s">
        <v>1258</v>
      </c>
      <c r="C283" s="228" t="s">
        <v>70</v>
      </c>
      <c r="D283" s="228" t="s">
        <v>70</v>
      </c>
      <c r="E283" s="228">
        <v>12</v>
      </c>
      <c r="F283" s="174" t="s">
        <v>1353</v>
      </c>
      <c r="G283" s="233" t="s">
        <v>1355</v>
      </c>
      <c r="H283" s="233" t="s">
        <v>1359</v>
      </c>
      <c r="I283" s="880">
        <v>2142000</v>
      </c>
      <c r="J283" s="902">
        <v>2142000</v>
      </c>
      <c r="K283" s="860" t="s">
        <v>1365</v>
      </c>
      <c r="L283" s="849" t="s">
        <v>1366</v>
      </c>
      <c r="M283" s="228" t="s">
        <v>1442</v>
      </c>
      <c r="N283" s="228" t="s">
        <v>1467</v>
      </c>
      <c r="O283" s="866" t="s">
        <v>1468</v>
      </c>
      <c r="P283" s="856" t="s">
        <v>1370</v>
      </c>
      <c r="Q283" s="856" t="s">
        <v>1371</v>
      </c>
      <c r="R283" s="856" t="s">
        <v>1365</v>
      </c>
      <c r="S283" s="232" t="s">
        <v>1365</v>
      </c>
    </row>
    <row r="284" spans="1:19" ht="43" customHeight="1" x14ac:dyDescent="0.35">
      <c r="A284" s="844">
        <v>78181703</v>
      </c>
      <c r="B284" s="860" t="s">
        <v>1259</v>
      </c>
      <c r="C284" s="228" t="s">
        <v>71</v>
      </c>
      <c r="D284" s="228" t="s">
        <v>71</v>
      </c>
      <c r="E284" s="228">
        <v>10</v>
      </c>
      <c r="F284" s="174" t="s">
        <v>1353</v>
      </c>
      <c r="G284" s="233" t="s">
        <v>1355</v>
      </c>
      <c r="H284" s="233" t="s">
        <v>1359</v>
      </c>
      <c r="I284" s="880">
        <v>2928202.06</v>
      </c>
      <c r="J284" s="902">
        <v>2928202.06</v>
      </c>
      <c r="K284" s="860" t="s">
        <v>1365</v>
      </c>
      <c r="L284" s="849" t="s">
        <v>1366</v>
      </c>
      <c r="M284" s="228" t="s">
        <v>1442</v>
      </c>
      <c r="N284" s="228" t="s">
        <v>1467</v>
      </c>
      <c r="O284" s="866" t="s">
        <v>1468</v>
      </c>
      <c r="P284" s="856" t="s">
        <v>1370</v>
      </c>
      <c r="Q284" s="856" t="s">
        <v>1371</v>
      </c>
      <c r="R284" s="856" t="s">
        <v>1365</v>
      </c>
      <c r="S284" s="232" t="s">
        <v>1365</v>
      </c>
    </row>
    <row r="285" spans="1:19" ht="43" customHeight="1" x14ac:dyDescent="0.35">
      <c r="A285" s="845">
        <v>56112103</v>
      </c>
      <c r="B285" s="860" t="s">
        <v>1260</v>
      </c>
      <c r="C285" s="228" t="s">
        <v>73</v>
      </c>
      <c r="D285" s="228" t="s">
        <v>73</v>
      </c>
      <c r="E285" s="228">
        <v>1</v>
      </c>
      <c r="F285" s="174" t="s">
        <v>1353</v>
      </c>
      <c r="G285" s="233" t="s">
        <v>1355</v>
      </c>
      <c r="H285" s="233" t="s">
        <v>1359</v>
      </c>
      <c r="I285" s="880">
        <v>2499000</v>
      </c>
      <c r="J285" s="902">
        <v>2499000</v>
      </c>
      <c r="K285" s="860" t="s">
        <v>1365</v>
      </c>
      <c r="L285" s="849" t="s">
        <v>1366</v>
      </c>
      <c r="M285" s="228" t="s">
        <v>1442</v>
      </c>
      <c r="N285" s="228" t="s">
        <v>1467</v>
      </c>
      <c r="O285" s="866" t="s">
        <v>1468</v>
      </c>
      <c r="P285" s="856" t="s">
        <v>1370</v>
      </c>
      <c r="Q285" s="856" t="s">
        <v>1371</v>
      </c>
      <c r="R285" s="856" t="s">
        <v>1365</v>
      </c>
      <c r="S285" s="232" t="s">
        <v>1365</v>
      </c>
    </row>
    <row r="286" spans="1:19" ht="43" customHeight="1" x14ac:dyDescent="0.35">
      <c r="A286" s="845" t="s">
        <v>1008</v>
      </c>
      <c r="B286" s="861" t="s">
        <v>1261</v>
      </c>
      <c r="C286" s="228" t="s">
        <v>72</v>
      </c>
      <c r="D286" s="228" t="s">
        <v>72</v>
      </c>
      <c r="E286" s="228">
        <v>1</v>
      </c>
      <c r="F286" s="174" t="s">
        <v>1353</v>
      </c>
      <c r="G286" s="233" t="s">
        <v>1358</v>
      </c>
      <c r="H286" s="233" t="s">
        <v>1359</v>
      </c>
      <c r="I286" s="880">
        <v>952000</v>
      </c>
      <c r="J286" s="902">
        <v>952000</v>
      </c>
      <c r="K286" s="860" t="s">
        <v>1365</v>
      </c>
      <c r="L286" s="849" t="s">
        <v>1366</v>
      </c>
      <c r="M286" s="228" t="s">
        <v>1442</v>
      </c>
      <c r="N286" s="228" t="s">
        <v>1467</v>
      </c>
      <c r="O286" s="866" t="s">
        <v>1468</v>
      </c>
      <c r="P286" s="856" t="s">
        <v>1370</v>
      </c>
      <c r="Q286" s="856" t="s">
        <v>1371</v>
      </c>
      <c r="R286" s="856" t="s">
        <v>1365</v>
      </c>
      <c r="S286" s="232" t="s">
        <v>1365</v>
      </c>
    </row>
    <row r="287" spans="1:19" ht="43" customHeight="1" x14ac:dyDescent="0.35">
      <c r="A287" s="844">
        <v>72101516</v>
      </c>
      <c r="B287" s="860" t="s">
        <v>1262</v>
      </c>
      <c r="C287" s="228" t="s">
        <v>79</v>
      </c>
      <c r="D287" s="228" t="s">
        <v>79</v>
      </c>
      <c r="E287" s="228">
        <v>1</v>
      </c>
      <c r="F287" s="174" t="s">
        <v>1353</v>
      </c>
      <c r="G287" s="233" t="s">
        <v>1358</v>
      </c>
      <c r="H287" s="233" t="s">
        <v>1359</v>
      </c>
      <c r="I287" s="880">
        <v>178500</v>
      </c>
      <c r="J287" s="902">
        <v>178500</v>
      </c>
      <c r="K287" s="860" t="s">
        <v>1365</v>
      </c>
      <c r="L287" s="849" t="s">
        <v>1366</v>
      </c>
      <c r="M287" s="228" t="s">
        <v>1442</v>
      </c>
      <c r="N287" s="228" t="s">
        <v>1467</v>
      </c>
      <c r="O287" s="866" t="s">
        <v>1468</v>
      </c>
      <c r="P287" s="856" t="s">
        <v>1370</v>
      </c>
      <c r="Q287" s="856" t="s">
        <v>1371</v>
      </c>
      <c r="R287" s="856" t="s">
        <v>1365</v>
      </c>
      <c r="S287" s="232" t="s">
        <v>1365</v>
      </c>
    </row>
    <row r="288" spans="1:19" ht="43" customHeight="1" x14ac:dyDescent="0.35">
      <c r="A288" s="844">
        <v>90101600</v>
      </c>
      <c r="B288" s="860" t="s">
        <v>1220</v>
      </c>
      <c r="C288" s="228" t="s">
        <v>72</v>
      </c>
      <c r="D288" s="228" t="s">
        <v>71</v>
      </c>
      <c r="E288" s="228">
        <v>1</v>
      </c>
      <c r="F288" s="174" t="s">
        <v>1353</v>
      </c>
      <c r="G288" s="233" t="s">
        <v>1355</v>
      </c>
      <c r="H288" s="233" t="s">
        <v>1359</v>
      </c>
      <c r="I288" s="880">
        <v>5357779.84</v>
      </c>
      <c r="J288" s="902">
        <v>5357779.84</v>
      </c>
      <c r="K288" s="860" t="s">
        <v>1365</v>
      </c>
      <c r="L288" s="860" t="s">
        <v>1366</v>
      </c>
      <c r="M288" s="228" t="s">
        <v>1442</v>
      </c>
      <c r="N288" s="228" t="s">
        <v>1467</v>
      </c>
      <c r="O288" s="866" t="s">
        <v>1468</v>
      </c>
      <c r="P288" s="856" t="s">
        <v>1370</v>
      </c>
      <c r="Q288" s="856" t="s">
        <v>1371</v>
      </c>
      <c r="R288" s="856" t="s">
        <v>1365</v>
      </c>
      <c r="S288" s="232" t="s">
        <v>1365</v>
      </c>
    </row>
    <row r="289" spans="1:19" ht="43" customHeight="1" x14ac:dyDescent="0.35">
      <c r="A289" s="844">
        <v>80141902</v>
      </c>
      <c r="B289" s="860" t="s">
        <v>1221</v>
      </c>
      <c r="C289" s="228" t="s">
        <v>80</v>
      </c>
      <c r="D289" s="228" t="s">
        <v>79</v>
      </c>
      <c r="E289" s="228">
        <v>1</v>
      </c>
      <c r="F289" s="174" t="s">
        <v>1353</v>
      </c>
      <c r="G289" s="233" t="s">
        <v>1355</v>
      </c>
      <c r="H289" s="233" t="s">
        <v>1359</v>
      </c>
      <c r="I289" s="880">
        <v>5357779.84</v>
      </c>
      <c r="J289" s="902">
        <v>5357779.84</v>
      </c>
      <c r="K289" s="860" t="s">
        <v>1365</v>
      </c>
      <c r="L289" s="860" t="s">
        <v>1366</v>
      </c>
      <c r="M289" s="228" t="s">
        <v>1442</v>
      </c>
      <c r="N289" s="228" t="s">
        <v>1467</v>
      </c>
      <c r="O289" s="866" t="s">
        <v>1468</v>
      </c>
      <c r="P289" s="856" t="s">
        <v>1370</v>
      </c>
      <c r="Q289" s="856" t="s">
        <v>1371</v>
      </c>
      <c r="R289" s="856" t="s">
        <v>1365</v>
      </c>
      <c r="S289" s="232" t="s">
        <v>1365</v>
      </c>
    </row>
    <row r="290" spans="1:19" ht="43" customHeight="1" x14ac:dyDescent="0.35">
      <c r="A290" s="845">
        <v>72101511</v>
      </c>
      <c r="B290" s="862" t="s">
        <v>1263</v>
      </c>
      <c r="C290" s="228" t="s">
        <v>69</v>
      </c>
      <c r="D290" s="228" t="s">
        <v>70</v>
      </c>
      <c r="E290" s="877">
        <v>10</v>
      </c>
      <c r="F290" s="174" t="s">
        <v>1353</v>
      </c>
      <c r="G290" s="228" t="s">
        <v>1355</v>
      </c>
      <c r="H290" s="233" t="s">
        <v>1359</v>
      </c>
      <c r="I290" s="880">
        <v>2737000</v>
      </c>
      <c r="J290" s="902">
        <v>2737000</v>
      </c>
      <c r="K290" s="862" t="s">
        <v>1365</v>
      </c>
      <c r="L290" s="849" t="s">
        <v>1366</v>
      </c>
      <c r="M290" s="228" t="s">
        <v>1442</v>
      </c>
      <c r="N290" s="228" t="s">
        <v>1469</v>
      </c>
      <c r="O290" s="912" t="s">
        <v>1470</v>
      </c>
      <c r="P290" s="856" t="s">
        <v>1370</v>
      </c>
      <c r="Q290" s="856" t="s">
        <v>1371</v>
      </c>
      <c r="R290" s="856" t="s">
        <v>1365</v>
      </c>
      <c r="S290" s="232" t="s">
        <v>1365</v>
      </c>
    </row>
    <row r="291" spans="1:19" ht="43" customHeight="1" x14ac:dyDescent="0.35">
      <c r="A291" s="845">
        <v>80101510</v>
      </c>
      <c r="B291" s="862" t="s">
        <v>1264</v>
      </c>
      <c r="C291" s="228" t="s">
        <v>69</v>
      </c>
      <c r="D291" s="228" t="s">
        <v>69</v>
      </c>
      <c r="E291" s="877">
        <v>11</v>
      </c>
      <c r="F291" s="174" t="s">
        <v>1353</v>
      </c>
      <c r="G291" s="228" t="s">
        <v>1355</v>
      </c>
      <c r="H291" s="233" t="s">
        <v>1359</v>
      </c>
      <c r="I291" s="880">
        <v>30177181.440000001</v>
      </c>
      <c r="J291" s="902">
        <v>30177181.440000001</v>
      </c>
      <c r="K291" s="862" t="s">
        <v>1365</v>
      </c>
      <c r="L291" s="849" t="s">
        <v>1366</v>
      </c>
      <c r="M291" s="228" t="s">
        <v>1442</v>
      </c>
      <c r="N291" s="228" t="s">
        <v>1469</v>
      </c>
      <c r="O291" s="912" t="s">
        <v>1470</v>
      </c>
      <c r="P291" s="856" t="s">
        <v>1370</v>
      </c>
      <c r="Q291" s="856" t="s">
        <v>1371</v>
      </c>
      <c r="R291" s="856" t="s">
        <v>1365</v>
      </c>
      <c r="S291" s="232" t="s">
        <v>1365</v>
      </c>
    </row>
    <row r="292" spans="1:19" ht="43" customHeight="1" x14ac:dyDescent="0.35">
      <c r="A292" s="844">
        <v>90101600</v>
      </c>
      <c r="B292" s="860" t="s">
        <v>1220</v>
      </c>
      <c r="C292" s="228" t="s">
        <v>72</v>
      </c>
      <c r="D292" s="228" t="s">
        <v>71</v>
      </c>
      <c r="E292" s="228">
        <v>1</v>
      </c>
      <c r="F292" s="174" t="s">
        <v>1353</v>
      </c>
      <c r="G292" s="233" t="s">
        <v>1355</v>
      </c>
      <c r="H292" s="233" t="s">
        <v>1359</v>
      </c>
      <c r="I292" s="880">
        <v>2975000</v>
      </c>
      <c r="J292" s="902">
        <v>2975000</v>
      </c>
      <c r="K292" s="860" t="s">
        <v>1365</v>
      </c>
      <c r="L292" s="860" t="s">
        <v>1366</v>
      </c>
      <c r="M292" s="228" t="s">
        <v>1442</v>
      </c>
      <c r="N292" s="228" t="s">
        <v>1469</v>
      </c>
      <c r="O292" s="866" t="s">
        <v>1471</v>
      </c>
      <c r="P292" s="856" t="s">
        <v>1370</v>
      </c>
      <c r="Q292" s="856" t="s">
        <v>1371</v>
      </c>
      <c r="R292" s="856" t="s">
        <v>1365</v>
      </c>
      <c r="S292" s="232" t="s">
        <v>1365</v>
      </c>
    </row>
    <row r="293" spans="1:19" ht="43" customHeight="1" x14ac:dyDescent="0.35">
      <c r="A293" s="844">
        <v>80141902</v>
      </c>
      <c r="B293" s="860" t="s">
        <v>1221</v>
      </c>
      <c r="C293" s="228" t="s">
        <v>80</v>
      </c>
      <c r="D293" s="228" t="s">
        <v>79</v>
      </c>
      <c r="E293" s="228">
        <v>1</v>
      </c>
      <c r="F293" s="174" t="s">
        <v>1353</v>
      </c>
      <c r="G293" s="233" t="s">
        <v>1355</v>
      </c>
      <c r="H293" s="233" t="s">
        <v>1359</v>
      </c>
      <c r="I293" s="880">
        <v>2975000</v>
      </c>
      <c r="J293" s="902">
        <v>2975000</v>
      </c>
      <c r="K293" s="860" t="s">
        <v>1365</v>
      </c>
      <c r="L293" s="860" t="s">
        <v>1366</v>
      </c>
      <c r="M293" s="228" t="s">
        <v>1442</v>
      </c>
      <c r="N293" s="228" t="s">
        <v>1469</v>
      </c>
      <c r="O293" s="866" t="s">
        <v>1471</v>
      </c>
      <c r="P293" s="856" t="s">
        <v>1370</v>
      </c>
      <c r="Q293" s="856" t="s">
        <v>1371</v>
      </c>
      <c r="R293" s="856" t="s">
        <v>1365</v>
      </c>
      <c r="S293" s="232" t="s">
        <v>1365</v>
      </c>
    </row>
    <row r="294" spans="1:19" ht="43" customHeight="1" x14ac:dyDescent="0.35">
      <c r="A294" s="844">
        <v>90101600</v>
      </c>
      <c r="B294" s="860" t="s">
        <v>1220</v>
      </c>
      <c r="C294" s="228" t="s">
        <v>72</v>
      </c>
      <c r="D294" s="228" t="s">
        <v>71</v>
      </c>
      <c r="E294" s="228">
        <v>1</v>
      </c>
      <c r="F294" s="174" t="s">
        <v>1353</v>
      </c>
      <c r="G294" s="233" t="s">
        <v>1355</v>
      </c>
      <c r="H294" s="233" t="s">
        <v>1359</v>
      </c>
      <c r="I294" s="880">
        <v>6545000</v>
      </c>
      <c r="J294" s="902">
        <v>6545000</v>
      </c>
      <c r="K294" s="860" t="s">
        <v>1365</v>
      </c>
      <c r="L294" s="860" t="s">
        <v>1366</v>
      </c>
      <c r="M294" s="228" t="s">
        <v>1442</v>
      </c>
      <c r="N294" s="228" t="s">
        <v>1472</v>
      </c>
      <c r="O294" s="866" t="s">
        <v>1473</v>
      </c>
      <c r="P294" s="856" t="s">
        <v>1370</v>
      </c>
      <c r="Q294" s="856" t="s">
        <v>1371</v>
      </c>
      <c r="R294" s="856" t="s">
        <v>1365</v>
      </c>
      <c r="S294" s="232" t="s">
        <v>1365</v>
      </c>
    </row>
    <row r="295" spans="1:19" ht="43" customHeight="1" x14ac:dyDescent="0.35">
      <c r="A295" s="844">
        <v>80141902</v>
      </c>
      <c r="B295" s="860" t="s">
        <v>1221</v>
      </c>
      <c r="C295" s="228" t="s">
        <v>80</v>
      </c>
      <c r="D295" s="228" t="s">
        <v>79</v>
      </c>
      <c r="E295" s="228">
        <v>1</v>
      </c>
      <c r="F295" s="174" t="s">
        <v>1353</v>
      </c>
      <c r="G295" s="233" t="s">
        <v>1355</v>
      </c>
      <c r="H295" s="233" t="s">
        <v>1359</v>
      </c>
      <c r="I295" s="880">
        <v>6545000</v>
      </c>
      <c r="J295" s="902">
        <v>6545000</v>
      </c>
      <c r="K295" s="860" t="s">
        <v>1365</v>
      </c>
      <c r="L295" s="860" t="s">
        <v>1366</v>
      </c>
      <c r="M295" s="228" t="s">
        <v>1442</v>
      </c>
      <c r="N295" s="228" t="s">
        <v>1472</v>
      </c>
      <c r="O295" s="866" t="s">
        <v>1473</v>
      </c>
      <c r="P295" s="856" t="s">
        <v>1370</v>
      </c>
      <c r="Q295" s="856" t="s">
        <v>1371</v>
      </c>
      <c r="R295" s="856" t="s">
        <v>1365</v>
      </c>
      <c r="S295" s="232" t="s">
        <v>1365</v>
      </c>
    </row>
    <row r="296" spans="1:19" ht="43" customHeight="1" x14ac:dyDescent="0.35">
      <c r="A296" s="831" t="s">
        <v>1009</v>
      </c>
      <c r="B296" s="861" t="s">
        <v>1265</v>
      </c>
      <c r="C296" s="228" t="s">
        <v>74</v>
      </c>
      <c r="D296" s="228" t="s">
        <v>74</v>
      </c>
      <c r="E296" s="228">
        <v>1</v>
      </c>
      <c r="F296" s="174" t="s">
        <v>1353</v>
      </c>
      <c r="G296" s="233" t="s">
        <v>1355</v>
      </c>
      <c r="H296" s="233" t="s">
        <v>1359</v>
      </c>
      <c r="I296" s="880">
        <v>14280000</v>
      </c>
      <c r="J296" s="902">
        <v>14280000</v>
      </c>
      <c r="K296" s="860" t="s">
        <v>1365</v>
      </c>
      <c r="L296" s="849" t="s">
        <v>1366</v>
      </c>
      <c r="M296" s="228" t="s">
        <v>1442</v>
      </c>
      <c r="N296" s="228" t="s">
        <v>1472</v>
      </c>
      <c r="O296" s="866" t="s">
        <v>1473</v>
      </c>
      <c r="P296" s="856" t="s">
        <v>1370</v>
      </c>
      <c r="Q296" s="856" t="s">
        <v>1371</v>
      </c>
      <c r="R296" s="856" t="s">
        <v>1365</v>
      </c>
      <c r="S296" s="232" t="s">
        <v>1365</v>
      </c>
    </row>
    <row r="297" spans="1:19" ht="43" customHeight="1" x14ac:dyDescent="0.35">
      <c r="A297" s="831" t="s">
        <v>1010</v>
      </c>
      <c r="B297" s="861" t="s">
        <v>1266</v>
      </c>
      <c r="C297" s="228" t="s">
        <v>73</v>
      </c>
      <c r="D297" s="228" t="s">
        <v>73</v>
      </c>
      <c r="E297" s="228">
        <v>1</v>
      </c>
      <c r="F297" s="174" t="s">
        <v>1353</v>
      </c>
      <c r="G297" s="233" t="s">
        <v>1355</v>
      </c>
      <c r="H297" s="233" t="s">
        <v>1359</v>
      </c>
      <c r="I297" s="880">
        <v>4998000</v>
      </c>
      <c r="J297" s="902">
        <v>4998000</v>
      </c>
      <c r="K297" s="860" t="s">
        <v>1365</v>
      </c>
      <c r="L297" s="849" t="s">
        <v>1366</v>
      </c>
      <c r="M297" s="228" t="s">
        <v>1442</v>
      </c>
      <c r="N297" s="228" t="s">
        <v>1472</v>
      </c>
      <c r="O297" s="866" t="s">
        <v>1473</v>
      </c>
      <c r="P297" s="856" t="s">
        <v>1370</v>
      </c>
      <c r="Q297" s="856" t="s">
        <v>1371</v>
      </c>
      <c r="R297" s="856" t="s">
        <v>1365</v>
      </c>
      <c r="S297" s="232" t="s">
        <v>1365</v>
      </c>
    </row>
    <row r="298" spans="1:19" ht="43" customHeight="1" x14ac:dyDescent="0.35">
      <c r="A298" s="831" t="s">
        <v>1011</v>
      </c>
      <c r="B298" s="861" t="s">
        <v>1267</v>
      </c>
      <c r="C298" s="228" t="s">
        <v>75</v>
      </c>
      <c r="D298" s="228" t="s">
        <v>75</v>
      </c>
      <c r="E298" s="228">
        <v>1</v>
      </c>
      <c r="F298" s="174" t="s">
        <v>1353</v>
      </c>
      <c r="G298" s="233" t="s">
        <v>1355</v>
      </c>
      <c r="H298" s="233" t="s">
        <v>1359</v>
      </c>
      <c r="I298" s="880">
        <v>2975000</v>
      </c>
      <c r="J298" s="902">
        <v>2975000</v>
      </c>
      <c r="K298" s="860" t="s">
        <v>1365</v>
      </c>
      <c r="L298" s="849" t="s">
        <v>1366</v>
      </c>
      <c r="M298" s="228" t="s">
        <v>1442</v>
      </c>
      <c r="N298" s="228" t="s">
        <v>1472</v>
      </c>
      <c r="O298" s="866" t="s">
        <v>1473</v>
      </c>
      <c r="P298" s="856" t="s">
        <v>1370</v>
      </c>
      <c r="Q298" s="856" t="s">
        <v>1371</v>
      </c>
      <c r="R298" s="856" t="s">
        <v>1365</v>
      </c>
      <c r="S298" s="232" t="s">
        <v>1365</v>
      </c>
    </row>
    <row r="299" spans="1:19" ht="43" customHeight="1" x14ac:dyDescent="0.35">
      <c r="A299" s="831" t="s">
        <v>1012</v>
      </c>
      <c r="B299" s="861" t="s">
        <v>1268</v>
      </c>
      <c r="C299" s="228" t="s">
        <v>71</v>
      </c>
      <c r="D299" s="228" t="s">
        <v>71</v>
      </c>
      <c r="E299" s="228">
        <v>1</v>
      </c>
      <c r="F299" s="174" t="s">
        <v>1353</v>
      </c>
      <c r="G299" s="233" t="s">
        <v>1355</v>
      </c>
      <c r="H299" s="233" t="s">
        <v>1359</v>
      </c>
      <c r="I299" s="880">
        <v>4760000</v>
      </c>
      <c r="J299" s="902">
        <v>4760000</v>
      </c>
      <c r="K299" s="860" t="s">
        <v>1365</v>
      </c>
      <c r="L299" s="849" t="s">
        <v>1366</v>
      </c>
      <c r="M299" s="228" t="s">
        <v>1442</v>
      </c>
      <c r="N299" s="228" t="s">
        <v>1472</v>
      </c>
      <c r="O299" s="866" t="s">
        <v>1473</v>
      </c>
      <c r="P299" s="856" t="s">
        <v>1370</v>
      </c>
      <c r="Q299" s="856" t="s">
        <v>1371</v>
      </c>
      <c r="R299" s="856" t="s">
        <v>1365</v>
      </c>
      <c r="S299" s="232" t="s">
        <v>1365</v>
      </c>
    </row>
    <row r="300" spans="1:19" ht="43" customHeight="1" x14ac:dyDescent="0.35">
      <c r="A300" s="831" t="s">
        <v>1013</v>
      </c>
      <c r="B300" s="861" t="s">
        <v>1269</v>
      </c>
      <c r="C300" s="228" t="s">
        <v>71</v>
      </c>
      <c r="D300" s="228" t="s">
        <v>71</v>
      </c>
      <c r="E300" s="228">
        <v>1</v>
      </c>
      <c r="F300" s="174" t="s">
        <v>1353</v>
      </c>
      <c r="G300" s="233" t="s">
        <v>1355</v>
      </c>
      <c r="H300" s="233" t="s">
        <v>1359</v>
      </c>
      <c r="I300" s="880">
        <v>2142000</v>
      </c>
      <c r="J300" s="902">
        <v>2142000</v>
      </c>
      <c r="K300" s="860" t="s">
        <v>1365</v>
      </c>
      <c r="L300" s="849" t="s">
        <v>1366</v>
      </c>
      <c r="M300" s="228" t="s">
        <v>1442</v>
      </c>
      <c r="N300" s="228" t="s">
        <v>1472</v>
      </c>
      <c r="O300" s="866" t="s">
        <v>1473</v>
      </c>
      <c r="P300" s="856" t="s">
        <v>1370</v>
      </c>
      <c r="Q300" s="856" t="s">
        <v>1371</v>
      </c>
      <c r="R300" s="856" t="s">
        <v>1365</v>
      </c>
      <c r="S300" s="232" t="s">
        <v>1365</v>
      </c>
    </row>
    <row r="301" spans="1:19" ht="43" customHeight="1" x14ac:dyDescent="0.35">
      <c r="A301" s="831" t="s">
        <v>1014</v>
      </c>
      <c r="B301" s="861" t="s">
        <v>1270</v>
      </c>
      <c r="C301" s="228" t="s">
        <v>71</v>
      </c>
      <c r="D301" s="228" t="s">
        <v>71</v>
      </c>
      <c r="E301" s="228">
        <v>1</v>
      </c>
      <c r="F301" s="174" t="s">
        <v>1353</v>
      </c>
      <c r="G301" s="233" t="s">
        <v>1355</v>
      </c>
      <c r="H301" s="233" t="s">
        <v>1359</v>
      </c>
      <c r="I301" s="880">
        <v>3332000</v>
      </c>
      <c r="J301" s="902">
        <v>3332000</v>
      </c>
      <c r="K301" s="860" t="s">
        <v>1365</v>
      </c>
      <c r="L301" s="849" t="s">
        <v>1366</v>
      </c>
      <c r="M301" s="228" t="s">
        <v>1442</v>
      </c>
      <c r="N301" s="228" t="s">
        <v>1472</v>
      </c>
      <c r="O301" s="866" t="s">
        <v>1473</v>
      </c>
      <c r="P301" s="856" t="s">
        <v>1370</v>
      </c>
      <c r="Q301" s="856" t="s">
        <v>1371</v>
      </c>
      <c r="R301" s="856" t="s">
        <v>1365</v>
      </c>
      <c r="S301" s="232" t="s">
        <v>1365</v>
      </c>
    </row>
    <row r="302" spans="1:19" ht="43" customHeight="1" x14ac:dyDescent="0.35">
      <c r="A302" s="831" t="s">
        <v>1015</v>
      </c>
      <c r="B302" s="863" t="s">
        <v>1271</v>
      </c>
      <c r="C302" s="228" t="s">
        <v>71</v>
      </c>
      <c r="D302" s="228" t="s">
        <v>71</v>
      </c>
      <c r="E302" s="228">
        <v>1</v>
      </c>
      <c r="F302" s="174" t="s">
        <v>1353</v>
      </c>
      <c r="G302" s="233" t="s">
        <v>1358</v>
      </c>
      <c r="H302" s="233" t="s">
        <v>1359</v>
      </c>
      <c r="I302" s="880">
        <v>1785000</v>
      </c>
      <c r="J302" s="902">
        <v>1785000</v>
      </c>
      <c r="K302" s="860" t="s">
        <v>1365</v>
      </c>
      <c r="L302" s="849" t="s">
        <v>1366</v>
      </c>
      <c r="M302" s="228" t="s">
        <v>1442</v>
      </c>
      <c r="N302" s="228" t="s">
        <v>1472</v>
      </c>
      <c r="O302" s="866" t="s">
        <v>1473</v>
      </c>
      <c r="P302" s="856" t="s">
        <v>1370</v>
      </c>
      <c r="Q302" s="856" t="s">
        <v>1371</v>
      </c>
      <c r="R302" s="856" t="s">
        <v>1365</v>
      </c>
      <c r="S302" s="232" t="s">
        <v>1365</v>
      </c>
    </row>
    <row r="303" spans="1:19" ht="43" customHeight="1" x14ac:dyDescent="0.35">
      <c r="A303" s="831">
        <v>80141902</v>
      </c>
      <c r="B303" s="860" t="s">
        <v>1272</v>
      </c>
      <c r="C303" s="228" t="s">
        <v>76</v>
      </c>
      <c r="D303" s="228" t="s">
        <v>76</v>
      </c>
      <c r="E303" s="228">
        <v>1</v>
      </c>
      <c r="F303" s="174" t="s">
        <v>1353</v>
      </c>
      <c r="G303" s="233" t="s">
        <v>1355</v>
      </c>
      <c r="H303" s="233" t="s">
        <v>1359</v>
      </c>
      <c r="I303" s="880">
        <v>2159850.0000000005</v>
      </c>
      <c r="J303" s="902">
        <v>2159850.0000000005</v>
      </c>
      <c r="K303" s="860" t="s">
        <v>1365</v>
      </c>
      <c r="L303" s="849" t="s">
        <v>1366</v>
      </c>
      <c r="M303" s="228" t="s">
        <v>1442</v>
      </c>
      <c r="N303" s="228" t="s">
        <v>1472</v>
      </c>
      <c r="O303" s="866" t="s">
        <v>1473</v>
      </c>
      <c r="P303" s="856" t="s">
        <v>1370</v>
      </c>
      <c r="Q303" s="856" t="s">
        <v>1371</v>
      </c>
      <c r="R303" s="856" t="s">
        <v>1365</v>
      </c>
      <c r="S303" s="232" t="s">
        <v>1365</v>
      </c>
    </row>
    <row r="304" spans="1:19" ht="43" customHeight="1" x14ac:dyDescent="0.35">
      <c r="A304" s="845">
        <v>78181703</v>
      </c>
      <c r="B304" s="860" t="s">
        <v>1259</v>
      </c>
      <c r="C304" s="228" t="s">
        <v>69</v>
      </c>
      <c r="D304" s="228" t="s">
        <v>69</v>
      </c>
      <c r="E304" s="228">
        <v>12</v>
      </c>
      <c r="F304" s="174" t="s">
        <v>1353</v>
      </c>
      <c r="G304" s="233" t="s">
        <v>1355</v>
      </c>
      <c r="H304" s="233" t="s">
        <v>1359</v>
      </c>
      <c r="I304" s="880">
        <v>3904269.81</v>
      </c>
      <c r="J304" s="902">
        <v>3904269.81</v>
      </c>
      <c r="K304" s="860" t="s">
        <v>1365</v>
      </c>
      <c r="L304" s="849" t="s">
        <v>1366</v>
      </c>
      <c r="M304" s="228" t="s">
        <v>1442</v>
      </c>
      <c r="N304" s="228" t="s">
        <v>1472</v>
      </c>
      <c r="O304" s="866" t="s">
        <v>1473</v>
      </c>
      <c r="P304" s="856" t="s">
        <v>1370</v>
      </c>
      <c r="Q304" s="856" t="s">
        <v>1371</v>
      </c>
      <c r="R304" s="856" t="s">
        <v>1365</v>
      </c>
      <c r="S304" s="232" t="s">
        <v>1365</v>
      </c>
    </row>
    <row r="305" spans="1:19" ht="43" customHeight="1" x14ac:dyDescent="0.35">
      <c r="A305" s="845">
        <v>78181703</v>
      </c>
      <c r="B305" s="860" t="s">
        <v>1273</v>
      </c>
      <c r="C305" s="228" t="s">
        <v>69</v>
      </c>
      <c r="D305" s="228" t="s">
        <v>70</v>
      </c>
      <c r="E305" s="228">
        <v>8</v>
      </c>
      <c r="F305" s="174" t="s">
        <v>1353</v>
      </c>
      <c r="G305" s="228" t="s">
        <v>1355</v>
      </c>
      <c r="H305" s="233" t="s">
        <v>1359</v>
      </c>
      <c r="I305" s="880">
        <v>8784606.1799999997</v>
      </c>
      <c r="J305" s="902">
        <v>8784606.1799999997</v>
      </c>
      <c r="K305" s="860" t="s">
        <v>1365</v>
      </c>
      <c r="L305" s="849" t="s">
        <v>1366</v>
      </c>
      <c r="M305" s="228" t="s">
        <v>1442</v>
      </c>
      <c r="N305" s="228" t="s">
        <v>1474</v>
      </c>
      <c r="O305" s="866" t="s">
        <v>1475</v>
      </c>
      <c r="P305" s="856" t="s">
        <v>1370</v>
      </c>
      <c r="Q305" s="856" t="s">
        <v>1371</v>
      </c>
      <c r="R305" s="856" t="s">
        <v>1365</v>
      </c>
      <c r="S305" s="232" t="s">
        <v>1365</v>
      </c>
    </row>
    <row r="306" spans="1:19" ht="43" customHeight="1" x14ac:dyDescent="0.35">
      <c r="A306" s="844">
        <v>72101511</v>
      </c>
      <c r="B306" s="860" t="s">
        <v>1274</v>
      </c>
      <c r="C306" s="228" t="s">
        <v>69</v>
      </c>
      <c r="D306" s="228" t="s">
        <v>70</v>
      </c>
      <c r="E306" s="228">
        <v>8</v>
      </c>
      <c r="F306" s="174" t="s">
        <v>1353</v>
      </c>
      <c r="G306" s="228" t="s">
        <v>1358</v>
      </c>
      <c r="H306" s="233" t="s">
        <v>1359</v>
      </c>
      <c r="I306" s="880">
        <v>1428000</v>
      </c>
      <c r="J306" s="902">
        <v>1428000</v>
      </c>
      <c r="K306" s="860" t="s">
        <v>1365</v>
      </c>
      <c r="L306" s="849" t="s">
        <v>1366</v>
      </c>
      <c r="M306" s="228" t="s">
        <v>1442</v>
      </c>
      <c r="N306" s="228" t="s">
        <v>1474</v>
      </c>
      <c r="O306" s="866" t="s">
        <v>1475</v>
      </c>
      <c r="P306" s="856" t="s">
        <v>1370</v>
      </c>
      <c r="Q306" s="856" t="s">
        <v>1371</v>
      </c>
      <c r="R306" s="856" t="s">
        <v>1365</v>
      </c>
      <c r="S306" s="232" t="s">
        <v>1365</v>
      </c>
    </row>
    <row r="307" spans="1:19" ht="43" customHeight="1" x14ac:dyDescent="0.35">
      <c r="A307" s="844">
        <v>80141902</v>
      </c>
      <c r="B307" s="860" t="s">
        <v>1275</v>
      </c>
      <c r="C307" s="228" t="s">
        <v>76</v>
      </c>
      <c r="D307" s="228" t="s">
        <v>77</v>
      </c>
      <c r="E307" s="228">
        <v>1</v>
      </c>
      <c r="F307" s="174" t="s">
        <v>1353</v>
      </c>
      <c r="G307" s="228" t="s">
        <v>1355</v>
      </c>
      <c r="H307" s="233" t="s">
        <v>1359</v>
      </c>
      <c r="I307" s="880">
        <v>2380000</v>
      </c>
      <c r="J307" s="902">
        <v>2380000</v>
      </c>
      <c r="K307" s="860" t="s">
        <v>1365</v>
      </c>
      <c r="L307" s="849" t="s">
        <v>1366</v>
      </c>
      <c r="M307" s="228" t="s">
        <v>1442</v>
      </c>
      <c r="N307" s="228" t="s">
        <v>1474</v>
      </c>
      <c r="O307" s="866" t="s">
        <v>1475</v>
      </c>
      <c r="P307" s="856" t="s">
        <v>1370</v>
      </c>
      <c r="Q307" s="856" t="s">
        <v>1371</v>
      </c>
      <c r="R307" s="856" t="s">
        <v>1365</v>
      </c>
      <c r="S307" s="232" t="s">
        <v>1365</v>
      </c>
    </row>
    <row r="308" spans="1:19" ht="43" customHeight="1" x14ac:dyDescent="0.35">
      <c r="A308" s="844">
        <v>80141902</v>
      </c>
      <c r="B308" s="860" t="s">
        <v>1276</v>
      </c>
      <c r="C308" s="228" t="s">
        <v>79</v>
      </c>
      <c r="D308" s="228" t="s">
        <v>80</v>
      </c>
      <c r="E308" s="228">
        <v>1</v>
      </c>
      <c r="F308" s="174" t="s">
        <v>1353</v>
      </c>
      <c r="G308" s="228" t="s">
        <v>1355</v>
      </c>
      <c r="H308" s="233" t="s">
        <v>1359</v>
      </c>
      <c r="I308" s="880">
        <v>2380000</v>
      </c>
      <c r="J308" s="902">
        <v>2380000</v>
      </c>
      <c r="K308" s="860" t="s">
        <v>1365</v>
      </c>
      <c r="L308" s="849" t="s">
        <v>1366</v>
      </c>
      <c r="M308" s="228" t="s">
        <v>1442</v>
      </c>
      <c r="N308" s="228" t="s">
        <v>1474</v>
      </c>
      <c r="O308" s="866" t="s">
        <v>1475</v>
      </c>
      <c r="P308" s="856" t="s">
        <v>1370</v>
      </c>
      <c r="Q308" s="856" t="s">
        <v>1371</v>
      </c>
      <c r="R308" s="856" t="s">
        <v>1365</v>
      </c>
      <c r="S308" s="232" t="s">
        <v>1365</v>
      </c>
    </row>
    <row r="309" spans="1:19" ht="43" customHeight="1" x14ac:dyDescent="0.35">
      <c r="A309" s="844">
        <v>80101510</v>
      </c>
      <c r="B309" s="860" t="s">
        <v>1277</v>
      </c>
      <c r="C309" s="228" t="s">
        <v>69</v>
      </c>
      <c r="D309" s="228" t="s">
        <v>70</v>
      </c>
      <c r="E309" s="228">
        <v>11</v>
      </c>
      <c r="F309" s="174" t="s">
        <v>1353</v>
      </c>
      <c r="G309" s="228" t="s">
        <v>1355</v>
      </c>
      <c r="H309" s="233" t="s">
        <v>1359</v>
      </c>
      <c r="I309" s="880">
        <v>35700000</v>
      </c>
      <c r="J309" s="902">
        <v>35700000</v>
      </c>
      <c r="K309" s="860" t="s">
        <v>1365</v>
      </c>
      <c r="L309" s="849" t="s">
        <v>1366</v>
      </c>
      <c r="M309" s="228" t="s">
        <v>1442</v>
      </c>
      <c r="N309" s="228" t="s">
        <v>1474</v>
      </c>
      <c r="O309" s="866" t="s">
        <v>1475</v>
      </c>
      <c r="P309" s="856" t="s">
        <v>1370</v>
      </c>
      <c r="Q309" s="856" t="s">
        <v>1371</v>
      </c>
      <c r="R309" s="856" t="s">
        <v>1365</v>
      </c>
      <c r="S309" s="232" t="s">
        <v>1365</v>
      </c>
    </row>
    <row r="310" spans="1:19" ht="43" customHeight="1" x14ac:dyDescent="0.35">
      <c r="A310" s="844">
        <v>82121507</v>
      </c>
      <c r="B310" s="860" t="s">
        <v>1278</v>
      </c>
      <c r="C310" s="228" t="s">
        <v>76</v>
      </c>
      <c r="D310" s="228" t="s">
        <v>78</v>
      </c>
      <c r="E310" s="228">
        <v>12</v>
      </c>
      <c r="F310" s="174" t="s">
        <v>1353</v>
      </c>
      <c r="G310" s="228" t="s">
        <v>1355</v>
      </c>
      <c r="H310" s="233" t="s">
        <v>1359</v>
      </c>
      <c r="I310" s="880">
        <v>15470000</v>
      </c>
      <c r="J310" s="902">
        <v>15470000</v>
      </c>
      <c r="K310" s="860" t="s">
        <v>1365</v>
      </c>
      <c r="L310" s="849" t="s">
        <v>1366</v>
      </c>
      <c r="M310" s="228" t="s">
        <v>1442</v>
      </c>
      <c r="N310" s="228" t="s">
        <v>1474</v>
      </c>
      <c r="O310" s="866" t="s">
        <v>1475</v>
      </c>
      <c r="P310" s="856" t="s">
        <v>1370</v>
      </c>
      <c r="Q310" s="856" t="s">
        <v>1371</v>
      </c>
      <c r="R310" s="856" t="s">
        <v>1365</v>
      </c>
      <c r="S310" s="232" t="s">
        <v>1365</v>
      </c>
    </row>
    <row r="311" spans="1:19" ht="43" customHeight="1" x14ac:dyDescent="0.35">
      <c r="A311" s="844">
        <v>46191601</v>
      </c>
      <c r="B311" s="860" t="s">
        <v>1279</v>
      </c>
      <c r="C311" s="228" t="s">
        <v>70</v>
      </c>
      <c r="D311" s="228" t="s">
        <v>72</v>
      </c>
      <c r="E311" s="228">
        <v>1</v>
      </c>
      <c r="F311" s="174" t="s">
        <v>1353</v>
      </c>
      <c r="G311" s="228" t="s">
        <v>1358</v>
      </c>
      <c r="H311" s="233" t="s">
        <v>1359</v>
      </c>
      <c r="I311" s="880">
        <v>595000</v>
      </c>
      <c r="J311" s="902">
        <v>595000</v>
      </c>
      <c r="K311" s="860" t="s">
        <v>1365</v>
      </c>
      <c r="L311" s="849" t="s">
        <v>1366</v>
      </c>
      <c r="M311" s="228" t="s">
        <v>1442</v>
      </c>
      <c r="N311" s="228" t="s">
        <v>1474</v>
      </c>
      <c r="O311" s="866" t="s">
        <v>1475</v>
      </c>
      <c r="P311" s="856" t="s">
        <v>1370</v>
      </c>
      <c r="Q311" s="856" t="s">
        <v>1371</v>
      </c>
      <c r="R311" s="856" t="s">
        <v>1365</v>
      </c>
      <c r="S311" s="232" t="s">
        <v>1365</v>
      </c>
    </row>
    <row r="312" spans="1:19" ht="43" customHeight="1" x14ac:dyDescent="0.35">
      <c r="A312" s="844">
        <v>90101600</v>
      </c>
      <c r="B312" s="860" t="s">
        <v>1220</v>
      </c>
      <c r="C312" s="228" t="s">
        <v>72</v>
      </c>
      <c r="D312" s="228" t="s">
        <v>71</v>
      </c>
      <c r="E312" s="228">
        <v>1</v>
      </c>
      <c r="F312" s="174" t="s">
        <v>1353</v>
      </c>
      <c r="G312" s="233" t="s">
        <v>1355</v>
      </c>
      <c r="H312" s="233" t="s">
        <v>1359</v>
      </c>
      <c r="I312" s="880">
        <v>6545000</v>
      </c>
      <c r="J312" s="902">
        <v>6545000</v>
      </c>
      <c r="K312" s="860" t="s">
        <v>1365</v>
      </c>
      <c r="L312" s="860" t="s">
        <v>1366</v>
      </c>
      <c r="M312" s="228" t="s">
        <v>1442</v>
      </c>
      <c r="N312" s="228" t="s">
        <v>1474</v>
      </c>
      <c r="O312" s="866" t="s">
        <v>1475</v>
      </c>
      <c r="P312" s="856" t="s">
        <v>1370</v>
      </c>
      <c r="Q312" s="856" t="s">
        <v>1371</v>
      </c>
      <c r="R312" s="856" t="s">
        <v>1365</v>
      </c>
      <c r="S312" s="232" t="s">
        <v>1365</v>
      </c>
    </row>
    <row r="313" spans="1:19" ht="43" customHeight="1" x14ac:dyDescent="0.35">
      <c r="A313" s="844">
        <v>80141902</v>
      </c>
      <c r="B313" s="860" t="s">
        <v>1221</v>
      </c>
      <c r="C313" s="228" t="s">
        <v>80</v>
      </c>
      <c r="D313" s="228" t="s">
        <v>79</v>
      </c>
      <c r="E313" s="228">
        <v>1</v>
      </c>
      <c r="F313" s="174" t="s">
        <v>1353</v>
      </c>
      <c r="G313" s="233" t="s">
        <v>1355</v>
      </c>
      <c r="H313" s="233" t="s">
        <v>1359</v>
      </c>
      <c r="I313" s="880">
        <v>6545000</v>
      </c>
      <c r="J313" s="902">
        <v>6545000</v>
      </c>
      <c r="K313" s="860" t="s">
        <v>1365</v>
      </c>
      <c r="L313" s="860" t="s">
        <v>1366</v>
      </c>
      <c r="M313" s="228" t="s">
        <v>1442</v>
      </c>
      <c r="N313" s="228" t="s">
        <v>1474</v>
      </c>
      <c r="O313" s="866" t="s">
        <v>1475</v>
      </c>
      <c r="P313" s="856" t="s">
        <v>1370</v>
      </c>
      <c r="Q313" s="856" t="s">
        <v>1371</v>
      </c>
      <c r="R313" s="856" t="s">
        <v>1365</v>
      </c>
      <c r="S313" s="232" t="s">
        <v>1365</v>
      </c>
    </row>
    <row r="314" spans="1:19" ht="43" customHeight="1" x14ac:dyDescent="0.35">
      <c r="A314" s="844">
        <v>90101600</v>
      </c>
      <c r="B314" s="860" t="s">
        <v>1220</v>
      </c>
      <c r="C314" s="228" t="s">
        <v>72</v>
      </c>
      <c r="D314" s="228" t="s">
        <v>71</v>
      </c>
      <c r="E314" s="228">
        <v>1</v>
      </c>
      <c r="F314" s="174" t="s">
        <v>1353</v>
      </c>
      <c r="G314" s="233" t="s">
        <v>1355</v>
      </c>
      <c r="H314" s="233" t="s">
        <v>1359</v>
      </c>
      <c r="I314" s="880">
        <v>10710000</v>
      </c>
      <c r="J314" s="902">
        <v>10710000</v>
      </c>
      <c r="K314" s="860" t="s">
        <v>1365</v>
      </c>
      <c r="L314" s="860" t="s">
        <v>1366</v>
      </c>
      <c r="M314" s="228" t="s">
        <v>1442</v>
      </c>
      <c r="N314" s="228" t="s">
        <v>1476</v>
      </c>
      <c r="O314" s="866" t="s">
        <v>1477</v>
      </c>
      <c r="P314" s="856" t="s">
        <v>1370</v>
      </c>
      <c r="Q314" s="856" t="s">
        <v>1371</v>
      </c>
      <c r="R314" s="856" t="s">
        <v>1365</v>
      </c>
      <c r="S314" s="232" t="s">
        <v>1365</v>
      </c>
    </row>
    <row r="315" spans="1:19" ht="43" customHeight="1" x14ac:dyDescent="0.35">
      <c r="A315" s="844">
        <v>80141902</v>
      </c>
      <c r="B315" s="860" t="s">
        <v>1221</v>
      </c>
      <c r="C315" s="228" t="s">
        <v>80</v>
      </c>
      <c r="D315" s="228" t="s">
        <v>79</v>
      </c>
      <c r="E315" s="228">
        <v>1</v>
      </c>
      <c r="F315" s="174" t="s">
        <v>1353</v>
      </c>
      <c r="G315" s="233" t="s">
        <v>1355</v>
      </c>
      <c r="H315" s="233" t="s">
        <v>1359</v>
      </c>
      <c r="I315" s="880">
        <v>10710000</v>
      </c>
      <c r="J315" s="902">
        <v>10710000</v>
      </c>
      <c r="K315" s="860" t="s">
        <v>1365</v>
      </c>
      <c r="L315" s="860" t="s">
        <v>1366</v>
      </c>
      <c r="M315" s="228" t="s">
        <v>1442</v>
      </c>
      <c r="N315" s="228" t="s">
        <v>1476</v>
      </c>
      <c r="O315" s="866" t="s">
        <v>1477</v>
      </c>
      <c r="P315" s="856" t="s">
        <v>1370</v>
      </c>
      <c r="Q315" s="856" t="s">
        <v>1371</v>
      </c>
      <c r="R315" s="856" t="s">
        <v>1365</v>
      </c>
      <c r="S315" s="232" t="s">
        <v>1365</v>
      </c>
    </row>
    <row r="316" spans="1:19" ht="43" customHeight="1" x14ac:dyDescent="0.35">
      <c r="A316" s="831" t="s">
        <v>1016</v>
      </c>
      <c r="B316" s="864" t="s">
        <v>1280</v>
      </c>
      <c r="C316" s="228" t="s">
        <v>70</v>
      </c>
      <c r="D316" s="228" t="s">
        <v>70</v>
      </c>
      <c r="E316" s="228">
        <v>1</v>
      </c>
      <c r="F316" s="174" t="s">
        <v>1353</v>
      </c>
      <c r="G316" s="233" t="s">
        <v>1355</v>
      </c>
      <c r="H316" s="233" t="s">
        <v>1359</v>
      </c>
      <c r="I316" s="880">
        <v>3570000</v>
      </c>
      <c r="J316" s="902">
        <v>3570000</v>
      </c>
      <c r="K316" s="860" t="s">
        <v>1365</v>
      </c>
      <c r="L316" s="849" t="s">
        <v>1366</v>
      </c>
      <c r="M316" s="228" t="s">
        <v>1442</v>
      </c>
      <c r="N316" s="228" t="s">
        <v>1476</v>
      </c>
      <c r="O316" s="866" t="s">
        <v>1478</v>
      </c>
      <c r="P316" s="856" t="s">
        <v>1370</v>
      </c>
      <c r="Q316" s="856" t="s">
        <v>1371</v>
      </c>
      <c r="R316" s="856" t="s">
        <v>1365</v>
      </c>
      <c r="S316" s="232" t="s">
        <v>1365</v>
      </c>
    </row>
    <row r="317" spans="1:19" ht="43" customHeight="1" x14ac:dyDescent="0.35">
      <c r="A317" s="845">
        <v>72151302</v>
      </c>
      <c r="B317" s="862" t="s">
        <v>1281</v>
      </c>
      <c r="C317" s="228" t="s">
        <v>70</v>
      </c>
      <c r="D317" s="228" t="s">
        <v>70</v>
      </c>
      <c r="E317" s="228">
        <v>2</v>
      </c>
      <c r="F317" s="174" t="s">
        <v>1353</v>
      </c>
      <c r="G317" s="233" t="s">
        <v>1355</v>
      </c>
      <c r="H317" s="233" t="s">
        <v>1359</v>
      </c>
      <c r="I317" s="880">
        <v>11900000</v>
      </c>
      <c r="J317" s="902">
        <v>11900000</v>
      </c>
      <c r="K317" s="860" t="s">
        <v>1365</v>
      </c>
      <c r="L317" s="849" t="s">
        <v>1366</v>
      </c>
      <c r="M317" s="228" t="s">
        <v>1442</v>
      </c>
      <c r="N317" s="228" t="s">
        <v>1476</v>
      </c>
      <c r="O317" s="866" t="s">
        <v>1478</v>
      </c>
      <c r="P317" s="856" t="s">
        <v>1370</v>
      </c>
      <c r="Q317" s="856" t="s">
        <v>1371</v>
      </c>
      <c r="R317" s="856" t="s">
        <v>1365</v>
      </c>
      <c r="S317" s="232" t="s">
        <v>1365</v>
      </c>
    </row>
    <row r="318" spans="1:19" ht="43" customHeight="1" x14ac:dyDescent="0.35">
      <c r="A318" s="845">
        <v>72152402</v>
      </c>
      <c r="B318" s="862" t="s">
        <v>1282</v>
      </c>
      <c r="C318" s="228" t="s">
        <v>71</v>
      </c>
      <c r="D318" s="228" t="s">
        <v>71</v>
      </c>
      <c r="E318" s="228">
        <v>1</v>
      </c>
      <c r="F318" s="174" t="s">
        <v>1353</v>
      </c>
      <c r="G318" s="233" t="s">
        <v>1355</v>
      </c>
      <c r="H318" s="233" t="s">
        <v>1359</v>
      </c>
      <c r="I318" s="880">
        <v>3570000</v>
      </c>
      <c r="J318" s="902">
        <v>3570000</v>
      </c>
      <c r="K318" s="860" t="s">
        <v>1365</v>
      </c>
      <c r="L318" s="849" t="s">
        <v>1366</v>
      </c>
      <c r="M318" s="228" t="s">
        <v>1442</v>
      </c>
      <c r="N318" s="228" t="s">
        <v>1476</v>
      </c>
      <c r="O318" s="866" t="s">
        <v>1478</v>
      </c>
      <c r="P318" s="856" t="s">
        <v>1370</v>
      </c>
      <c r="Q318" s="856" t="s">
        <v>1371</v>
      </c>
      <c r="R318" s="856" t="s">
        <v>1365</v>
      </c>
      <c r="S318" s="232" t="s">
        <v>1365</v>
      </c>
    </row>
    <row r="319" spans="1:19" ht="43" customHeight="1" x14ac:dyDescent="0.35">
      <c r="A319" s="845">
        <v>72101511</v>
      </c>
      <c r="B319" s="864" t="s">
        <v>1283</v>
      </c>
      <c r="C319" s="228" t="s">
        <v>69</v>
      </c>
      <c r="D319" s="228" t="s">
        <v>69</v>
      </c>
      <c r="E319" s="228">
        <v>12</v>
      </c>
      <c r="F319" s="174" t="s">
        <v>1353</v>
      </c>
      <c r="G319" s="233" t="s">
        <v>1355</v>
      </c>
      <c r="H319" s="233" t="s">
        <v>1359</v>
      </c>
      <c r="I319" s="880">
        <v>6545000</v>
      </c>
      <c r="J319" s="902">
        <v>6545000</v>
      </c>
      <c r="K319" s="860" t="s">
        <v>1479</v>
      </c>
      <c r="L319" s="849" t="s">
        <v>1366</v>
      </c>
      <c r="M319" s="228" t="s">
        <v>1442</v>
      </c>
      <c r="N319" s="228" t="s">
        <v>1476</v>
      </c>
      <c r="O319" s="866" t="s">
        <v>1478</v>
      </c>
      <c r="P319" s="856" t="s">
        <v>1370</v>
      </c>
      <c r="Q319" s="856" t="s">
        <v>1371</v>
      </c>
      <c r="R319" s="856" t="s">
        <v>1365</v>
      </c>
      <c r="S319" s="232" t="s">
        <v>1365</v>
      </c>
    </row>
    <row r="320" spans="1:19" ht="43" customHeight="1" x14ac:dyDescent="0.35">
      <c r="A320" s="845">
        <v>72101509</v>
      </c>
      <c r="B320" s="865" t="s">
        <v>1284</v>
      </c>
      <c r="C320" s="228" t="s">
        <v>79</v>
      </c>
      <c r="D320" s="228" t="s">
        <v>79</v>
      </c>
      <c r="E320" s="228">
        <v>1</v>
      </c>
      <c r="F320" s="174" t="s">
        <v>1353</v>
      </c>
      <c r="G320" s="233" t="s">
        <v>1355</v>
      </c>
      <c r="H320" s="233" t="s">
        <v>1359</v>
      </c>
      <c r="I320" s="880">
        <v>4165000</v>
      </c>
      <c r="J320" s="902">
        <v>4165000</v>
      </c>
      <c r="K320" s="860" t="s">
        <v>1365</v>
      </c>
      <c r="L320" s="849" t="s">
        <v>1366</v>
      </c>
      <c r="M320" s="228" t="s">
        <v>1442</v>
      </c>
      <c r="N320" s="228" t="s">
        <v>1476</v>
      </c>
      <c r="O320" s="866" t="s">
        <v>1478</v>
      </c>
      <c r="P320" s="856" t="s">
        <v>1370</v>
      </c>
      <c r="Q320" s="856" t="s">
        <v>1371</v>
      </c>
      <c r="R320" s="856" t="s">
        <v>1365</v>
      </c>
      <c r="S320" s="232" t="s">
        <v>1365</v>
      </c>
    </row>
    <row r="321" spans="1:19" ht="43" customHeight="1" x14ac:dyDescent="0.35">
      <c r="A321" s="845">
        <v>72153613</v>
      </c>
      <c r="B321" s="865" t="s">
        <v>1285</v>
      </c>
      <c r="C321" s="228" t="s">
        <v>74</v>
      </c>
      <c r="D321" s="228" t="s">
        <v>74</v>
      </c>
      <c r="E321" s="228">
        <v>2</v>
      </c>
      <c r="F321" s="174" t="s">
        <v>1353</v>
      </c>
      <c r="G321" s="233" t="s">
        <v>1355</v>
      </c>
      <c r="H321" s="233" t="s">
        <v>1359</v>
      </c>
      <c r="I321" s="880">
        <v>4165000</v>
      </c>
      <c r="J321" s="902">
        <v>4165000</v>
      </c>
      <c r="K321" s="860" t="s">
        <v>1365</v>
      </c>
      <c r="L321" s="849" t="s">
        <v>1366</v>
      </c>
      <c r="M321" s="228" t="s">
        <v>1442</v>
      </c>
      <c r="N321" s="228" t="s">
        <v>1476</v>
      </c>
      <c r="O321" s="866" t="s">
        <v>1478</v>
      </c>
      <c r="P321" s="856" t="s">
        <v>1370</v>
      </c>
      <c r="Q321" s="856" t="s">
        <v>1371</v>
      </c>
      <c r="R321" s="856" t="s">
        <v>1365</v>
      </c>
      <c r="S321" s="232" t="s">
        <v>1365</v>
      </c>
    </row>
    <row r="322" spans="1:19" ht="43" customHeight="1" x14ac:dyDescent="0.35">
      <c r="A322" s="845">
        <v>72154066</v>
      </c>
      <c r="B322" s="860" t="s">
        <v>1286</v>
      </c>
      <c r="C322" s="228" t="s">
        <v>69</v>
      </c>
      <c r="D322" s="228" t="s">
        <v>69</v>
      </c>
      <c r="E322" s="228">
        <v>2</v>
      </c>
      <c r="F322" s="174" t="s">
        <v>1353</v>
      </c>
      <c r="G322" s="233" t="s">
        <v>1355</v>
      </c>
      <c r="H322" s="233" t="s">
        <v>1359</v>
      </c>
      <c r="I322" s="880">
        <v>4165000</v>
      </c>
      <c r="J322" s="902">
        <v>4165000</v>
      </c>
      <c r="K322" s="860" t="s">
        <v>1365</v>
      </c>
      <c r="L322" s="849" t="s">
        <v>1366</v>
      </c>
      <c r="M322" s="228" t="s">
        <v>1442</v>
      </c>
      <c r="N322" s="228" t="s">
        <v>1476</v>
      </c>
      <c r="O322" s="866" t="s">
        <v>1478</v>
      </c>
      <c r="P322" s="856" t="s">
        <v>1370</v>
      </c>
      <c r="Q322" s="856" t="s">
        <v>1371</v>
      </c>
      <c r="R322" s="856" t="s">
        <v>1365</v>
      </c>
      <c r="S322" s="232" t="s">
        <v>1365</v>
      </c>
    </row>
    <row r="323" spans="1:19" ht="43" customHeight="1" x14ac:dyDescent="0.35">
      <c r="A323" s="845">
        <v>80141902</v>
      </c>
      <c r="B323" s="860" t="s">
        <v>1287</v>
      </c>
      <c r="C323" s="228" t="s">
        <v>79</v>
      </c>
      <c r="D323" s="228" t="s">
        <v>79</v>
      </c>
      <c r="E323" s="228">
        <v>1</v>
      </c>
      <c r="F323" s="174" t="s">
        <v>1353</v>
      </c>
      <c r="G323" s="233" t="s">
        <v>1355</v>
      </c>
      <c r="H323" s="233" t="s">
        <v>1359</v>
      </c>
      <c r="I323" s="880">
        <v>8330000</v>
      </c>
      <c r="J323" s="902">
        <v>8330000</v>
      </c>
      <c r="K323" s="860" t="s">
        <v>1365</v>
      </c>
      <c r="L323" s="849" t="s">
        <v>1366</v>
      </c>
      <c r="M323" s="228" t="s">
        <v>1442</v>
      </c>
      <c r="N323" s="228" t="s">
        <v>1476</v>
      </c>
      <c r="O323" s="866" t="s">
        <v>1478</v>
      </c>
      <c r="P323" s="856" t="s">
        <v>1370</v>
      </c>
      <c r="Q323" s="856" t="s">
        <v>1371</v>
      </c>
      <c r="R323" s="856" t="s">
        <v>1365</v>
      </c>
      <c r="S323" s="232" t="s">
        <v>1365</v>
      </c>
    </row>
    <row r="324" spans="1:19" ht="43" customHeight="1" x14ac:dyDescent="0.35">
      <c r="A324" s="845">
        <v>72154066</v>
      </c>
      <c r="B324" s="864" t="s">
        <v>1288</v>
      </c>
      <c r="C324" s="228" t="s">
        <v>71</v>
      </c>
      <c r="D324" s="228" t="s">
        <v>71</v>
      </c>
      <c r="E324" s="228">
        <v>2</v>
      </c>
      <c r="F324" s="174" t="s">
        <v>1353</v>
      </c>
      <c r="G324" s="233" t="s">
        <v>1355</v>
      </c>
      <c r="H324" s="233" t="s">
        <v>1359</v>
      </c>
      <c r="I324" s="880">
        <v>2380000</v>
      </c>
      <c r="J324" s="902">
        <v>2380000</v>
      </c>
      <c r="K324" s="860" t="s">
        <v>1365</v>
      </c>
      <c r="L324" s="849" t="s">
        <v>1366</v>
      </c>
      <c r="M324" s="228" t="s">
        <v>1442</v>
      </c>
      <c r="N324" s="228" t="s">
        <v>1476</v>
      </c>
      <c r="O324" s="866" t="s">
        <v>1478</v>
      </c>
      <c r="P324" s="856" t="s">
        <v>1370</v>
      </c>
      <c r="Q324" s="856" t="s">
        <v>1371</v>
      </c>
      <c r="R324" s="856" t="s">
        <v>1365</v>
      </c>
      <c r="S324" s="232" t="s">
        <v>1365</v>
      </c>
    </row>
    <row r="325" spans="1:19" ht="43" customHeight="1" x14ac:dyDescent="0.35">
      <c r="A325" s="844">
        <v>78181703</v>
      </c>
      <c r="B325" s="860" t="s">
        <v>1289</v>
      </c>
      <c r="C325" s="228" t="s">
        <v>69</v>
      </c>
      <c r="D325" s="228" t="s">
        <v>69</v>
      </c>
      <c r="E325" s="228">
        <v>12</v>
      </c>
      <c r="F325" s="174" t="s">
        <v>1353</v>
      </c>
      <c r="G325" s="233" t="s">
        <v>1355</v>
      </c>
      <c r="H325" s="233" t="s">
        <v>1359</v>
      </c>
      <c r="I325" s="880">
        <v>16593145.800000001</v>
      </c>
      <c r="J325" s="902">
        <v>16593145.800000001</v>
      </c>
      <c r="K325" s="860" t="s">
        <v>1365</v>
      </c>
      <c r="L325" s="849" t="s">
        <v>1366</v>
      </c>
      <c r="M325" s="228" t="s">
        <v>1442</v>
      </c>
      <c r="N325" s="228" t="s">
        <v>1476</v>
      </c>
      <c r="O325" s="866" t="s">
        <v>1478</v>
      </c>
      <c r="P325" s="856" t="s">
        <v>1370</v>
      </c>
      <c r="Q325" s="856" t="s">
        <v>1371</v>
      </c>
      <c r="R325" s="856" t="s">
        <v>1365</v>
      </c>
      <c r="S325" s="232" t="s">
        <v>1365</v>
      </c>
    </row>
    <row r="326" spans="1:19" ht="43" customHeight="1" x14ac:dyDescent="0.35">
      <c r="A326" s="844">
        <v>80141902</v>
      </c>
      <c r="B326" s="860" t="s">
        <v>1290</v>
      </c>
      <c r="C326" s="228" t="s">
        <v>77</v>
      </c>
      <c r="D326" s="228" t="s">
        <v>77</v>
      </c>
      <c r="E326" s="228">
        <v>1</v>
      </c>
      <c r="F326" s="174" t="s">
        <v>1353</v>
      </c>
      <c r="G326" s="233" t="s">
        <v>1358</v>
      </c>
      <c r="H326" s="233" t="s">
        <v>1359</v>
      </c>
      <c r="I326" s="880">
        <v>714000</v>
      </c>
      <c r="J326" s="902">
        <v>714000</v>
      </c>
      <c r="K326" s="860" t="s">
        <v>1365</v>
      </c>
      <c r="L326" s="849" t="s">
        <v>1366</v>
      </c>
      <c r="M326" s="228" t="s">
        <v>1442</v>
      </c>
      <c r="N326" s="228" t="s">
        <v>1480</v>
      </c>
      <c r="O326" s="866" t="s">
        <v>1481</v>
      </c>
      <c r="P326" s="856" t="s">
        <v>1370</v>
      </c>
      <c r="Q326" s="856" t="s">
        <v>1371</v>
      </c>
      <c r="R326" s="856" t="s">
        <v>1365</v>
      </c>
      <c r="S326" s="232" t="s">
        <v>1365</v>
      </c>
    </row>
    <row r="327" spans="1:19" ht="43" customHeight="1" x14ac:dyDescent="0.35">
      <c r="A327" s="844">
        <v>78181703</v>
      </c>
      <c r="B327" s="860" t="s">
        <v>1289</v>
      </c>
      <c r="C327" s="228" t="s">
        <v>69</v>
      </c>
      <c r="D327" s="228" t="s">
        <v>70</v>
      </c>
      <c r="E327" s="228">
        <v>8</v>
      </c>
      <c r="F327" s="174" t="s">
        <v>1353</v>
      </c>
      <c r="G327" s="233" t="s">
        <v>1355</v>
      </c>
      <c r="H327" s="233" t="s">
        <v>1359</v>
      </c>
      <c r="I327" s="880">
        <v>3280899</v>
      </c>
      <c r="J327" s="902">
        <v>3280899</v>
      </c>
      <c r="K327" s="860" t="s">
        <v>1365</v>
      </c>
      <c r="L327" s="849" t="s">
        <v>1366</v>
      </c>
      <c r="M327" s="228" t="s">
        <v>1442</v>
      </c>
      <c r="N327" s="228" t="s">
        <v>1480</v>
      </c>
      <c r="O327" s="866" t="s">
        <v>1481</v>
      </c>
      <c r="P327" s="856" t="s">
        <v>1370</v>
      </c>
      <c r="Q327" s="856" t="s">
        <v>1371</v>
      </c>
      <c r="R327" s="856" t="s">
        <v>1365</v>
      </c>
      <c r="S327" s="232" t="s">
        <v>1365</v>
      </c>
    </row>
    <row r="328" spans="1:19" ht="43" customHeight="1" x14ac:dyDescent="0.35">
      <c r="A328" s="844">
        <v>72154028</v>
      </c>
      <c r="B328" s="860" t="s">
        <v>1291</v>
      </c>
      <c r="C328" s="228" t="s">
        <v>69</v>
      </c>
      <c r="D328" s="228" t="s">
        <v>70</v>
      </c>
      <c r="E328" s="228">
        <v>12</v>
      </c>
      <c r="F328" s="174" t="s">
        <v>1353</v>
      </c>
      <c r="G328" s="233" t="s">
        <v>1358</v>
      </c>
      <c r="H328" s="233" t="s">
        <v>1359</v>
      </c>
      <c r="I328" s="880">
        <v>1374450</v>
      </c>
      <c r="J328" s="902">
        <v>1374450</v>
      </c>
      <c r="K328" s="860" t="s">
        <v>1365</v>
      </c>
      <c r="L328" s="849" t="s">
        <v>1366</v>
      </c>
      <c r="M328" s="228" t="s">
        <v>1442</v>
      </c>
      <c r="N328" s="228" t="s">
        <v>1480</v>
      </c>
      <c r="O328" s="866" t="s">
        <v>1481</v>
      </c>
      <c r="P328" s="856" t="s">
        <v>1370</v>
      </c>
      <c r="Q328" s="856" t="s">
        <v>1371</v>
      </c>
      <c r="R328" s="856" t="s">
        <v>1365</v>
      </c>
      <c r="S328" s="232" t="s">
        <v>1365</v>
      </c>
    </row>
    <row r="329" spans="1:19" ht="43" customHeight="1" x14ac:dyDescent="0.35">
      <c r="A329" s="844">
        <v>72154028</v>
      </c>
      <c r="B329" s="860" t="s">
        <v>1292</v>
      </c>
      <c r="C329" s="228" t="s">
        <v>70</v>
      </c>
      <c r="D329" s="228" t="s">
        <v>71</v>
      </c>
      <c r="E329" s="228">
        <v>1</v>
      </c>
      <c r="F329" s="174" t="s">
        <v>1353</v>
      </c>
      <c r="G329" s="233" t="s">
        <v>1358</v>
      </c>
      <c r="H329" s="233" t="s">
        <v>1359</v>
      </c>
      <c r="I329" s="880">
        <v>1237600</v>
      </c>
      <c r="J329" s="902">
        <v>1237600</v>
      </c>
      <c r="K329" s="860" t="s">
        <v>1365</v>
      </c>
      <c r="L329" s="849" t="s">
        <v>1366</v>
      </c>
      <c r="M329" s="228" t="s">
        <v>1442</v>
      </c>
      <c r="N329" s="228" t="s">
        <v>1480</v>
      </c>
      <c r="O329" s="866" t="s">
        <v>1481</v>
      </c>
      <c r="P329" s="856" t="s">
        <v>1370</v>
      </c>
      <c r="Q329" s="856" t="s">
        <v>1371</v>
      </c>
      <c r="R329" s="856" t="s">
        <v>1365</v>
      </c>
      <c r="S329" s="232" t="s">
        <v>1365</v>
      </c>
    </row>
    <row r="330" spans="1:19" ht="43" customHeight="1" x14ac:dyDescent="0.35">
      <c r="A330" s="844">
        <v>72101511</v>
      </c>
      <c r="B330" s="860" t="s">
        <v>1293</v>
      </c>
      <c r="C330" s="228" t="s">
        <v>69</v>
      </c>
      <c r="D330" s="228" t="s">
        <v>70</v>
      </c>
      <c r="E330" s="228">
        <v>12</v>
      </c>
      <c r="F330" s="174" t="s">
        <v>1353</v>
      </c>
      <c r="G330" s="233" t="s">
        <v>1358</v>
      </c>
      <c r="H330" s="233" t="s">
        <v>1359</v>
      </c>
      <c r="I330" s="880">
        <v>1606500</v>
      </c>
      <c r="J330" s="902">
        <v>1606500</v>
      </c>
      <c r="K330" s="860" t="s">
        <v>1365</v>
      </c>
      <c r="L330" s="849" t="s">
        <v>1366</v>
      </c>
      <c r="M330" s="228" t="s">
        <v>1442</v>
      </c>
      <c r="N330" s="228" t="s">
        <v>1480</v>
      </c>
      <c r="O330" s="866" t="s">
        <v>1481</v>
      </c>
      <c r="P330" s="856" t="s">
        <v>1370</v>
      </c>
      <c r="Q330" s="856" t="s">
        <v>1371</v>
      </c>
      <c r="R330" s="856" t="s">
        <v>1365</v>
      </c>
      <c r="S330" s="232" t="s">
        <v>1365</v>
      </c>
    </row>
    <row r="331" spans="1:19" ht="43" customHeight="1" x14ac:dyDescent="0.35">
      <c r="A331" s="844">
        <v>90101600</v>
      </c>
      <c r="B331" s="860" t="s">
        <v>1220</v>
      </c>
      <c r="C331" s="228" t="s">
        <v>72</v>
      </c>
      <c r="D331" s="228" t="s">
        <v>71</v>
      </c>
      <c r="E331" s="228">
        <v>1</v>
      </c>
      <c r="F331" s="174" t="s">
        <v>1353</v>
      </c>
      <c r="G331" s="233" t="s">
        <v>1355</v>
      </c>
      <c r="H331" s="233" t="s">
        <v>1359</v>
      </c>
      <c r="I331" s="880">
        <v>2470820.7999999998</v>
      </c>
      <c r="J331" s="902">
        <v>2470820.7999999998</v>
      </c>
      <c r="K331" s="860" t="s">
        <v>1365</v>
      </c>
      <c r="L331" s="860" t="s">
        <v>1366</v>
      </c>
      <c r="M331" s="228" t="s">
        <v>1442</v>
      </c>
      <c r="N331" s="228" t="s">
        <v>1480</v>
      </c>
      <c r="O331" s="866" t="s">
        <v>1481</v>
      </c>
      <c r="P331" s="856" t="s">
        <v>1370</v>
      </c>
      <c r="Q331" s="856" t="s">
        <v>1371</v>
      </c>
      <c r="R331" s="856" t="s">
        <v>1365</v>
      </c>
      <c r="S331" s="232" t="s">
        <v>1365</v>
      </c>
    </row>
    <row r="332" spans="1:19" ht="43" customHeight="1" x14ac:dyDescent="0.35">
      <c r="A332" s="844">
        <v>80141902</v>
      </c>
      <c r="B332" s="860" t="s">
        <v>1221</v>
      </c>
      <c r="C332" s="228" t="s">
        <v>80</v>
      </c>
      <c r="D332" s="228" t="s">
        <v>79</v>
      </c>
      <c r="E332" s="228">
        <v>1</v>
      </c>
      <c r="F332" s="174" t="s">
        <v>1353</v>
      </c>
      <c r="G332" s="233" t="s">
        <v>1355</v>
      </c>
      <c r="H332" s="233" t="s">
        <v>1359</v>
      </c>
      <c r="I332" s="880">
        <v>2470820.7999999998</v>
      </c>
      <c r="J332" s="902">
        <v>2470820.7999999998</v>
      </c>
      <c r="K332" s="860" t="s">
        <v>1365</v>
      </c>
      <c r="L332" s="860" t="s">
        <v>1366</v>
      </c>
      <c r="M332" s="228" t="s">
        <v>1442</v>
      </c>
      <c r="N332" s="228" t="s">
        <v>1480</v>
      </c>
      <c r="O332" s="866" t="s">
        <v>1481</v>
      </c>
      <c r="P332" s="856" t="s">
        <v>1370</v>
      </c>
      <c r="Q332" s="856" t="s">
        <v>1371</v>
      </c>
      <c r="R332" s="856" t="s">
        <v>1365</v>
      </c>
      <c r="S332" s="232" t="s">
        <v>1365</v>
      </c>
    </row>
    <row r="333" spans="1:19" ht="43" customHeight="1" x14ac:dyDescent="0.35">
      <c r="A333" s="844">
        <v>90101600</v>
      </c>
      <c r="B333" s="860" t="s">
        <v>1220</v>
      </c>
      <c r="C333" s="228" t="s">
        <v>72</v>
      </c>
      <c r="D333" s="228" t="s">
        <v>71</v>
      </c>
      <c r="E333" s="228">
        <v>1</v>
      </c>
      <c r="F333" s="174" t="s">
        <v>1353</v>
      </c>
      <c r="G333" s="233" t="s">
        <v>1355</v>
      </c>
      <c r="H333" s="233" t="s">
        <v>1359</v>
      </c>
      <c r="I333" s="880">
        <v>5355000</v>
      </c>
      <c r="J333" s="902">
        <v>5355000</v>
      </c>
      <c r="K333" s="860" t="s">
        <v>1365</v>
      </c>
      <c r="L333" s="860" t="s">
        <v>1366</v>
      </c>
      <c r="M333" s="228" t="s">
        <v>1442</v>
      </c>
      <c r="N333" s="228" t="s">
        <v>1482</v>
      </c>
      <c r="O333" s="866" t="s">
        <v>1483</v>
      </c>
      <c r="P333" s="856" t="s">
        <v>1370</v>
      </c>
      <c r="Q333" s="856" t="s">
        <v>1371</v>
      </c>
      <c r="R333" s="856" t="s">
        <v>1365</v>
      </c>
      <c r="S333" s="232" t="s">
        <v>1365</v>
      </c>
    </row>
    <row r="334" spans="1:19" ht="43" customHeight="1" x14ac:dyDescent="0.35">
      <c r="A334" s="844">
        <v>80141902</v>
      </c>
      <c r="B334" s="860" t="s">
        <v>1221</v>
      </c>
      <c r="C334" s="228" t="s">
        <v>80</v>
      </c>
      <c r="D334" s="228" t="s">
        <v>79</v>
      </c>
      <c r="E334" s="228">
        <v>1</v>
      </c>
      <c r="F334" s="174" t="s">
        <v>1353</v>
      </c>
      <c r="G334" s="233" t="s">
        <v>1355</v>
      </c>
      <c r="H334" s="233" t="s">
        <v>1359</v>
      </c>
      <c r="I334" s="880">
        <v>5355000</v>
      </c>
      <c r="J334" s="902">
        <v>5355000</v>
      </c>
      <c r="K334" s="860" t="s">
        <v>1365</v>
      </c>
      <c r="L334" s="860" t="s">
        <v>1366</v>
      </c>
      <c r="M334" s="228" t="s">
        <v>1442</v>
      </c>
      <c r="N334" s="228" t="s">
        <v>1482</v>
      </c>
      <c r="O334" s="866" t="s">
        <v>1483</v>
      </c>
      <c r="P334" s="856" t="s">
        <v>1370</v>
      </c>
      <c r="Q334" s="856" t="s">
        <v>1371</v>
      </c>
      <c r="R334" s="856" t="s">
        <v>1365</v>
      </c>
      <c r="S334" s="232" t="s">
        <v>1365</v>
      </c>
    </row>
    <row r="335" spans="1:19" ht="43" customHeight="1" x14ac:dyDescent="0.35">
      <c r="A335" s="845">
        <v>78181703</v>
      </c>
      <c r="B335" s="860" t="s">
        <v>1294</v>
      </c>
      <c r="C335" s="228" t="s">
        <v>69</v>
      </c>
      <c r="D335" s="228" t="s">
        <v>70</v>
      </c>
      <c r="E335" s="228">
        <v>12</v>
      </c>
      <c r="F335" s="174" t="s">
        <v>1353</v>
      </c>
      <c r="G335" s="233" t="s">
        <v>1355</v>
      </c>
      <c r="H335" s="233" t="s">
        <v>1359</v>
      </c>
      <c r="I335" s="880">
        <v>3904269.81</v>
      </c>
      <c r="J335" s="902">
        <v>3904269.81</v>
      </c>
      <c r="K335" s="860" t="s">
        <v>1365</v>
      </c>
      <c r="L335" s="849" t="s">
        <v>1366</v>
      </c>
      <c r="M335" s="228" t="s">
        <v>1442</v>
      </c>
      <c r="N335" s="228" t="s">
        <v>1482</v>
      </c>
      <c r="O335" s="866" t="s">
        <v>1484</v>
      </c>
      <c r="P335" s="856" t="s">
        <v>1370</v>
      </c>
      <c r="Q335" s="856" t="s">
        <v>1371</v>
      </c>
      <c r="R335" s="856" t="s">
        <v>1365</v>
      </c>
      <c r="S335" s="232" t="s">
        <v>1365</v>
      </c>
    </row>
    <row r="336" spans="1:19" ht="43" customHeight="1" x14ac:dyDescent="0.35">
      <c r="A336" s="844">
        <v>80141902</v>
      </c>
      <c r="B336" s="860" t="s">
        <v>1295</v>
      </c>
      <c r="C336" s="228" t="s">
        <v>75</v>
      </c>
      <c r="D336" s="228" t="s">
        <v>75</v>
      </c>
      <c r="E336" s="228">
        <v>1</v>
      </c>
      <c r="F336" s="174" t="s">
        <v>1353</v>
      </c>
      <c r="G336" s="233" t="s">
        <v>1358</v>
      </c>
      <c r="H336" s="233" t="s">
        <v>1359</v>
      </c>
      <c r="I336" s="880">
        <v>1785000</v>
      </c>
      <c r="J336" s="902">
        <v>1785000</v>
      </c>
      <c r="K336" s="860" t="s">
        <v>1365</v>
      </c>
      <c r="L336" s="849" t="s">
        <v>1366</v>
      </c>
      <c r="M336" s="228" t="s">
        <v>1442</v>
      </c>
      <c r="N336" s="228" t="s">
        <v>1482</v>
      </c>
      <c r="O336" s="866" t="s">
        <v>1484</v>
      </c>
      <c r="P336" s="856" t="s">
        <v>1370</v>
      </c>
      <c r="Q336" s="856" t="s">
        <v>1371</v>
      </c>
      <c r="R336" s="856" t="s">
        <v>1365</v>
      </c>
      <c r="S336" s="232" t="s">
        <v>1365</v>
      </c>
    </row>
    <row r="337" spans="1:19" ht="43" customHeight="1" x14ac:dyDescent="0.35">
      <c r="A337" s="844">
        <v>80141902</v>
      </c>
      <c r="B337" s="860" t="s">
        <v>1296</v>
      </c>
      <c r="C337" s="228" t="s">
        <v>80</v>
      </c>
      <c r="D337" s="228" t="s">
        <v>80</v>
      </c>
      <c r="E337" s="228">
        <v>1</v>
      </c>
      <c r="F337" s="174" t="s">
        <v>1353</v>
      </c>
      <c r="G337" s="233" t="s">
        <v>1358</v>
      </c>
      <c r="H337" s="233" t="s">
        <v>1359</v>
      </c>
      <c r="I337" s="880">
        <v>1785000</v>
      </c>
      <c r="J337" s="902">
        <v>1785000</v>
      </c>
      <c r="K337" s="860" t="s">
        <v>1365</v>
      </c>
      <c r="L337" s="849" t="s">
        <v>1366</v>
      </c>
      <c r="M337" s="228" t="s">
        <v>1442</v>
      </c>
      <c r="N337" s="228" t="s">
        <v>1482</v>
      </c>
      <c r="O337" s="866" t="s">
        <v>1484</v>
      </c>
      <c r="P337" s="856" t="s">
        <v>1370</v>
      </c>
      <c r="Q337" s="856" t="s">
        <v>1371</v>
      </c>
      <c r="R337" s="856" t="s">
        <v>1365</v>
      </c>
      <c r="S337" s="232" t="s">
        <v>1365</v>
      </c>
    </row>
    <row r="338" spans="1:19" ht="43" customHeight="1" x14ac:dyDescent="0.35">
      <c r="A338" s="844">
        <v>72101511</v>
      </c>
      <c r="B338" s="860" t="s">
        <v>1297</v>
      </c>
      <c r="C338" s="228" t="s">
        <v>69</v>
      </c>
      <c r="D338" s="228" t="s">
        <v>70</v>
      </c>
      <c r="E338" s="228">
        <v>12</v>
      </c>
      <c r="F338" s="174" t="s">
        <v>1353</v>
      </c>
      <c r="G338" s="233" t="s">
        <v>1355</v>
      </c>
      <c r="H338" s="233" t="s">
        <v>1359</v>
      </c>
      <c r="I338" s="880">
        <v>4328753.5199999996</v>
      </c>
      <c r="J338" s="902">
        <v>4328753.5199999996</v>
      </c>
      <c r="K338" s="860" t="s">
        <v>1365</v>
      </c>
      <c r="L338" s="849" t="s">
        <v>1366</v>
      </c>
      <c r="M338" s="228" t="s">
        <v>1442</v>
      </c>
      <c r="N338" s="228" t="s">
        <v>1482</v>
      </c>
      <c r="O338" s="866" t="s">
        <v>1484</v>
      </c>
      <c r="P338" s="856" t="s">
        <v>1370</v>
      </c>
      <c r="Q338" s="856" t="s">
        <v>1371</v>
      </c>
      <c r="R338" s="856" t="s">
        <v>1365</v>
      </c>
      <c r="S338" s="232" t="s">
        <v>1365</v>
      </c>
    </row>
    <row r="339" spans="1:19" ht="43" customHeight="1" x14ac:dyDescent="0.35">
      <c r="A339" s="844">
        <v>82121507</v>
      </c>
      <c r="B339" s="860" t="s">
        <v>1298</v>
      </c>
      <c r="C339" s="228" t="s">
        <v>70</v>
      </c>
      <c r="D339" s="228" t="s">
        <v>71</v>
      </c>
      <c r="E339" s="228">
        <v>10</v>
      </c>
      <c r="F339" s="174" t="s">
        <v>1353</v>
      </c>
      <c r="G339" s="233" t="s">
        <v>1355</v>
      </c>
      <c r="H339" s="233" t="s">
        <v>1359</v>
      </c>
      <c r="I339" s="880">
        <v>5000000</v>
      </c>
      <c r="J339" s="902">
        <v>5000000</v>
      </c>
      <c r="K339" s="860" t="s">
        <v>1365</v>
      </c>
      <c r="L339" s="849" t="s">
        <v>1366</v>
      </c>
      <c r="M339" s="228" t="s">
        <v>1442</v>
      </c>
      <c r="N339" s="228" t="s">
        <v>1482</v>
      </c>
      <c r="O339" s="866" t="s">
        <v>1484</v>
      </c>
      <c r="P339" s="856" t="s">
        <v>1370</v>
      </c>
      <c r="Q339" s="856" t="s">
        <v>1371</v>
      </c>
      <c r="R339" s="856" t="s">
        <v>1365</v>
      </c>
      <c r="S339" s="232" t="s">
        <v>1365</v>
      </c>
    </row>
    <row r="340" spans="1:19" ht="43" customHeight="1" x14ac:dyDescent="0.35">
      <c r="A340" s="844">
        <v>80141902</v>
      </c>
      <c r="B340" s="860" t="s">
        <v>1299</v>
      </c>
      <c r="C340" s="228" t="s">
        <v>79</v>
      </c>
      <c r="D340" s="228" t="s">
        <v>80</v>
      </c>
      <c r="E340" s="228">
        <v>1</v>
      </c>
      <c r="F340" s="174" t="s">
        <v>1353</v>
      </c>
      <c r="G340" s="233" t="s">
        <v>1358</v>
      </c>
      <c r="H340" s="233" t="s">
        <v>1359</v>
      </c>
      <c r="I340" s="880">
        <v>1790100</v>
      </c>
      <c r="J340" s="902">
        <v>1790100</v>
      </c>
      <c r="K340" s="860" t="s">
        <v>1365</v>
      </c>
      <c r="L340" s="849" t="s">
        <v>1366</v>
      </c>
      <c r="M340" s="228" t="s">
        <v>1442</v>
      </c>
      <c r="N340" s="228" t="s">
        <v>1485</v>
      </c>
      <c r="O340" s="913" t="s">
        <v>1486</v>
      </c>
      <c r="P340" s="856" t="s">
        <v>1370</v>
      </c>
      <c r="Q340" s="856" t="s">
        <v>1371</v>
      </c>
      <c r="R340" s="856" t="s">
        <v>1365</v>
      </c>
      <c r="S340" s="232" t="s">
        <v>1365</v>
      </c>
    </row>
    <row r="341" spans="1:19" ht="43" customHeight="1" x14ac:dyDescent="0.35">
      <c r="A341" s="844">
        <v>72101511</v>
      </c>
      <c r="B341" s="860" t="s">
        <v>1300</v>
      </c>
      <c r="C341" s="228" t="s">
        <v>71</v>
      </c>
      <c r="D341" s="228" t="s">
        <v>72</v>
      </c>
      <c r="E341" s="228">
        <v>9</v>
      </c>
      <c r="F341" s="174" t="s">
        <v>1353</v>
      </c>
      <c r="G341" s="233" t="s">
        <v>1355</v>
      </c>
      <c r="H341" s="233" t="s">
        <v>1359</v>
      </c>
      <c r="I341" s="880">
        <v>2996110.6</v>
      </c>
      <c r="J341" s="902">
        <v>2996110.6</v>
      </c>
      <c r="K341" s="860" t="s">
        <v>1365</v>
      </c>
      <c r="L341" s="849" t="s">
        <v>1366</v>
      </c>
      <c r="M341" s="228" t="s">
        <v>1442</v>
      </c>
      <c r="N341" s="228" t="s">
        <v>1485</v>
      </c>
      <c r="O341" s="866" t="s">
        <v>1486</v>
      </c>
      <c r="P341" s="856" t="s">
        <v>1370</v>
      </c>
      <c r="Q341" s="856" t="s">
        <v>1371</v>
      </c>
      <c r="R341" s="856" t="s">
        <v>1365</v>
      </c>
      <c r="S341" s="232" t="s">
        <v>1365</v>
      </c>
    </row>
    <row r="342" spans="1:19" ht="43" customHeight="1" x14ac:dyDescent="0.35">
      <c r="A342" s="844">
        <v>73152108</v>
      </c>
      <c r="B342" s="860" t="s">
        <v>1301</v>
      </c>
      <c r="C342" s="228" t="s">
        <v>77</v>
      </c>
      <c r="D342" s="228" t="s">
        <v>78</v>
      </c>
      <c r="E342" s="228">
        <v>1</v>
      </c>
      <c r="F342" s="174" t="s">
        <v>1353</v>
      </c>
      <c r="G342" s="233" t="s">
        <v>1355</v>
      </c>
      <c r="H342" s="233" t="s">
        <v>1359</v>
      </c>
      <c r="I342" s="880">
        <v>2564546.39</v>
      </c>
      <c r="J342" s="902">
        <v>2564546.39</v>
      </c>
      <c r="K342" s="860" t="s">
        <v>1365</v>
      </c>
      <c r="L342" s="849" t="s">
        <v>1366</v>
      </c>
      <c r="M342" s="228" t="s">
        <v>1442</v>
      </c>
      <c r="N342" s="228" t="s">
        <v>1485</v>
      </c>
      <c r="O342" s="912" t="s">
        <v>1486</v>
      </c>
      <c r="P342" s="856" t="s">
        <v>1370</v>
      </c>
      <c r="Q342" s="856" t="s">
        <v>1371</v>
      </c>
      <c r="R342" s="856" t="s">
        <v>1365</v>
      </c>
      <c r="S342" s="232" t="s">
        <v>1365</v>
      </c>
    </row>
    <row r="343" spans="1:19" ht="43" customHeight="1" x14ac:dyDescent="0.35">
      <c r="A343" s="844">
        <v>72153613</v>
      </c>
      <c r="B343" s="860" t="s">
        <v>1302</v>
      </c>
      <c r="C343" s="228" t="s">
        <v>78</v>
      </c>
      <c r="D343" s="228" t="s">
        <v>79</v>
      </c>
      <c r="E343" s="228">
        <v>1</v>
      </c>
      <c r="F343" s="174" t="s">
        <v>1353</v>
      </c>
      <c r="G343" s="233" t="s">
        <v>1358</v>
      </c>
      <c r="H343" s="233" t="s">
        <v>1359</v>
      </c>
      <c r="I343" s="880">
        <v>1893386.3900000001</v>
      </c>
      <c r="J343" s="902">
        <v>1893386.3900000001</v>
      </c>
      <c r="K343" s="860" t="s">
        <v>1365</v>
      </c>
      <c r="L343" s="849" t="s">
        <v>1366</v>
      </c>
      <c r="M343" s="228" t="s">
        <v>1442</v>
      </c>
      <c r="N343" s="228" t="s">
        <v>1485</v>
      </c>
      <c r="O343" s="912" t="s">
        <v>1486</v>
      </c>
      <c r="P343" s="856" t="s">
        <v>1370</v>
      </c>
      <c r="Q343" s="856" t="s">
        <v>1371</v>
      </c>
      <c r="R343" s="856" t="s">
        <v>1365</v>
      </c>
      <c r="S343" s="232" t="s">
        <v>1365</v>
      </c>
    </row>
    <row r="344" spans="1:19" ht="43" customHeight="1" x14ac:dyDescent="0.35">
      <c r="A344" s="844">
        <v>90101600</v>
      </c>
      <c r="B344" s="860" t="s">
        <v>1220</v>
      </c>
      <c r="C344" s="228" t="s">
        <v>72</v>
      </c>
      <c r="D344" s="228" t="s">
        <v>71</v>
      </c>
      <c r="E344" s="228">
        <v>1</v>
      </c>
      <c r="F344" s="174" t="s">
        <v>1353</v>
      </c>
      <c r="G344" s="233" t="s">
        <v>1355</v>
      </c>
      <c r="H344" s="233" t="s">
        <v>1359</v>
      </c>
      <c r="I344" s="880">
        <v>5355000</v>
      </c>
      <c r="J344" s="902">
        <v>5355000</v>
      </c>
      <c r="K344" s="860" t="s">
        <v>1365</v>
      </c>
      <c r="L344" s="860" t="s">
        <v>1366</v>
      </c>
      <c r="M344" s="228" t="s">
        <v>1442</v>
      </c>
      <c r="N344" s="228" t="s">
        <v>1485</v>
      </c>
      <c r="O344" s="866" t="s">
        <v>1487</v>
      </c>
      <c r="P344" s="856" t="s">
        <v>1370</v>
      </c>
      <c r="Q344" s="856" t="s">
        <v>1371</v>
      </c>
      <c r="R344" s="856" t="s">
        <v>1365</v>
      </c>
      <c r="S344" s="232" t="s">
        <v>1365</v>
      </c>
    </row>
    <row r="345" spans="1:19" ht="43" customHeight="1" x14ac:dyDescent="0.35">
      <c r="A345" s="844">
        <v>80141902</v>
      </c>
      <c r="B345" s="860" t="s">
        <v>1221</v>
      </c>
      <c r="C345" s="228" t="s">
        <v>80</v>
      </c>
      <c r="D345" s="228" t="s">
        <v>79</v>
      </c>
      <c r="E345" s="228">
        <v>1</v>
      </c>
      <c r="F345" s="174" t="s">
        <v>1353</v>
      </c>
      <c r="G345" s="233" t="s">
        <v>1355</v>
      </c>
      <c r="H345" s="233" t="s">
        <v>1359</v>
      </c>
      <c r="I345" s="880">
        <v>5355000</v>
      </c>
      <c r="J345" s="902">
        <v>5355000</v>
      </c>
      <c r="K345" s="860" t="s">
        <v>1365</v>
      </c>
      <c r="L345" s="860" t="s">
        <v>1366</v>
      </c>
      <c r="M345" s="228" t="s">
        <v>1442</v>
      </c>
      <c r="N345" s="228" t="s">
        <v>1485</v>
      </c>
      <c r="O345" s="866" t="s">
        <v>1487</v>
      </c>
      <c r="P345" s="856" t="s">
        <v>1370</v>
      </c>
      <c r="Q345" s="856" t="s">
        <v>1371</v>
      </c>
      <c r="R345" s="856" t="s">
        <v>1365</v>
      </c>
      <c r="S345" s="232" t="s">
        <v>1365</v>
      </c>
    </row>
    <row r="346" spans="1:19" ht="43" customHeight="1" x14ac:dyDescent="0.35">
      <c r="A346" s="844">
        <v>22101708</v>
      </c>
      <c r="B346" s="866" t="s">
        <v>1303</v>
      </c>
      <c r="C346" s="228" t="s">
        <v>71</v>
      </c>
      <c r="D346" s="228" t="s">
        <v>70</v>
      </c>
      <c r="E346" s="228">
        <v>1</v>
      </c>
      <c r="F346" s="174" t="s">
        <v>1353</v>
      </c>
      <c r="G346" s="233" t="s">
        <v>1355</v>
      </c>
      <c r="H346" s="233" t="s">
        <v>1359</v>
      </c>
      <c r="I346" s="880">
        <v>3570000</v>
      </c>
      <c r="J346" s="902">
        <v>3570000</v>
      </c>
      <c r="K346" s="860" t="s">
        <v>1365</v>
      </c>
      <c r="L346" s="849" t="s">
        <v>1366</v>
      </c>
      <c r="M346" s="228" t="s">
        <v>1442</v>
      </c>
      <c r="N346" s="228" t="s">
        <v>1488</v>
      </c>
      <c r="O346" s="866" t="s">
        <v>1489</v>
      </c>
      <c r="P346" s="856" t="s">
        <v>1370</v>
      </c>
      <c r="Q346" s="856" t="s">
        <v>1371</v>
      </c>
      <c r="R346" s="856" t="s">
        <v>1365</v>
      </c>
      <c r="S346" s="232" t="s">
        <v>1365</v>
      </c>
    </row>
    <row r="347" spans="1:19" ht="43" customHeight="1" x14ac:dyDescent="0.35">
      <c r="A347" s="844" t="s">
        <v>1017</v>
      </c>
      <c r="B347" s="860" t="s">
        <v>1304</v>
      </c>
      <c r="C347" s="228" t="s">
        <v>71</v>
      </c>
      <c r="D347" s="228" t="s">
        <v>70</v>
      </c>
      <c r="E347" s="228">
        <v>1</v>
      </c>
      <c r="F347" s="174" t="s">
        <v>1353</v>
      </c>
      <c r="G347" s="233" t="s">
        <v>1358</v>
      </c>
      <c r="H347" s="233" t="s">
        <v>1359</v>
      </c>
      <c r="I347" s="880">
        <v>714000</v>
      </c>
      <c r="J347" s="902">
        <v>714000</v>
      </c>
      <c r="K347" s="860" t="s">
        <v>1365</v>
      </c>
      <c r="L347" s="849" t="s">
        <v>1366</v>
      </c>
      <c r="M347" s="228" t="s">
        <v>1442</v>
      </c>
      <c r="N347" s="228" t="s">
        <v>1488</v>
      </c>
      <c r="O347" s="866" t="s">
        <v>1489</v>
      </c>
      <c r="P347" s="856" t="s">
        <v>1370</v>
      </c>
      <c r="Q347" s="856" t="s">
        <v>1371</v>
      </c>
      <c r="R347" s="856" t="s">
        <v>1365</v>
      </c>
      <c r="S347" s="232" t="s">
        <v>1365</v>
      </c>
    </row>
    <row r="348" spans="1:19" ht="43" customHeight="1" x14ac:dyDescent="0.35">
      <c r="A348" s="844">
        <v>72154028</v>
      </c>
      <c r="B348" s="860" t="s">
        <v>1305</v>
      </c>
      <c r="C348" s="228" t="s">
        <v>71</v>
      </c>
      <c r="D348" s="228" t="s">
        <v>70</v>
      </c>
      <c r="E348" s="228">
        <v>1</v>
      </c>
      <c r="F348" s="174" t="s">
        <v>1353</v>
      </c>
      <c r="G348" s="233" t="s">
        <v>1355</v>
      </c>
      <c r="H348" s="233" t="s">
        <v>1359</v>
      </c>
      <c r="I348" s="880">
        <v>4760000</v>
      </c>
      <c r="J348" s="902">
        <v>4760000</v>
      </c>
      <c r="K348" s="860" t="s">
        <v>1365</v>
      </c>
      <c r="L348" s="849" t="s">
        <v>1366</v>
      </c>
      <c r="M348" s="228" t="s">
        <v>1442</v>
      </c>
      <c r="N348" s="228" t="s">
        <v>1488</v>
      </c>
      <c r="O348" s="866" t="s">
        <v>1489</v>
      </c>
      <c r="P348" s="856" t="s">
        <v>1370</v>
      </c>
      <c r="Q348" s="856" t="s">
        <v>1371</v>
      </c>
      <c r="R348" s="856" t="s">
        <v>1365</v>
      </c>
      <c r="S348" s="232" t="s">
        <v>1365</v>
      </c>
    </row>
    <row r="349" spans="1:19" ht="43" customHeight="1" x14ac:dyDescent="0.35">
      <c r="A349" s="844">
        <v>80141902</v>
      </c>
      <c r="B349" s="860" t="s">
        <v>1306</v>
      </c>
      <c r="C349" s="228" t="s">
        <v>76</v>
      </c>
      <c r="D349" s="228" t="s">
        <v>76</v>
      </c>
      <c r="E349" s="228">
        <v>1</v>
      </c>
      <c r="F349" s="174" t="s">
        <v>1353</v>
      </c>
      <c r="G349" s="233" t="s">
        <v>1355</v>
      </c>
      <c r="H349" s="233" t="s">
        <v>1359</v>
      </c>
      <c r="I349" s="880">
        <v>22253000</v>
      </c>
      <c r="J349" s="902">
        <v>22253000</v>
      </c>
      <c r="K349" s="860" t="s">
        <v>1365</v>
      </c>
      <c r="L349" s="849" t="s">
        <v>1366</v>
      </c>
      <c r="M349" s="228" t="s">
        <v>1442</v>
      </c>
      <c r="N349" s="228" t="s">
        <v>1488</v>
      </c>
      <c r="O349" s="866" t="s">
        <v>1489</v>
      </c>
      <c r="P349" s="856" t="s">
        <v>1370</v>
      </c>
      <c r="Q349" s="856" t="s">
        <v>1371</v>
      </c>
      <c r="R349" s="856" t="s">
        <v>1365</v>
      </c>
      <c r="S349" s="232" t="s">
        <v>1365</v>
      </c>
    </row>
    <row r="350" spans="1:19" ht="43" customHeight="1" x14ac:dyDescent="0.35">
      <c r="A350" s="844">
        <v>73152108</v>
      </c>
      <c r="B350" s="860" t="s">
        <v>1307</v>
      </c>
      <c r="C350" s="228" t="s">
        <v>74</v>
      </c>
      <c r="D350" s="228" t="s">
        <v>74</v>
      </c>
      <c r="E350" s="228">
        <v>1</v>
      </c>
      <c r="F350" s="174" t="s">
        <v>1353</v>
      </c>
      <c r="G350" s="233" t="s">
        <v>1358</v>
      </c>
      <c r="H350" s="233" t="s">
        <v>1359</v>
      </c>
      <c r="I350" s="880">
        <v>1785000</v>
      </c>
      <c r="J350" s="902">
        <v>1785000</v>
      </c>
      <c r="K350" s="860" t="s">
        <v>1365</v>
      </c>
      <c r="L350" s="849" t="s">
        <v>1366</v>
      </c>
      <c r="M350" s="228" t="s">
        <v>1442</v>
      </c>
      <c r="N350" s="228" t="s">
        <v>1488</v>
      </c>
      <c r="O350" s="866" t="s">
        <v>1489</v>
      </c>
      <c r="P350" s="856" t="s">
        <v>1370</v>
      </c>
      <c r="Q350" s="856" t="s">
        <v>1371</v>
      </c>
      <c r="R350" s="856" t="s">
        <v>1365</v>
      </c>
      <c r="S350" s="232" t="s">
        <v>1365</v>
      </c>
    </row>
    <row r="351" spans="1:19" ht="43" customHeight="1" x14ac:dyDescent="0.35">
      <c r="A351" s="844">
        <v>72101511</v>
      </c>
      <c r="B351" s="860" t="s">
        <v>1308</v>
      </c>
      <c r="C351" s="228" t="s">
        <v>74</v>
      </c>
      <c r="D351" s="228" t="s">
        <v>73</v>
      </c>
      <c r="E351" s="228">
        <v>1</v>
      </c>
      <c r="F351" s="174" t="s">
        <v>1353</v>
      </c>
      <c r="G351" s="233" t="s">
        <v>1355</v>
      </c>
      <c r="H351" s="233" t="s">
        <v>1359</v>
      </c>
      <c r="I351" s="880">
        <v>2380000</v>
      </c>
      <c r="J351" s="902">
        <v>2380000</v>
      </c>
      <c r="K351" s="860" t="s">
        <v>1365</v>
      </c>
      <c r="L351" s="849" t="s">
        <v>1366</v>
      </c>
      <c r="M351" s="228" t="s">
        <v>1442</v>
      </c>
      <c r="N351" s="228" t="s">
        <v>1488</v>
      </c>
      <c r="O351" s="866" t="s">
        <v>1489</v>
      </c>
      <c r="P351" s="856" t="s">
        <v>1370</v>
      </c>
      <c r="Q351" s="856" t="s">
        <v>1371</v>
      </c>
      <c r="R351" s="856" t="s">
        <v>1365</v>
      </c>
      <c r="S351" s="232" t="s">
        <v>1365</v>
      </c>
    </row>
    <row r="352" spans="1:19" ht="43" customHeight="1" x14ac:dyDescent="0.35">
      <c r="A352" s="844">
        <v>90101600</v>
      </c>
      <c r="B352" s="860" t="s">
        <v>1220</v>
      </c>
      <c r="C352" s="228" t="s">
        <v>72</v>
      </c>
      <c r="D352" s="228" t="s">
        <v>71</v>
      </c>
      <c r="E352" s="228">
        <v>1</v>
      </c>
      <c r="F352" s="174" t="s">
        <v>1353</v>
      </c>
      <c r="G352" s="233" t="s">
        <v>1355</v>
      </c>
      <c r="H352" s="233" t="s">
        <v>1359</v>
      </c>
      <c r="I352" s="880">
        <v>5950000</v>
      </c>
      <c r="J352" s="902">
        <v>5950000</v>
      </c>
      <c r="K352" s="860" t="s">
        <v>1365</v>
      </c>
      <c r="L352" s="860" t="s">
        <v>1366</v>
      </c>
      <c r="M352" s="228" t="s">
        <v>1442</v>
      </c>
      <c r="N352" s="228" t="s">
        <v>1488</v>
      </c>
      <c r="O352" s="866" t="s">
        <v>1489</v>
      </c>
      <c r="P352" s="856" t="s">
        <v>1370</v>
      </c>
      <c r="Q352" s="856" t="s">
        <v>1371</v>
      </c>
      <c r="R352" s="856" t="s">
        <v>1365</v>
      </c>
      <c r="S352" s="232" t="s">
        <v>1365</v>
      </c>
    </row>
    <row r="353" spans="1:19" ht="43" customHeight="1" x14ac:dyDescent="0.35">
      <c r="A353" s="844">
        <v>80141902</v>
      </c>
      <c r="B353" s="860" t="s">
        <v>1221</v>
      </c>
      <c r="C353" s="228" t="s">
        <v>80</v>
      </c>
      <c r="D353" s="228" t="s">
        <v>79</v>
      </c>
      <c r="E353" s="228">
        <v>1</v>
      </c>
      <c r="F353" s="174" t="s">
        <v>1353</v>
      </c>
      <c r="G353" s="233" t="s">
        <v>1355</v>
      </c>
      <c r="H353" s="233" t="s">
        <v>1359</v>
      </c>
      <c r="I353" s="880">
        <v>5950000</v>
      </c>
      <c r="J353" s="902">
        <v>5950000</v>
      </c>
      <c r="K353" s="860" t="s">
        <v>1365</v>
      </c>
      <c r="L353" s="860" t="s">
        <v>1366</v>
      </c>
      <c r="M353" s="228" t="s">
        <v>1442</v>
      </c>
      <c r="N353" s="228" t="s">
        <v>1488</v>
      </c>
      <c r="O353" s="866" t="s">
        <v>1489</v>
      </c>
      <c r="P353" s="856" t="s">
        <v>1370</v>
      </c>
      <c r="Q353" s="856" t="s">
        <v>1371</v>
      </c>
      <c r="R353" s="856" t="s">
        <v>1365</v>
      </c>
      <c r="S353" s="232" t="s">
        <v>1365</v>
      </c>
    </row>
    <row r="354" spans="1:19" ht="43" customHeight="1" x14ac:dyDescent="0.35">
      <c r="A354" s="844">
        <v>78181703</v>
      </c>
      <c r="B354" s="860" t="s">
        <v>1289</v>
      </c>
      <c r="C354" s="228" t="s">
        <v>69</v>
      </c>
      <c r="D354" s="228" t="s">
        <v>69</v>
      </c>
      <c r="E354" s="228">
        <v>12</v>
      </c>
      <c r="F354" s="174" t="s">
        <v>1353</v>
      </c>
      <c r="G354" s="233" t="s">
        <v>1355</v>
      </c>
      <c r="H354" s="233" t="s">
        <v>1359</v>
      </c>
      <c r="I354" s="880">
        <v>2928202.06</v>
      </c>
      <c r="J354" s="902">
        <v>2928202.06</v>
      </c>
      <c r="K354" s="860" t="s">
        <v>1365</v>
      </c>
      <c r="L354" s="860" t="s">
        <v>1366</v>
      </c>
      <c r="M354" s="228" t="s">
        <v>1442</v>
      </c>
      <c r="N354" s="228" t="s">
        <v>1488</v>
      </c>
      <c r="O354" s="866" t="s">
        <v>1489</v>
      </c>
      <c r="P354" s="856" t="s">
        <v>1370</v>
      </c>
      <c r="Q354" s="856" t="s">
        <v>1371</v>
      </c>
      <c r="R354" s="856" t="s">
        <v>1365</v>
      </c>
      <c r="S354" s="232" t="s">
        <v>1365</v>
      </c>
    </row>
    <row r="355" spans="1:19" ht="43" customHeight="1" x14ac:dyDescent="0.35">
      <c r="A355" s="845">
        <v>78181703</v>
      </c>
      <c r="B355" s="860" t="s">
        <v>1309</v>
      </c>
      <c r="C355" s="228" t="s">
        <v>69</v>
      </c>
      <c r="D355" s="228" t="s">
        <v>69</v>
      </c>
      <c r="E355" s="228">
        <v>12</v>
      </c>
      <c r="F355" s="174" t="s">
        <v>1353</v>
      </c>
      <c r="G355" s="233" t="s">
        <v>1355</v>
      </c>
      <c r="H355" s="233" t="s">
        <v>1359</v>
      </c>
      <c r="I355" s="880">
        <v>5856405.3100000005</v>
      </c>
      <c r="J355" s="902">
        <v>5856405.3100000005</v>
      </c>
      <c r="K355" s="860" t="s">
        <v>1365</v>
      </c>
      <c r="L355" s="849" t="s">
        <v>1366</v>
      </c>
      <c r="M355" s="228" t="s">
        <v>1442</v>
      </c>
      <c r="N355" s="228" t="s">
        <v>1490</v>
      </c>
      <c r="O355" s="866" t="s">
        <v>1491</v>
      </c>
      <c r="P355" s="856" t="s">
        <v>1370</v>
      </c>
      <c r="Q355" s="856" t="s">
        <v>1371</v>
      </c>
      <c r="R355" s="856" t="s">
        <v>1365</v>
      </c>
      <c r="S355" s="232" t="s">
        <v>1365</v>
      </c>
    </row>
    <row r="356" spans="1:19" ht="43" customHeight="1" x14ac:dyDescent="0.35">
      <c r="A356" s="844" t="s">
        <v>1007</v>
      </c>
      <c r="B356" s="860" t="s">
        <v>1310</v>
      </c>
      <c r="C356" s="228" t="s">
        <v>76</v>
      </c>
      <c r="D356" s="228" t="s">
        <v>76</v>
      </c>
      <c r="E356" s="228">
        <v>1</v>
      </c>
      <c r="F356" s="174" t="s">
        <v>1353</v>
      </c>
      <c r="G356" s="233" t="s">
        <v>1358</v>
      </c>
      <c r="H356" s="233" t="s">
        <v>1359</v>
      </c>
      <c r="I356" s="880">
        <v>1190000</v>
      </c>
      <c r="J356" s="902">
        <v>1190000</v>
      </c>
      <c r="K356" s="860" t="s">
        <v>1365</v>
      </c>
      <c r="L356" s="849" t="s">
        <v>1366</v>
      </c>
      <c r="M356" s="228" t="s">
        <v>1442</v>
      </c>
      <c r="N356" s="228" t="s">
        <v>1490</v>
      </c>
      <c r="O356" s="866" t="s">
        <v>1491</v>
      </c>
      <c r="P356" s="856" t="s">
        <v>1370</v>
      </c>
      <c r="Q356" s="856" t="s">
        <v>1371</v>
      </c>
      <c r="R356" s="856" t="s">
        <v>1365</v>
      </c>
      <c r="S356" s="232" t="s">
        <v>1365</v>
      </c>
    </row>
    <row r="357" spans="1:19" ht="43" customHeight="1" x14ac:dyDescent="0.35">
      <c r="A357" s="844" t="s">
        <v>1007</v>
      </c>
      <c r="B357" s="860" t="s">
        <v>1311</v>
      </c>
      <c r="C357" s="228" t="s">
        <v>80</v>
      </c>
      <c r="D357" s="228" t="s">
        <v>80</v>
      </c>
      <c r="E357" s="228">
        <v>1</v>
      </c>
      <c r="F357" s="174" t="s">
        <v>1353</v>
      </c>
      <c r="G357" s="233" t="s">
        <v>1355</v>
      </c>
      <c r="H357" s="233" t="s">
        <v>1359</v>
      </c>
      <c r="I357" s="880">
        <v>2380000</v>
      </c>
      <c r="J357" s="902">
        <v>2380000</v>
      </c>
      <c r="K357" s="860" t="s">
        <v>1365</v>
      </c>
      <c r="L357" s="849" t="s">
        <v>1366</v>
      </c>
      <c r="M357" s="228" t="s">
        <v>1442</v>
      </c>
      <c r="N357" s="228" t="s">
        <v>1490</v>
      </c>
      <c r="O357" s="866" t="s">
        <v>1491</v>
      </c>
      <c r="P357" s="856" t="s">
        <v>1370</v>
      </c>
      <c r="Q357" s="856" t="s">
        <v>1371</v>
      </c>
      <c r="R357" s="856" t="s">
        <v>1365</v>
      </c>
      <c r="S357" s="232" t="s">
        <v>1365</v>
      </c>
    </row>
    <row r="358" spans="1:19" ht="43" customHeight="1" x14ac:dyDescent="0.35">
      <c r="A358" s="844">
        <v>72101511</v>
      </c>
      <c r="B358" s="860" t="s">
        <v>1312</v>
      </c>
      <c r="C358" s="228" t="s">
        <v>69</v>
      </c>
      <c r="D358" s="228" t="s">
        <v>69</v>
      </c>
      <c r="E358" s="228">
        <v>12</v>
      </c>
      <c r="F358" s="174" t="s">
        <v>1353</v>
      </c>
      <c r="G358" s="233" t="s">
        <v>1355</v>
      </c>
      <c r="H358" s="233" t="s">
        <v>1359</v>
      </c>
      <c r="I358" s="880">
        <v>4760000</v>
      </c>
      <c r="J358" s="902">
        <v>4760000</v>
      </c>
      <c r="K358" s="860" t="s">
        <v>1365</v>
      </c>
      <c r="L358" s="849" t="s">
        <v>1366</v>
      </c>
      <c r="M358" s="228" t="s">
        <v>1442</v>
      </c>
      <c r="N358" s="228" t="s">
        <v>1490</v>
      </c>
      <c r="O358" s="866" t="s">
        <v>1491</v>
      </c>
      <c r="P358" s="856" t="s">
        <v>1370</v>
      </c>
      <c r="Q358" s="856" t="s">
        <v>1371</v>
      </c>
      <c r="R358" s="856" t="s">
        <v>1365</v>
      </c>
      <c r="S358" s="232" t="s">
        <v>1365</v>
      </c>
    </row>
    <row r="359" spans="1:19" ht="43" customHeight="1" x14ac:dyDescent="0.35">
      <c r="A359" s="844">
        <v>90101600</v>
      </c>
      <c r="B359" s="860" t="s">
        <v>1220</v>
      </c>
      <c r="C359" s="228" t="s">
        <v>72</v>
      </c>
      <c r="D359" s="228" t="s">
        <v>71</v>
      </c>
      <c r="E359" s="228">
        <v>1</v>
      </c>
      <c r="F359" s="174" t="s">
        <v>1353</v>
      </c>
      <c r="G359" s="233" t="s">
        <v>1355</v>
      </c>
      <c r="H359" s="233" t="s">
        <v>1359</v>
      </c>
      <c r="I359" s="880">
        <v>7140000</v>
      </c>
      <c r="J359" s="902">
        <v>7140000</v>
      </c>
      <c r="K359" s="860" t="s">
        <v>1365</v>
      </c>
      <c r="L359" s="860" t="s">
        <v>1366</v>
      </c>
      <c r="M359" s="228" t="s">
        <v>1442</v>
      </c>
      <c r="N359" s="228" t="s">
        <v>1490</v>
      </c>
      <c r="O359" s="866" t="s">
        <v>1492</v>
      </c>
      <c r="P359" s="856" t="s">
        <v>1370</v>
      </c>
      <c r="Q359" s="856" t="s">
        <v>1371</v>
      </c>
      <c r="R359" s="856" t="s">
        <v>1365</v>
      </c>
      <c r="S359" s="232" t="s">
        <v>1365</v>
      </c>
    </row>
    <row r="360" spans="1:19" ht="43" customHeight="1" x14ac:dyDescent="0.35">
      <c r="A360" s="844">
        <v>80141902</v>
      </c>
      <c r="B360" s="860" t="s">
        <v>1221</v>
      </c>
      <c r="C360" s="228" t="s">
        <v>80</v>
      </c>
      <c r="D360" s="228" t="s">
        <v>79</v>
      </c>
      <c r="E360" s="228">
        <v>1</v>
      </c>
      <c r="F360" s="174" t="s">
        <v>1353</v>
      </c>
      <c r="G360" s="233" t="s">
        <v>1355</v>
      </c>
      <c r="H360" s="233" t="s">
        <v>1359</v>
      </c>
      <c r="I360" s="880">
        <v>7140000</v>
      </c>
      <c r="J360" s="902">
        <v>7140000</v>
      </c>
      <c r="K360" s="860" t="s">
        <v>1365</v>
      </c>
      <c r="L360" s="860" t="s">
        <v>1366</v>
      </c>
      <c r="M360" s="228" t="s">
        <v>1442</v>
      </c>
      <c r="N360" s="228" t="s">
        <v>1490</v>
      </c>
      <c r="O360" s="866" t="s">
        <v>1492</v>
      </c>
      <c r="P360" s="856" t="s">
        <v>1370</v>
      </c>
      <c r="Q360" s="856" t="s">
        <v>1371</v>
      </c>
      <c r="R360" s="856" t="s">
        <v>1365</v>
      </c>
      <c r="S360" s="232" t="s">
        <v>1365</v>
      </c>
    </row>
    <row r="361" spans="1:19" ht="43" customHeight="1" x14ac:dyDescent="0.35">
      <c r="A361" s="844">
        <v>82121507</v>
      </c>
      <c r="B361" s="867" t="s">
        <v>1313</v>
      </c>
      <c r="C361" s="228" t="s">
        <v>71</v>
      </c>
      <c r="D361" s="228" t="s">
        <v>72</v>
      </c>
      <c r="E361" s="228">
        <v>8</v>
      </c>
      <c r="F361" s="174" t="s">
        <v>1353</v>
      </c>
      <c r="G361" s="233" t="s">
        <v>1355</v>
      </c>
      <c r="H361" s="233" t="s">
        <v>1359</v>
      </c>
      <c r="I361" s="880">
        <v>3400000.17</v>
      </c>
      <c r="J361" s="902">
        <v>3400000.17</v>
      </c>
      <c r="K361" s="860" t="s">
        <v>1365</v>
      </c>
      <c r="L361" s="849" t="s">
        <v>1366</v>
      </c>
      <c r="M361" s="228" t="s">
        <v>1442</v>
      </c>
      <c r="N361" s="228" t="s">
        <v>1493</v>
      </c>
      <c r="O361" s="866" t="s">
        <v>1494</v>
      </c>
      <c r="P361" s="856" t="s">
        <v>1370</v>
      </c>
      <c r="Q361" s="856" t="s">
        <v>1371</v>
      </c>
      <c r="R361" s="856" t="s">
        <v>1365</v>
      </c>
      <c r="S361" s="232" t="s">
        <v>1365</v>
      </c>
    </row>
    <row r="362" spans="1:19" ht="43" customHeight="1" x14ac:dyDescent="0.35">
      <c r="A362" s="844">
        <v>72101511</v>
      </c>
      <c r="B362" s="860" t="s">
        <v>1314</v>
      </c>
      <c r="C362" s="228" t="s">
        <v>71</v>
      </c>
      <c r="D362" s="228" t="s">
        <v>72</v>
      </c>
      <c r="E362" s="228">
        <v>8</v>
      </c>
      <c r="F362" s="174" t="s">
        <v>1353</v>
      </c>
      <c r="G362" s="233" t="s">
        <v>1358</v>
      </c>
      <c r="H362" s="233" t="s">
        <v>1359</v>
      </c>
      <c r="I362" s="880">
        <v>729300</v>
      </c>
      <c r="J362" s="902">
        <v>729300</v>
      </c>
      <c r="K362" s="860" t="s">
        <v>1365</v>
      </c>
      <c r="L362" s="849" t="s">
        <v>1366</v>
      </c>
      <c r="M362" s="228" t="s">
        <v>1442</v>
      </c>
      <c r="N362" s="228" t="s">
        <v>1493</v>
      </c>
      <c r="O362" s="866" t="s">
        <v>1494</v>
      </c>
      <c r="P362" s="856" t="s">
        <v>1370</v>
      </c>
      <c r="Q362" s="856" t="s">
        <v>1371</v>
      </c>
      <c r="R362" s="856" t="s">
        <v>1365</v>
      </c>
      <c r="S362" s="232" t="s">
        <v>1365</v>
      </c>
    </row>
    <row r="363" spans="1:19" ht="43" customHeight="1" x14ac:dyDescent="0.35">
      <c r="A363" s="844">
        <v>72151511</v>
      </c>
      <c r="B363" s="860" t="s">
        <v>1315</v>
      </c>
      <c r="C363" s="228" t="s">
        <v>71</v>
      </c>
      <c r="D363" s="228" t="s">
        <v>72</v>
      </c>
      <c r="E363" s="228">
        <v>8</v>
      </c>
      <c r="F363" s="174" t="s">
        <v>1353</v>
      </c>
      <c r="G363" s="233" t="s">
        <v>1358</v>
      </c>
      <c r="H363" s="233" t="s">
        <v>1359</v>
      </c>
      <c r="I363" s="880">
        <v>795600</v>
      </c>
      <c r="J363" s="902">
        <v>795600</v>
      </c>
      <c r="K363" s="860" t="s">
        <v>1365</v>
      </c>
      <c r="L363" s="849" t="s">
        <v>1366</v>
      </c>
      <c r="M363" s="228" t="s">
        <v>1442</v>
      </c>
      <c r="N363" s="228" t="s">
        <v>1493</v>
      </c>
      <c r="O363" s="866" t="s">
        <v>1494</v>
      </c>
      <c r="P363" s="856" t="s">
        <v>1370</v>
      </c>
      <c r="Q363" s="856" t="s">
        <v>1371</v>
      </c>
      <c r="R363" s="856" t="s">
        <v>1365</v>
      </c>
      <c r="S363" s="232" t="s">
        <v>1365</v>
      </c>
    </row>
    <row r="364" spans="1:19" ht="43" customHeight="1" x14ac:dyDescent="0.35">
      <c r="A364" s="844">
        <v>82121700</v>
      </c>
      <c r="B364" s="868" t="s">
        <v>1316</v>
      </c>
      <c r="C364" s="228" t="s">
        <v>71</v>
      </c>
      <c r="D364" s="228" t="s">
        <v>72</v>
      </c>
      <c r="E364" s="228">
        <v>8</v>
      </c>
      <c r="F364" s="174" t="s">
        <v>1353</v>
      </c>
      <c r="G364" s="233" t="s">
        <v>1358</v>
      </c>
      <c r="H364" s="233" t="s">
        <v>1359</v>
      </c>
      <c r="I364" s="880">
        <v>988974.49</v>
      </c>
      <c r="J364" s="902">
        <v>988974.49</v>
      </c>
      <c r="K364" s="860" t="s">
        <v>1365</v>
      </c>
      <c r="L364" s="849" t="s">
        <v>1366</v>
      </c>
      <c r="M364" s="228" t="s">
        <v>1442</v>
      </c>
      <c r="N364" s="228" t="s">
        <v>1493</v>
      </c>
      <c r="O364" s="866" t="s">
        <v>1495</v>
      </c>
      <c r="P364" s="856" t="s">
        <v>1370</v>
      </c>
      <c r="Q364" s="856" t="s">
        <v>1371</v>
      </c>
      <c r="R364" s="856" t="s">
        <v>1365</v>
      </c>
      <c r="S364" s="232" t="s">
        <v>1365</v>
      </c>
    </row>
    <row r="365" spans="1:19" ht="43" customHeight="1" x14ac:dyDescent="0.35">
      <c r="A365" s="844">
        <v>90101600</v>
      </c>
      <c r="B365" s="860" t="s">
        <v>1220</v>
      </c>
      <c r="C365" s="228" t="s">
        <v>72</v>
      </c>
      <c r="D365" s="228" t="s">
        <v>71</v>
      </c>
      <c r="E365" s="228">
        <v>1</v>
      </c>
      <c r="F365" s="174" t="s">
        <v>1353</v>
      </c>
      <c r="G365" s="233" t="s">
        <v>1355</v>
      </c>
      <c r="H365" s="233" t="s">
        <v>1359</v>
      </c>
      <c r="I365" s="880">
        <v>3570000</v>
      </c>
      <c r="J365" s="902">
        <v>3570000</v>
      </c>
      <c r="K365" s="860" t="s">
        <v>1365</v>
      </c>
      <c r="L365" s="860" t="s">
        <v>1366</v>
      </c>
      <c r="M365" s="228" t="s">
        <v>1442</v>
      </c>
      <c r="N365" s="228" t="s">
        <v>1493</v>
      </c>
      <c r="O365" s="866" t="s">
        <v>1495</v>
      </c>
      <c r="P365" s="856" t="s">
        <v>1370</v>
      </c>
      <c r="Q365" s="856" t="s">
        <v>1371</v>
      </c>
      <c r="R365" s="856" t="s">
        <v>1365</v>
      </c>
      <c r="S365" s="232" t="s">
        <v>1365</v>
      </c>
    </row>
    <row r="366" spans="1:19" ht="43" customHeight="1" x14ac:dyDescent="0.35">
      <c r="A366" s="844">
        <v>80141902</v>
      </c>
      <c r="B366" s="860" t="s">
        <v>1221</v>
      </c>
      <c r="C366" s="228" t="s">
        <v>80</v>
      </c>
      <c r="D366" s="228" t="s">
        <v>79</v>
      </c>
      <c r="E366" s="228">
        <v>1</v>
      </c>
      <c r="F366" s="174" t="s">
        <v>1353</v>
      </c>
      <c r="G366" s="233" t="s">
        <v>1355</v>
      </c>
      <c r="H366" s="233" t="s">
        <v>1359</v>
      </c>
      <c r="I366" s="880">
        <v>3570000</v>
      </c>
      <c r="J366" s="902">
        <v>3570000</v>
      </c>
      <c r="K366" s="860" t="s">
        <v>1365</v>
      </c>
      <c r="L366" s="860" t="s">
        <v>1366</v>
      </c>
      <c r="M366" s="228" t="s">
        <v>1442</v>
      </c>
      <c r="N366" s="228" t="s">
        <v>1493</v>
      </c>
      <c r="O366" s="866" t="s">
        <v>1495</v>
      </c>
      <c r="P366" s="856" t="s">
        <v>1370</v>
      </c>
      <c r="Q366" s="856" t="s">
        <v>1371</v>
      </c>
      <c r="R366" s="856" t="s">
        <v>1365</v>
      </c>
      <c r="S366" s="232" t="s">
        <v>1365</v>
      </c>
    </row>
    <row r="367" spans="1:19" ht="43" customHeight="1" x14ac:dyDescent="0.35">
      <c r="A367" s="844">
        <v>90101600</v>
      </c>
      <c r="B367" s="860" t="s">
        <v>1220</v>
      </c>
      <c r="C367" s="228" t="s">
        <v>72</v>
      </c>
      <c r="D367" s="228" t="s">
        <v>71</v>
      </c>
      <c r="E367" s="228">
        <v>1</v>
      </c>
      <c r="F367" s="174" t="s">
        <v>1353</v>
      </c>
      <c r="G367" s="233" t="s">
        <v>1358</v>
      </c>
      <c r="H367" s="233" t="s">
        <v>1359</v>
      </c>
      <c r="I367" s="880">
        <v>1950648</v>
      </c>
      <c r="J367" s="902">
        <v>1950648</v>
      </c>
      <c r="K367" s="860" t="s">
        <v>1365</v>
      </c>
      <c r="L367" s="860" t="s">
        <v>1366</v>
      </c>
      <c r="M367" s="228" t="s">
        <v>1442</v>
      </c>
      <c r="N367" s="228" t="s">
        <v>1496</v>
      </c>
      <c r="O367" s="866" t="s">
        <v>1497</v>
      </c>
      <c r="P367" s="856" t="s">
        <v>1370</v>
      </c>
      <c r="Q367" s="856" t="s">
        <v>1371</v>
      </c>
      <c r="R367" s="856" t="s">
        <v>1365</v>
      </c>
      <c r="S367" s="232" t="s">
        <v>1365</v>
      </c>
    </row>
    <row r="368" spans="1:19" ht="43" customHeight="1" x14ac:dyDescent="0.35">
      <c r="A368" s="844">
        <v>80141902</v>
      </c>
      <c r="B368" s="860" t="s">
        <v>1221</v>
      </c>
      <c r="C368" s="228" t="s">
        <v>80</v>
      </c>
      <c r="D368" s="228" t="s">
        <v>79</v>
      </c>
      <c r="E368" s="228">
        <v>1</v>
      </c>
      <c r="F368" s="174" t="s">
        <v>1353</v>
      </c>
      <c r="G368" s="233" t="s">
        <v>1358</v>
      </c>
      <c r="H368" s="233" t="s">
        <v>1359</v>
      </c>
      <c r="I368" s="880">
        <v>1950648</v>
      </c>
      <c r="J368" s="902">
        <v>1950648</v>
      </c>
      <c r="K368" s="860" t="s">
        <v>1365</v>
      </c>
      <c r="L368" s="860" t="s">
        <v>1366</v>
      </c>
      <c r="M368" s="228" t="s">
        <v>1442</v>
      </c>
      <c r="N368" s="228" t="s">
        <v>1496</v>
      </c>
      <c r="O368" s="866" t="s">
        <v>1497</v>
      </c>
      <c r="P368" s="856" t="s">
        <v>1370</v>
      </c>
      <c r="Q368" s="856" t="s">
        <v>1371</v>
      </c>
      <c r="R368" s="856" t="s">
        <v>1365</v>
      </c>
      <c r="S368" s="232" t="s">
        <v>1365</v>
      </c>
    </row>
    <row r="369" spans="1:19" ht="43" customHeight="1" x14ac:dyDescent="0.35">
      <c r="A369" s="844">
        <v>80141902</v>
      </c>
      <c r="B369" s="860" t="s">
        <v>1317</v>
      </c>
      <c r="C369" s="228" t="s">
        <v>79</v>
      </c>
      <c r="D369" s="228" t="s">
        <v>80</v>
      </c>
      <c r="E369" s="228">
        <v>1</v>
      </c>
      <c r="F369" s="174" t="s">
        <v>1353</v>
      </c>
      <c r="G369" s="233" t="s">
        <v>1358</v>
      </c>
      <c r="H369" s="233" t="s">
        <v>1359</v>
      </c>
      <c r="I369" s="880">
        <v>540000</v>
      </c>
      <c r="J369" s="902">
        <v>540000</v>
      </c>
      <c r="K369" s="860" t="s">
        <v>1365</v>
      </c>
      <c r="L369" s="849" t="s">
        <v>1366</v>
      </c>
      <c r="M369" s="228" t="s">
        <v>1442</v>
      </c>
      <c r="N369" s="228" t="s">
        <v>1496</v>
      </c>
      <c r="O369" s="866" t="s">
        <v>1498</v>
      </c>
      <c r="P369" s="856" t="s">
        <v>1370</v>
      </c>
      <c r="Q369" s="856" t="s">
        <v>1371</v>
      </c>
      <c r="R369" s="856" t="s">
        <v>1365</v>
      </c>
      <c r="S369" s="232" t="s">
        <v>1365</v>
      </c>
    </row>
    <row r="370" spans="1:19" ht="43" customHeight="1" x14ac:dyDescent="0.35">
      <c r="A370" s="845">
        <v>72101511</v>
      </c>
      <c r="B370" s="869" t="s">
        <v>1318</v>
      </c>
      <c r="C370" s="228" t="s">
        <v>69</v>
      </c>
      <c r="D370" s="228" t="s">
        <v>69</v>
      </c>
      <c r="E370" s="228">
        <v>12</v>
      </c>
      <c r="F370" s="174" t="s">
        <v>1353</v>
      </c>
      <c r="G370" s="233" t="s">
        <v>1355</v>
      </c>
      <c r="H370" s="233" t="s">
        <v>1359</v>
      </c>
      <c r="I370" s="880">
        <v>2856000</v>
      </c>
      <c r="J370" s="902">
        <v>2856000</v>
      </c>
      <c r="K370" s="860" t="s">
        <v>1373</v>
      </c>
      <c r="L370" s="849" t="s">
        <v>1374</v>
      </c>
      <c r="M370" s="228" t="s">
        <v>1442</v>
      </c>
      <c r="N370" s="228" t="s">
        <v>1496</v>
      </c>
      <c r="O370" s="866" t="s">
        <v>1498</v>
      </c>
      <c r="P370" s="856" t="s">
        <v>1370</v>
      </c>
      <c r="Q370" s="856" t="s">
        <v>1371</v>
      </c>
      <c r="R370" s="856" t="s">
        <v>1365</v>
      </c>
      <c r="S370" s="232" t="s">
        <v>1365</v>
      </c>
    </row>
    <row r="371" spans="1:19" ht="43" customHeight="1" x14ac:dyDescent="0.35">
      <c r="A371" s="844">
        <v>73152108</v>
      </c>
      <c r="B371" s="860" t="s">
        <v>1319</v>
      </c>
      <c r="C371" s="228" t="s">
        <v>69</v>
      </c>
      <c r="D371" s="228" t="s">
        <v>69</v>
      </c>
      <c r="E371" s="228">
        <v>12</v>
      </c>
      <c r="F371" s="174" t="s">
        <v>1353</v>
      </c>
      <c r="G371" s="233" t="s">
        <v>1358</v>
      </c>
      <c r="H371" s="233" t="s">
        <v>1359</v>
      </c>
      <c r="I371" s="880">
        <v>773500</v>
      </c>
      <c r="J371" s="902">
        <v>773500</v>
      </c>
      <c r="K371" s="860" t="s">
        <v>1373</v>
      </c>
      <c r="L371" s="849" t="s">
        <v>1374</v>
      </c>
      <c r="M371" s="228" t="s">
        <v>1442</v>
      </c>
      <c r="N371" s="228" t="s">
        <v>1496</v>
      </c>
      <c r="O371" s="866" t="s">
        <v>1498</v>
      </c>
      <c r="P371" s="856" t="s">
        <v>1370</v>
      </c>
      <c r="Q371" s="856" t="s">
        <v>1371</v>
      </c>
      <c r="R371" s="856" t="s">
        <v>1365</v>
      </c>
      <c r="S371" s="232" t="s">
        <v>1365</v>
      </c>
    </row>
    <row r="372" spans="1:19" ht="43" customHeight="1" x14ac:dyDescent="0.35">
      <c r="A372" s="844">
        <v>80131502</v>
      </c>
      <c r="B372" s="860" t="s">
        <v>1320</v>
      </c>
      <c r="C372" s="228" t="s">
        <v>69</v>
      </c>
      <c r="D372" s="228" t="s">
        <v>69</v>
      </c>
      <c r="E372" s="228">
        <v>12</v>
      </c>
      <c r="F372" s="174" t="s">
        <v>1353</v>
      </c>
      <c r="G372" s="233" t="s">
        <v>1355</v>
      </c>
      <c r="H372" s="233" t="s">
        <v>1359</v>
      </c>
      <c r="I372" s="880">
        <v>19992000</v>
      </c>
      <c r="J372" s="902">
        <v>19992000</v>
      </c>
      <c r="K372" s="860" t="s">
        <v>1373</v>
      </c>
      <c r="L372" s="849" t="s">
        <v>1401</v>
      </c>
      <c r="M372" s="228" t="s">
        <v>1442</v>
      </c>
      <c r="N372" s="228" t="s">
        <v>1496</v>
      </c>
      <c r="O372" s="866" t="s">
        <v>1498</v>
      </c>
      <c r="P372" s="856" t="s">
        <v>1370</v>
      </c>
      <c r="Q372" s="856" t="s">
        <v>1371</v>
      </c>
      <c r="R372" s="856" t="s">
        <v>1365</v>
      </c>
      <c r="S372" s="232" t="s">
        <v>1365</v>
      </c>
    </row>
    <row r="373" spans="1:19" ht="43" customHeight="1" x14ac:dyDescent="0.35">
      <c r="A373" s="844">
        <v>72154066</v>
      </c>
      <c r="B373" s="860" t="s">
        <v>1321</v>
      </c>
      <c r="C373" s="228" t="s">
        <v>69</v>
      </c>
      <c r="D373" s="228" t="s">
        <v>69</v>
      </c>
      <c r="E373" s="228">
        <v>12</v>
      </c>
      <c r="F373" s="174" t="s">
        <v>1353</v>
      </c>
      <c r="G373" s="233" t="s">
        <v>1358</v>
      </c>
      <c r="H373" s="233" t="s">
        <v>1359</v>
      </c>
      <c r="I373" s="880">
        <v>369005.91000000003</v>
      </c>
      <c r="J373" s="902">
        <v>369005.91000000003</v>
      </c>
      <c r="K373" s="860" t="s">
        <v>1373</v>
      </c>
      <c r="L373" s="849" t="s">
        <v>1374</v>
      </c>
      <c r="M373" s="228" t="s">
        <v>1442</v>
      </c>
      <c r="N373" s="228" t="s">
        <v>1496</v>
      </c>
      <c r="O373" s="866" t="s">
        <v>1498</v>
      </c>
      <c r="P373" s="856" t="s">
        <v>1370</v>
      </c>
      <c r="Q373" s="856" t="s">
        <v>1371</v>
      </c>
      <c r="R373" s="856" t="s">
        <v>1365</v>
      </c>
      <c r="S373" s="232" t="s">
        <v>1365</v>
      </c>
    </row>
    <row r="374" spans="1:19" ht="43" customHeight="1" x14ac:dyDescent="0.35">
      <c r="A374" s="844">
        <v>86131502</v>
      </c>
      <c r="B374" s="860" t="s">
        <v>1322</v>
      </c>
      <c r="C374" s="228" t="s">
        <v>71</v>
      </c>
      <c r="D374" s="228" t="s">
        <v>72</v>
      </c>
      <c r="E374" s="228">
        <v>1</v>
      </c>
      <c r="F374" s="174" t="s">
        <v>1353</v>
      </c>
      <c r="G374" s="233" t="s">
        <v>1355</v>
      </c>
      <c r="H374" s="233" t="s">
        <v>1359</v>
      </c>
      <c r="I374" s="880">
        <v>3681860</v>
      </c>
      <c r="J374" s="902">
        <v>3681860</v>
      </c>
      <c r="K374" s="860" t="s">
        <v>1365</v>
      </c>
      <c r="L374" s="849" t="s">
        <v>1366</v>
      </c>
      <c r="M374" s="228" t="s">
        <v>1442</v>
      </c>
      <c r="N374" s="228" t="s">
        <v>1499</v>
      </c>
      <c r="O374" s="866" t="s">
        <v>1500</v>
      </c>
      <c r="P374" s="856" t="s">
        <v>1370</v>
      </c>
      <c r="Q374" s="856" t="s">
        <v>1371</v>
      </c>
      <c r="R374" s="856" t="s">
        <v>1365</v>
      </c>
      <c r="S374" s="232" t="s">
        <v>1365</v>
      </c>
    </row>
    <row r="375" spans="1:19" ht="43" customHeight="1" x14ac:dyDescent="0.35">
      <c r="A375" s="844">
        <v>80141902</v>
      </c>
      <c r="B375" s="860" t="s">
        <v>1310</v>
      </c>
      <c r="C375" s="228" t="s">
        <v>74</v>
      </c>
      <c r="D375" s="228" t="s">
        <v>74</v>
      </c>
      <c r="E375" s="228">
        <v>1</v>
      </c>
      <c r="F375" s="174" t="s">
        <v>1353</v>
      </c>
      <c r="G375" s="233" t="s">
        <v>1358</v>
      </c>
      <c r="H375" s="233" t="s">
        <v>1359</v>
      </c>
      <c r="I375" s="880">
        <v>1428000</v>
      </c>
      <c r="J375" s="902">
        <v>1428000</v>
      </c>
      <c r="K375" s="860" t="s">
        <v>1365</v>
      </c>
      <c r="L375" s="849" t="s">
        <v>1366</v>
      </c>
      <c r="M375" s="228" t="s">
        <v>1442</v>
      </c>
      <c r="N375" s="228" t="s">
        <v>1499</v>
      </c>
      <c r="O375" s="866" t="s">
        <v>1500</v>
      </c>
      <c r="P375" s="856" t="s">
        <v>1370</v>
      </c>
      <c r="Q375" s="856" t="s">
        <v>1371</v>
      </c>
      <c r="R375" s="856" t="s">
        <v>1365</v>
      </c>
      <c r="S375" s="232" t="s">
        <v>1365</v>
      </c>
    </row>
    <row r="376" spans="1:19" ht="43" customHeight="1" x14ac:dyDescent="0.35">
      <c r="A376" s="844">
        <v>80141902</v>
      </c>
      <c r="B376" s="860" t="s">
        <v>1323</v>
      </c>
      <c r="C376" s="228" t="s">
        <v>79</v>
      </c>
      <c r="D376" s="228" t="s">
        <v>80</v>
      </c>
      <c r="E376" s="228">
        <v>1</v>
      </c>
      <c r="F376" s="174" t="s">
        <v>1353</v>
      </c>
      <c r="G376" s="233" t="s">
        <v>1358</v>
      </c>
      <c r="H376" s="233" t="s">
        <v>1359</v>
      </c>
      <c r="I376" s="880">
        <v>1428000</v>
      </c>
      <c r="J376" s="902">
        <v>1428000</v>
      </c>
      <c r="K376" s="860" t="s">
        <v>1365</v>
      </c>
      <c r="L376" s="849" t="s">
        <v>1366</v>
      </c>
      <c r="M376" s="228" t="s">
        <v>1442</v>
      </c>
      <c r="N376" s="228" t="s">
        <v>1499</v>
      </c>
      <c r="O376" s="866" t="s">
        <v>1500</v>
      </c>
      <c r="P376" s="856" t="s">
        <v>1370</v>
      </c>
      <c r="Q376" s="856" t="s">
        <v>1371</v>
      </c>
      <c r="R376" s="856" t="s">
        <v>1365</v>
      </c>
      <c r="S376" s="232" t="s">
        <v>1365</v>
      </c>
    </row>
    <row r="377" spans="1:19" ht="43" customHeight="1" x14ac:dyDescent="0.35">
      <c r="A377" s="844">
        <v>73152108</v>
      </c>
      <c r="B377" s="860" t="s">
        <v>1324</v>
      </c>
      <c r="C377" s="228" t="s">
        <v>73</v>
      </c>
      <c r="D377" s="228" t="s">
        <v>80</v>
      </c>
      <c r="E377" s="228">
        <v>7</v>
      </c>
      <c r="F377" s="174" t="s">
        <v>1353</v>
      </c>
      <c r="G377" s="233" t="s">
        <v>1355</v>
      </c>
      <c r="H377" s="233" t="s">
        <v>1359</v>
      </c>
      <c r="I377" s="880">
        <v>1963500</v>
      </c>
      <c r="J377" s="902">
        <v>1963500</v>
      </c>
      <c r="K377" s="860" t="s">
        <v>1365</v>
      </c>
      <c r="L377" s="849" t="s">
        <v>1366</v>
      </c>
      <c r="M377" s="228" t="s">
        <v>1442</v>
      </c>
      <c r="N377" s="228" t="s">
        <v>1499</v>
      </c>
      <c r="O377" s="866" t="s">
        <v>1501</v>
      </c>
      <c r="P377" s="856" t="s">
        <v>1370</v>
      </c>
      <c r="Q377" s="856" t="s">
        <v>1371</v>
      </c>
      <c r="R377" s="856" t="s">
        <v>1365</v>
      </c>
      <c r="S377" s="232" t="s">
        <v>1365</v>
      </c>
    </row>
    <row r="378" spans="1:19" ht="43" customHeight="1" x14ac:dyDescent="0.35">
      <c r="A378" s="844">
        <v>72101511</v>
      </c>
      <c r="B378" s="869" t="s">
        <v>1283</v>
      </c>
      <c r="C378" s="228" t="s">
        <v>69</v>
      </c>
      <c r="D378" s="228" t="s">
        <v>79</v>
      </c>
      <c r="E378" s="228">
        <v>12</v>
      </c>
      <c r="F378" s="174" t="s">
        <v>1353</v>
      </c>
      <c r="G378" s="233" t="s">
        <v>1355</v>
      </c>
      <c r="H378" s="233" t="s">
        <v>1359</v>
      </c>
      <c r="I378" s="880">
        <v>3094000</v>
      </c>
      <c r="J378" s="902">
        <v>3094000</v>
      </c>
      <c r="K378" s="860" t="s">
        <v>1365</v>
      </c>
      <c r="L378" s="849" t="s">
        <v>1366</v>
      </c>
      <c r="M378" s="228" t="s">
        <v>1442</v>
      </c>
      <c r="N378" s="228" t="s">
        <v>1499</v>
      </c>
      <c r="O378" s="866" t="s">
        <v>1500</v>
      </c>
      <c r="P378" s="856" t="s">
        <v>1370</v>
      </c>
      <c r="Q378" s="856" t="s">
        <v>1371</v>
      </c>
      <c r="R378" s="856" t="s">
        <v>1365</v>
      </c>
      <c r="S378" s="232" t="s">
        <v>1365</v>
      </c>
    </row>
    <row r="379" spans="1:19" ht="43" customHeight="1" x14ac:dyDescent="0.35">
      <c r="A379" s="844">
        <v>48101909</v>
      </c>
      <c r="B379" s="860" t="s">
        <v>1325</v>
      </c>
      <c r="C379" s="228" t="s">
        <v>70</v>
      </c>
      <c r="D379" s="228" t="s">
        <v>71</v>
      </c>
      <c r="E379" s="228">
        <v>1</v>
      </c>
      <c r="F379" s="174" t="s">
        <v>1353</v>
      </c>
      <c r="G379" s="233" t="s">
        <v>1358</v>
      </c>
      <c r="H379" s="233" t="s">
        <v>1359</v>
      </c>
      <c r="I379" s="880">
        <v>714000</v>
      </c>
      <c r="J379" s="902">
        <v>714000</v>
      </c>
      <c r="K379" s="860" t="s">
        <v>1365</v>
      </c>
      <c r="L379" s="849" t="s">
        <v>1366</v>
      </c>
      <c r="M379" s="228" t="s">
        <v>1442</v>
      </c>
      <c r="N379" s="228" t="s">
        <v>1499</v>
      </c>
      <c r="O379" s="866" t="s">
        <v>1500</v>
      </c>
      <c r="P379" s="856" t="s">
        <v>1370</v>
      </c>
      <c r="Q379" s="856" t="s">
        <v>1371</v>
      </c>
      <c r="R379" s="856" t="s">
        <v>1365</v>
      </c>
      <c r="S379" s="232" t="s">
        <v>1365</v>
      </c>
    </row>
    <row r="380" spans="1:19" ht="43" customHeight="1" x14ac:dyDescent="0.35">
      <c r="A380" s="844">
        <v>90101600</v>
      </c>
      <c r="B380" s="860" t="s">
        <v>1220</v>
      </c>
      <c r="C380" s="228" t="s">
        <v>72</v>
      </c>
      <c r="D380" s="228" t="s">
        <v>71</v>
      </c>
      <c r="E380" s="228">
        <v>1</v>
      </c>
      <c r="F380" s="174" t="s">
        <v>1353</v>
      </c>
      <c r="G380" s="233" t="s">
        <v>1355</v>
      </c>
      <c r="H380" s="233" t="s">
        <v>1359</v>
      </c>
      <c r="I380" s="880">
        <v>2380000</v>
      </c>
      <c r="J380" s="902">
        <v>2380000</v>
      </c>
      <c r="K380" s="860" t="s">
        <v>1365</v>
      </c>
      <c r="L380" s="860" t="s">
        <v>1366</v>
      </c>
      <c r="M380" s="228" t="s">
        <v>1442</v>
      </c>
      <c r="N380" s="228" t="s">
        <v>1499</v>
      </c>
      <c r="O380" s="866" t="s">
        <v>1500</v>
      </c>
      <c r="P380" s="856" t="s">
        <v>1370</v>
      </c>
      <c r="Q380" s="856" t="s">
        <v>1371</v>
      </c>
      <c r="R380" s="856" t="s">
        <v>1365</v>
      </c>
      <c r="S380" s="232" t="s">
        <v>1365</v>
      </c>
    </row>
    <row r="381" spans="1:19" ht="43" customHeight="1" x14ac:dyDescent="0.35">
      <c r="A381" s="844">
        <v>80141902</v>
      </c>
      <c r="B381" s="860" t="s">
        <v>1221</v>
      </c>
      <c r="C381" s="228" t="s">
        <v>80</v>
      </c>
      <c r="D381" s="228" t="s">
        <v>79</v>
      </c>
      <c r="E381" s="228">
        <v>1</v>
      </c>
      <c r="F381" s="174" t="s">
        <v>1353</v>
      </c>
      <c r="G381" s="233" t="s">
        <v>1355</v>
      </c>
      <c r="H381" s="233" t="s">
        <v>1359</v>
      </c>
      <c r="I381" s="880">
        <v>2380000</v>
      </c>
      <c r="J381" s="902">
        <v>2380000</v>
      </c>
      <c r="K381" s="860" t="s">
        <v>1365</v>
      </c>
      <c r="L381" s="860" t="s">
        <v>1366</v>
      </c>
      <c r="M381" s="228" t="s">
        <v>1442</v>
      </c>
      <c r="N381" s="228" t="s">
        <v>1499</v>
      </c>
      <c r="O381" s="866" t="s">
        <v>1500</v>
      </c>
      <c r="P381" s="856" t="s">
        <v>1370</v>
      </c>
      <c r="Q381" s="856" t="s">
        <v>1371</v>
      </c>
      <c r="R381" s="856" t="s">
        <v>1365</v>
      </c>
      <c r="S381" s="232" t="s">
        <v>1365</v>
      </c>
    </row>
    <row r="382" spans="1:19" ht="43" customHeight="1" x14ac:dyDescent="0.35">
      <c r="A382" s="844">
        <v>80141902</v>
      </c>
      <c r="B382" s="860" t="s">
        <v>1326</v>
      </c>
      <c r="C382" s="228" t="s">
        <v>79</v>
      </c>
      <c r="D382" s="228" t="s">
        <v>80</v>
      </c>
      <c r="E382" s="228">
        <v>1</v>
      </c>
      <c r="F382" s="174" t="s">
        <v>1353</v>
      </c>
      <c r="G382" s="233" t="s">
        <v>1358</v>
      </c>
      <c r="H382" s="233" t="s">
        <v>1359</v>
      </c>
      <c r="I382" s="880">
        <v>810000</v>
      </c>
      <c r="J382" s="902">
        <v>810000</v>
      </c>
      <c r="K382" s="860" t="s">
        <v>1365</v>
      </c>
      <c r="L382" s="849" t="s">
        <v>1366</v>
      </c>
      <c r="M382" s="228" t="s">
        <v>1442</v>
      </c>
      <c r="N382" s="228" t="s">
        <v>1502</v>
      </c>
      <c r="O382" s="866" t="s">
        <v>1503</v>
      </c>
      <c r="P382" s="856" t="s">
        <v>1370</v>
      </c>
      <c r="Q382" s="856" t="s">
        <v>1371</v>
      </c>
      <c r="R382" s="856" t="s">
        <v>1365</v>
      </c>
      <c r="S382" s="232" t="s">
        <v>1365</v>
      </c>
    </row>
    <row r="383" spans="1:19" ht="43" customHeight="1" x14ac:dyDescent="0.35">
      <c r="A383" s="845">
        <v>72101511</v>
      </c>
      <c r="B383" s="869" t="s">
        <v>1318</v>
      </c>
      <c r="C383" s="228" t="s">
        <v>69</v>
      </c>
      <c r="D383" s="228" t="s">
        <v>69</v>
      </c>
      <c r="E383" s="228">
        <v>12</v>
      </c>
      <c r="F383" s="174" t="s">
        <v>1353</v>
      </c>
      <c r="G383" s="233" t="s">
        <v>1355</v>
      </c>
      <c r="H383" s="233" t="s">
        <v>1359</v>
      </c>
      <c r="I383" s="880">
        <v>3332000</v>
      </c>
      <c r="J383" s="902">
        <v>3332000</v>
      </c>
      <c r="K383" s="860" t="s">
        <v>1373</v>
      </c>
      <c r="L383" s="849" t="s">
        <v>1374</v>
      </c>
      <c r="M383" s="228" t="s">
        <v>1442</v>
      </c>
      <c r="N383" s="228" t="s">
        <v>1502</v>
      </c>
      <c r="O383" s="866" t="s">
        <v>1503</v>
      </c>
      <c r="P383" s="856" t="s">
        <v>1370</v>
      </c>
      <c r="Q383" s="856" t="s">
        <v>1371</v>
      </c>
      <c r="R383" s="856" t="s">
        <v>1365</v>
      </c>
      <c r="S383" s="232" t="s">
        <v>1365</v>
      </c>
    </row>
    <row r="384" spans="1:19" ht="43" customHeight="1" x14ac:dyDescent="0.35">
      <c r="A384" s="844">
        <v>90101600</v>
      </c>
      <c r="B384" s="860" t="s">
        <v>1220</v>
      </c>
      <c r="C384" s="228" t="s">
        <v>72</v>
      </c>
      <c r="D384" s="228" t="s">
        <v>71</v>
      </c>
      <c r="E384" s="228">
        <v>1</v>
      </c>
      <c r="F384" s="174" t="s">
        <v>1353</v>
      </c>
      <c r="G384" s="233" t="s">
        <v>1355</v>
      </c>
      <c r="H384" s="233" t="s">
        <v>1359</v>
      </c>
      <c r="I384" s="880">
        <v>2600864</v>
      </c>
      <c r="J384" s="902">
        <v>2600864</v>
      </c>
      <c r="K384" s="860" t="s">
        <v>1365</v>
      </c>
      <c r="L384" s="860" t="s">
        <v>1366</v>
      </c>
      <c r="M384" s="228" t="s">
        <v>1442</v>
      </c>
      <c r="N384" s="228" t="s">
        <v>1502</v>
      </c>
      <c r="O384" s="866" t="s">
        <v>1503</v>
      </c>
      <c r="P384" s="856" t="s">
        <v>1370</v>
      </c>
      <c r="Q384" s="856" t="s">
        <v>1371</v>
      </c>
      <c r="R384" s="856" t="s">
        <v>1365</v>
      </c>
      <c r="S384" s="232" t="s">
        <v>1365</v>
      </c>
    </row>
    <row r="385" spans="1:19" ht="43" customHeight="1" x14ac:dyDescent="0.35">
      <c r="A385" s="844">
        <v>80141902</v>
      </c>
      <c r="B385" s="860" t="s">
        <v>1221</v>
      </c>
      <c r="C385" s="228" t="s">
        <v>80</v>
      </c>
      <c r="D385" s="228" t="s">
        <v>79</v>
      </c>
      <c r="E385" s="228">
        <v>1</v>
      </c>
      <c r="F385" s="174" t="s">
        <v>1353</v>
      </c>
      <c r="G385" s="233" t="s">
        <v>1355</v>
      </c>
      <c r="H385" s="233" t="s">
        <v>1359</v>
      </c>
      <c r="I385" s="880">
        <v>2600864</v>
      </c>
      <c r="J385" s="902">
        <v>2600864</v>
      </c>
      <c r="K385" s="860" t="s">
        <v>1365</v>
      </c>
      <c r="L385" s="860" t="s">
        <v>1366</v>
      </c>
      <c r="M385" s="228" t="s">
        <v>1442</v>
      </c>
      <c r="N385" s="228" t="s">
        <v>1502</v>
      </c>
      <c r="O385" s="866" t="s">
        <v>1503</v>
      </c>
      <c r="P385" s="856" t="s">
        <v>1370</v>
      </c>
      <c r="Q385" s="856" t="s">
        <v>1371</v>
      </c>
      <c r="R385" s="856" t="s">
        <v>1365</v>
      </c>
      <c r="S385" s="232" t="s">
        <v>1365</v>
      </c>
    </row>
    <row r="386" spans="1:19" ht="43" customHeight="1" x14ac:dyDescent="0.35">
      <c r="A386" s="845">
        <v>72154028</v>
      </c>
      <c r="B386" s="862" t="s">
        <v>1327</v>
      </c>
      <c r="C386" s="228" t="s">
        <v>72</v>
      </c>
      <c r="D386" s="228" t="s">
        <v>73</v>
      </c>
      <c r="E386" s="877">
        <v>1</v>
      </c>
      <c r="F386" s="174" t="s">
        <v>1353</v>
      </c>
      <c r="G386" s="228" t="s">
        <v>1355</v>
      </c>
      <c r="H386" s="233" t="s">
        <v>1359</v>
      </c>
      <c r="I386" s="880">
        <v>3570000</v>
      </c>
      <c r="J386" s="902">
        <v>3570000</v>
      </c>
      <c r="K386" s="862" t="s">
        <v>1365</v>
      </c>
      <c r="L386" s="849" t="s">
        <v>1366</v>
      </c>
      <c r="M386" s="228" t="s">
        <v>1442</v>
      </c>
      <c r="N386" s="228" t="s">
        <v>1504</v>
      </c>
      <c r="O386" s="912" t="s">
        <v>1505</v>
      </c>
      <c r="P386" s="856" t="s">
        <v>1370</v>
      </c>
      <c r="Q386" s="856" t="s">
        <v>1371</v>
      </c>
      <c r="R386" s="856" t="s">
        <v>1365</v>
      </c>
      <c r="S386" s="232" t="s">
        <v>1365</v>
      </c>
    </row>
    <row r="387" spans="1:19" ht="43" customHeight="1" x14ac:dyDescent="0.35">
      <c r="A387" s="845">
        <v>80141902</v>
      </c>
      <c r="B387" s="862" t="s">
        <v>1328</v>
      </c>
      <c r="C387" s="228" t="s">
        <v>78</v>
      </c>
      <c r="D387" s="228" t="s">
        <v>80</v>
      </c>
      <c r="E387" s="877">
        <v>1</v>
      </c>
      <c r="F387" s="174" t="s">
        <v>1353</v>
      </c>
      <c r="G387" s="228" t="s">
        <v>1358</v>
      </c>
      <c r="H387" s="233" t="s">
        <v>1359</v>
      </c>
      <c r="I387" s="880">
        <v>1190000</v>
      </c>
      <c r="J387" s="902">
        <v>1190000</v>
      </c>
      <c r="K387" s="862" t="s">
        <v>1365</v>
      </c>
      <c r="L387" s="849" t="s">
        <v>1366</v>
      </c>
      <c r="M387" s="228" t="s">
        <v>1442</v>
      </c>
      <c r="N387" s="228" t="s">
        <v>1504</v>
      </c>
      <c r="O387" s="912" t="s">
        <v>1505</v>
      </c>
      <c r="P387" s="856" t="s">
        <v>1370</v>
      </c>
      <c r="Q387" s="856" t="s">
        <v>1371</v>
      </c>
      <c r="R387" s="856" t="s">
        <v>1365</v>
      </c>
      <c r="S387" s="232" t="s">
        <v>1365</v>
      </c>
    </row>
    <row r="388" spans="1:19" ht="43" customHeight="1" x14ac:dyDescent="0.35">
      <c r="A388" s="845">
        <v>72101511</v>
      </c>
      <c r="B388" s="862" t="s">
        <v>1329</v>
      </c>
      <c r="C388" s="228" t="s">
        <v>70</v>
      </c>
      <c r="D388" s="228" t="s">
        <v>71</v>
      </c>
      <c r="E388" s="877">
        <v>12</v>
      </c>
      <c r="F388" s="174" t="s">
        <v>1353</v>
      </c>
      <c r="G388" s="228" t="s">
        <v>1355</v>
      </c>
      <c r="H388" s="233" t="s">
        <v>1359</v>
      </c>
      <c r="I388" s="880">
        <v>4879000</v>
      </c>
      <c r="J388" s="902">
        <v>4879000</v>
      </c>
      <c r="K388" s="862" t="s">
        <v>1365</v>
      </c>
      <c r="L388" s="849" t="s">
        <v>1366</v>
      </c>
      <c r="M388" s="228" t="s">
        <v>1442</v>
      </c>
      <c r="N388" s="228" t="s">
        <v>1504</v>
      </c>
      <c r="O388" s="912" t="s">
        <v>1505</v>
      </c>
      <c r="P388" s="856" t="s">
        <v>1370</v>
      </c>
      <c r="Q388" s="856" t="s">
        <v>1371</v>
      </c>
      <c r="R388" s="856" t="s">
        <v>1365</v>
      </c>
      <c r="S388" s="232" t="s">
        <v>1365</v>
      </c>
    </row>
    <row r="389" spans="1:19" ht="43" customHeight="1" x14ac:dyDescent="0.35">
      <c r="A389" s="844">
        <v>52161505</v>
      </c>
      <c r="B389" s="860" t="s">
        <v>1330</v>
      </c>
      <c r="C389" s="228" t="s">
        <v>70</v>
      </c>
      <c r="D389" s="228" t="s">
        <v>71</v>
      </c>
      <c r="E389" s="228">
        <v>2</v>
      </c>
      <c r="F389" s="174" t="s">
        <v>1353</v>
      </c>
      <c r="G389" s="233" t="s">
        <v>1355</v>
      </c>
      <c r="H389" s="233" t="s">
        <v>1359</v>
      </c>
      <c r="I389" s="880">
        <v>3332000</v>
      </c>
      <c r="J389" s="902">
        <v>3332000</v>
      </c>
      <c r="K389" s="860" t="s">
        <v>1365</v>
      </c>
      <c r="L389" s="849" t="s">
        <v>1366</v>
      </c>
      <c r="M389" s="228" t="s">
        <v>1442</v>
      </c>
      <c r="N389" s="228" t="s">
        <v>1506</v>
      </c>
      <c r="O389" s="866" t="s">
        <v>1507</v>
      </c>
      <c r="P389" s="856" t="s">
        <v>1370</v>
      </c>
      <c r="Q389" s="856" t="s">
        <v>1371</v>
      </c>
      <c r="R389" s="856" t="s">
        <v>1365</v>
      </c>
      <c r="S389" s="232" t="s">
        <v>1365</v>
      </c>
    </row>
    <row r="390" spans="1:19" ht="43" customHeight="1" x14ac:dyDescent="0.35">
      <c r="A390" s="844">
        <v>80141902</v>
      </c>
      <c r="B390" s="860" t="s">
        <v>1272</v>
      </c>
      <c r="C390" s="228" t="s">
        <v>74</v>
      </c>
      <c r="D390" s="228" t="s">
        <v>75</v>
      </c>
      <c r="E390" s="228">
        <v>1</v>
      </c>
      <c r="F390" s="174" t="s">
        <v>1353</v>
      </c>
      <c r="G390" s="233" t="s">
        <v>1355</v>
      </c>
      <c r="H390" s="233" t="s">
        <v>1359</v>
      </c>
      <c r="I390" s="880">
        <v>2380000</v>
      </c>
      <c r="J390" s="902">
        <v>2380000</v>
      </c>
      <c r="K390" s="860" t="s">
        <v>1365</v>
      </c>
      <c r="L390" s="849" t="s">
        <v>1366</v>
      </c>
      <c r="M390" s="228" t="s">
        <v>1442</v>
      </c>
      <c r="N390" s="228" t="s">
        <v>1506</v>
      </c>
      <c r="O390" s="866" t="s">
        <v>1507</v>
      </c>
      <c r="P390" s="856" t="s">
        <v>1370</v>
      </c>
      <c r="Q390" s="856" t="s">
        <v>1371</v>
      </c>
      <c r="R390" s="856" t="s">
        <v>1365</v>
      </c>
      <c r="S390" s="232" t="s">
        <v>1365</v>
      </c>
    </row>
    <row r="391" spans="1:19" ht="43" customHeight="1" x14ac:dyDescent="0.35">
      <c r="A391" s="844">
        <v>80141902</v>
      </c>
      <c r="B391" s="860" t="s">
        <v>1331</v>
      </c>
      <c r="C391" s="228" t="s">
        <v>79</v>
      </c>
      <c r="D391" s="228" t="s">
        <v>80</v>
      </c>
      <c r="E391" s="228">
        <v>1</v>
      </c>
      <c r="F391" s="174" t="s">
        <v>1353</v>
      </c>
      <c r="G391" s="233" t="s">
        <v>1355</v>
      </c>
      <c r="H391" s="233" t="s">
        <v>1359</v>
      </c>
      <c r="I391" s="880">
        <v>2380000</v>
      </c>
      <c r="J391" s="902">
        <v>2380000</v>
      </c>
      <c r="K391" s="860" t="s">
        <v>1365</v>
      </c>
      <c r="L391" s="849" t="s">
        <v>1366</v>
      </c>
      <c r="M391" s="228" t="s">
        <v>1442</v>
      </c>
      <c r="N391" s="228" t="s">
        <v>1506</v>
      </c>
      <c r="O391" s="866" t="s">
        <v>1507</v>
      </c>
      <c r="P391" s="856" t="s">
        <v>1370</v>
      </c>
      <c r="Q391" s="856" t="s">
        <v>1371</v>
      </c>
      <c r="R391" s="856" t="s">
        <v>1365</v>
      </c>
      <c r="S391" s="232" t="s">
        <v>1365</v>
      </c>
    </row>
    <row r="392" spans="1:19" ht="43" customHeight="1" x14ac:dyDescent="0.35">
      <c r="A392" s="845">
        <v>72101511</v>
      </c>
      <c r="B392" s="860" t="s">
        <v>1332</v>
      </c>
      <c r="C392" s="228" t="s">
        <v>71</v>
      </c>
      <c r="D392" s="228" t="s">
        <v>72</v>
      </c>
      <c r="E392" s="228">
        <v>9</v>
      </c>
      <c r="F392" s="174" t="s">
        <v>1353</v>
      </c>
      <c r="G392" s="233" t="s">
        <v>1355</v>
      </c>
      <c r="H392" s="233" t="s">
        <v>1359</v>
      </c>
      <c r="I392" s="880">
        <v>2169667.5</v>
      </c>
      <c r="J392" s="902">
        <v>2169667.5</v>
      </c>
      <c r="K392" s="860" t="s">
        <v>1365</v>
      </c>
      <c r="L392" s="849" t="s">
        <v>1366</v>
      </c>
      <c r="M392" s="228" t="s">
        <v>1442</v>
      </c>
      <c r="N392" s="228" t="s">
        <v>1506</v>
      </c>
      <c r="O392" s="866" t="s">
        <v>1507</v>
      </c>
      <c r="P392" s="856" t="s">
        <v>1370</v>
      </c>
      <c r="Q392" s="856" t="s">
        <v>1371</v>
      </c>
      <c r="R392" s="856" t="s">
        <v>1365</v>
      </c>
      <c r="S392" s="232" t="s">
        <v>1365</v>
      </c>
    </row>
    <row r="393" spans="1:19" ht="43" customHeight="1" x14ac:dyDescent="0.35">
      <c r="A393" s="831" t="s">
        <v>1018</v>
      </c>
      <c r="B393" s="860" t="s">
        <v>1333</v>
      </c>
      <c r="C393" s="228" t="s">
        <v>76</v>
      </c>
      <c r="D393" s="228" t="s">
        <v>77</v>
      </c>
      <c r="E393" s="228">
        <v>3</v>
      </c>
      <c r="F393" s="174" t="s">
        <v>1353</v>
      </c>
      <c r="G393" s="233" t="s">
        <v>1358</v>
      </c>
      <c r="H393" s="233" t="s">
        <v>1359</v>
      </c>
      <c r="I393" s="880">
        <v>1732532.9</v>
      </c>
      <c r="J393" s="902">
        <v>1732532.9</v>
      </c>
      <c r="K393" s="860" t="s">
        <v>1365</v>
      </c>
      <c r="L393" s="849" t="s">
        <v>1366</v>
      </c>
      <c r="M393" s="228" t="s">
        <v>1442</v>
      </c>
      <c r="N393" s="228" t="s">
        <v>1506</v>
      </c>
      <c r="O393" s="866" t="s">
        <v>1507</v>
      </c>
      <c r="P393" s="856" t="s">
        <v>1370</v>
      </c>
      <c r="Q393" s="856" t="s">
        <v>1371</v>
      </c>
      <c r="R393" s="856" t="s">
        <v>1365</v>
      </c>
      <c r="S393" s="232" t="s">
        <v>1365</v>
      </c>
    </row>
    <row r="394" spans="1:19" ht="43" customHeight="1" x14ac:dyDescent="0.35">
      <c r="A394" s="831" t="s">
        <v>1019</v>
      </c>
      <c r="B394" s="860" t="s">
        <v>1334</v>
      </c>
      <c r="C394" s="228" t="s">
        <v>69</v>
      </c>
      <c r="D394" s="228" t="s">
        <v>69</v>
      </c>
      <c r="E394" s="228">
        <v>12</v>
      </c>
      <c r="F394" s="174" t="s">
        <v>1353</v>
      </c>
      <c r="G394" s="233" t="s">
        <v>1355</v>
      </c>
      <c r="H394" s="233" t="s">
        <v>1359</v>
      </c>
      <c r="I394" s="880">
        <v>3840000</v>
      </c>
      <c r="J394" s="902">
        <v>3840000</v>
      </c>
      <c r="K394" s="860" t="s">
        <v>1365</v>
      </c>
      <c r="L394" s="849" t="s">
        <v>1366</v>
      </c>
      <c r="M394" s="228" t="s">
        <v>1442</v>
      </c>
      <c r="N394" s="228" t="s">
        <v>1506</v>
      </c>
      <c r="O394" s="866" t="s">
        <v>1507</v>
      </c>
      <c r="P394" s="856" t="s">
        <v>1370</v>
      </c>
      <c r="Q394" s="856" t="s">
        <v>1371</v>
      </c>
      <c r="R394" s="856" t="s">
        <v>1365</v>
      </c>
      <c r="S394" s="232" t="s">
        <v>1365</v>
      </c>
    </row>
    <row r="395" spans="1:19" ht="43" customHeight="1" x14ac:dyDescent="0.35">
      <c r="A395" s="831">
        <v>80101510</v>
      </c>
      <c r="B395" s="860" t="s">
        <v>1335</v>
      </c>
      <c r="C395" s="228" t="s">
        <v>69</v>
      </c>
      <c r="D395" s="228" t="s">
        <v>69</v>
      </c>
      <c r="E395" s="228">
        <v>12</v>
      </c>
      <c r="F395" s="174" t="s">
        <v>1353</v>
      </c>
      <c r="G395" s="233" t="s">
        <v>1355</v>
      </c>
      <c r="H395" s="233" t="s">
        <v>1359</v>
      </c>
      <c r="I395" s="880">
        <v>39448500</v>
      </c>
      <c r="J395" s="902">
        <v>39448500</v>
      </c>
      <c r="K395" s="860" t="s">
        <v>1365</v>
      </c>
      <c r="L395" s="849" t="s">
        <v>1366</v>
      </c>
      <c r="M395" s="228" t="s">
        <v>1442</v>
      </c>
      <c r="N395" s="228" t="s">
        <v>1506</v>
      </c>
      <c r="O395" s="866" t="s">
        <v>1507</v>
      </c>
      <c r="P395" s="856" t="s">
        <v>1370</v>
      </c>
      <c r="Q395" s="856" t="s">
        <v>1371</v>
      </c>
      <c r="R395" s="856" t="s">
        <v>1365</v>
      </c>
      <c r="S395" s="232" t="s">
        <v>1365</v>
      </c>
    </row>
    <row r="396" spans="1:19" ht="43" customHeight="1" x14ac:dyDescent="0.35">
      <c r="A396" s="844">
        <v>80141902</v>
      </c>
      <c r="B396" s="860" t="s">
        <v>1336</v>
      </c>
      <c r="C396" s="228" t="s">
        <v>79</v>
      </c>
      <c r="D396" s="228" t="s">
        <v>80</v>
      </c>
      <c r="E396" s="228">
        <v>1</v>
      </c>
      <c r="F396" s="174" t="s">
        <v>1353</v>
      </c>
      <c r="G396" s="233" t="s">
        <v>1355</v>
      </c>
      <c r="H396" s="233" t="s">
        <v>1359</v>
      </c>
      <c r="I396" s="880">
        <v>5950000</v>
      </c>
      <c r="J396" s="902">
        <v>5950000</v>
      </c>
      <c r="K396" s="860" t="s">
        <v>1365</v>
      </c>
      <c r="L396" s="849" t="s">
        <v>1366</v>
      </c>
      <c r="M396" s="228" t="s">
        <v>1442</v>
      </c>
      <c r="N396" s="228" t="s">
        <v>1506</v>
      </c>
      <c r="O396" s="866" t="s">
        <v>1507</v>
      </c>
      <c r="P396" s="856" t="s">
        <v>1370</v>
      </c>
      <c r="Q396" s="856" t="s">
        <v>1371</v>
      </c>
      <c r="R396" s="856" t="s">
        <v>1365</v>
      </c>
      <c r="S396" s="232" t="s">
        <v>1365</v>
      </c>
    </row>
    <row r="397" spans="1:19" ht="43" customHeight="1" x14ac:dyDescent="0.35">
      <c r="A397" s="844">
        <v>90101600</v>
      </c>
      <c r="B397" s="860" t="s">
        <v>1220</v>
      </c>
      <c r="C397" s="228" t="s">
        <v>72</v>
      </c>
      <c r="D397" s="228" t="s">
        <v>71</v>
      </c>
      <c r="E397" s="228">
        <v>1</v>
      </c>
      <c r="F397" s="174" t="s">
        <v>1353</v>
      </c>
      <c r="G397" s="233" t="s">
        <v>1355</v>
      </c>
      <c r="H397" s="233" t="s">
        <v>1359</v>
      </c>
      <c r="I397" s="880">
        <v>5950000</v>
      </c>
      <c r="J397" s="902">
        <v>5950000</v>
      </c>
      <c r="K397" s="860" t="s">
        <v>1365</v>
      </c>
      <c r="L397" s="860" t="s">
        <v>1366</v>
      </c>
      <c r="M397" s="228" t="s">
        <v>1442</v>
      </c>
      <c r="N397" s="228" t="s">
        <v>1506</v>
      </c>
      <c r="O397" s="866" t="s">
        <v>1507</v>
      </c>
      <c r="P397" s="856" t="s">
        <v>1370</v>
      </c>
      <c r="Q397" s="856" t="s">
        <v>1371</v>
      </c>
      <c r="R397" s="856" t="s">
        <v>1365</v>
      </c>
      <c r="S397" s="232" t="s">
        <v>1365</v>
      </c>
    </row>
    <row r="398" spans="1:19" ht="43" customHeight="1" x14ac:dyDescent="0.35">
      <c r="A398" s="844">
        <v>80141902</v>
      </c>
      <c r="B398" s="860" t="s">
        <v>1221</v>
      </c>
      <c r="C398" s="228" t="s">
        <v>80</v>
      </c>
      <c r="D398" s="228" t="s">
        <v>79</v>
      </c>
      <c r="E398" s="228">
        <v>1</v>
      </c>
      <c r="F398" s="174" t="s">
        <v>1353</v>
      </c>
      <c r="G398" s="233" t="s">
        <v>1355</v>
      </c>
      <c r="H398" s="233" t="s">
        <v>1359</v>
      </c>
      <c r="I398" s="880">
        <v>5950000</v>
      </c>
      <c r="J398" s="902">
        <v>5950000</v>
      </c>
      <c r="K398" s="860" t="s">
        <v>1365</v>
      </c>
      <c r="L398" s="860" t="s">
        <v>1366</v>
      </c>
      <c r="M398" s="228" t="s">
        <v>1442</v>
      </c>
      <c r="N398" s="228" t="s">
        <v>1506</v>
      </c>
      <c r="O398" s="866" t="s">
        <v>1507</v>
      </c>
      <c r="P398" s="856" t="s">
        <v>1370</v>
      </c>
      <c r="Q398" s="856" t="s">
        <v>1371</v>
      </c>
      <c r="R398" s="856" t="s">
        <v>1365</v>
      </c>
      <c r="S398" s="232" t="s">
        <v>1365</v>
      </c>
    </row>
    <row r="399" spans="1:19" ht="43" customHeight="1" x14ac:dyDescent="0.35">
      <c r="A399" s="844">
        <v>78181703</v>
      </c>
      <c r="B399" s="860" t="s">
        <v>1289</v>
      </c>
      <c r="C399" s="228" t="s">
        <v>69</v>
      </c>
      <c r="D399" s="228" t="s">
        <v>69</v>
      </c>
      <c r="E399" s="228">
        <v>12</v>
      </c>
      <c r="F399" s="174" t="s">
        <v>1353</v>
      </c>
      <c r="G399" s="233" t="s">
        <v>1355</v>
      </c>
      <c r="H399" s="233" t="s">
        <v>1359</v>
      </c>
      <c r="I399" s="880">
        <v>4880337.5600000005</v>
      </c>
      <c r="J399" s="902">
        <v>4880337.5600000005</v>
      </c>
      <c r="K399" s="860" t="s">
        <v>1365</v>
      </c>
      <c r="L399" s="860" t="s">
        <v>1366</v>
      </c>
      <c r="M399" s="228" t="s">
        <v>1442</v>
      </c>
      <c r="N399" s="228" t="s">
        <v>1506</v>
      </c>
      <c r="O399" s="866" t="s">
        <v>1507</v>
      </c>
      <c r="P399" s="856" t="s">
        <v>1370</v>
      </c>
      <c r="Q399" s="856" t="s">
        <v>1371</v>
      </c>
      <c r="R399" s="856" t="s">
        <v>1365</v>
      </c>
      <c r="S399" s="232" t="s">
        <v>1365</v>
      </c>
    </row>
    <row r="400" spans="1:19" ht="43" customHeight="1" x14ac:dyDescent="0.35">
      <c r="A400" s="845" t="s">
        <v>1007</v>
      </c>
      <c r="B400" s="860" t="s">
        <v>1296</v>
      </c>
      <c r="C400" s="228" t="s">
        <v>80</v>
      </c>
      <c r="D400" s="228" t="s">
        <v>80</v>
      </c>
      <c r="E400" s="228">
        <v>1</v>
      </c>
      <c r="F400" s="174" t="s">
        <v>1353</v>
      </c>
      <c r="G400" s="233" t="s">
        <v>1355</v>
      </c>
      <c r="H400" s="233" t="s">
        <v>1359</v>
      </c>
      <c r="I400" s="880">
        <v>2023000</v>
      </c>
      <c r="J400" s="902">
        <v>2023000</v>
      </c>
      <c r="K400" s="860" t="s">
        <v>1365</v>
      </c>
      <c r="L400" s="849" t="s">
        <v>1366</v>
      </c>
      <c r="M400" s="228" t="s">
        <v>1442</v>
      </c>
      <c r="N400" s="228" t="s">
        <v>1508</v>
      </c>
      <c r="O400" s="866" t="s">
        <v>1509</v>
      </c>
      <c r="P400" s="856" t="s">
        <v>1370</v>
      </c>
      <c r="Q400" s="856" t="s">
        <v>1371</v>
      </c>
      <c r="R400" s="856" t="s">
        <v>1365</v>
      </c>
      <c r="S400" s="232" t="s">
        <v>1365</v>
      </c>
    </row>
    <row r="401" spans="1:19" ht="43" customHeight="1" x14ac:dyDescent="0.35">
      <c r="A401" s="845" t="s">
        <v>1007</v>
      </c>
      <c r="B401" s="861" t="s">
        <v>1337</v>
      </c>
      <c r="C401" s="228" t="s">
        <v>74</v>
      </c>
      <c r="D401" s="228" t="s">
        <v>74</v>
      </c>
      <c r="E401" s="228">
        <v>1</v>
      </c>
      <c r="F401" s="174" t="s">
        <v>1353</v>
      </c>
      <c r="G401" s="233" t="s">
        <v>1355</v>
      </c>
      <c r="H401" s="233" t="s">
        <v>1359</v>
      </c>
      <c r="I401" s="880">
        <v>2023000</v>
      </c>
      <c r="J401" s="902">
        <v>2023000</v>
      </c>
      <c r="K401" s="860" t="s">
        <v>1365</v>
      </c>
      <c r="L401" s="849" t="s">
        <v>1366</v>
      </c>
      <c r="M401" s="228" t="s">
        <v>1442</v>
      </c>
      <c r="N401" s="228" t="s">
        <v>1508</v>
      </c>
      <c r="O401" s="866" t="s">
        <v>1509</v>
      </c>
      <c r="P401" s="856" t="s">
        <v>1370</v>
      </c>
      <c r="Q401" s="856" t="s">
        <v>1371</v>
      </c>
      <c r="R401" s="856" t="s">
        <v>1365</v>
      </c>
      <c r="S401" s="232" t="s">
        <v>1365</v>
      </c>
    </row>
    <row r="402" spans="1:19" ht="43" customHeight="1" x14ac:dyDescent="0.35">
      <c r="A402" s="845" t="s">
        <v>1016</v>
      </c>
      <c r="B402" s="861" t="s">
        <v>1338</v>
      </c>
      <c r="C402" s="228" t="s">
        <v>72</v>
      </c>
      <c r="D402" s="228" t="s">
        <v>72</v>
      </c>
      <c r="E402" s="228">
        <v>1</v>
      </c>
      <c r="F402" s="174" t="s">
        <v>1353</v>
      </c>
      <c r="G402" s="233" t="s">
        <v>1358</v>
      </c>
      <c r="H402" s="233" t="s">
        <v>1359</v>
      </c>
      <c r="I402" s="880">
        <v>1785000</v>
      </c>
      <c r="J402" s="902">
        <v>1785000</v>
      </c>
      <c r="K402" s="860" t="s">
        <v>1365</v>
      </c>
      <c r="L402" s="849" t="s">
        <v>1366</v>
      </c>
      <c r="M402" s="228" t="s">
        <v>1442</v>
      </c>
      <c r="N402" s="228" t="s">
        <v>1508</v>
      </c>
      <c r="O402" s="866" t="s">
        <v>1509</v>
      </c>
      <c r="P402" s="856" t="s">
        <v>1370</v>
      </c>
      <c r="Q402" s="856" t="s">
        <v>1371</v>
      </c>
      <c r="R402" s="856" t="s">
        <v>1365</v>
      </c>
      <c r="S402" s="232" t="s">
        <v>1365</v>
      </c>
    </row>
    <row r="403" spans="1:19" ht="43" customHeight="1" x14ac:dyDescent="0.35">
      <c r="A403" s="844">
        <v>56121400</v>
      </c>
      <c r="B403" s="861" t="s">
        <v>1339</v>
      </c>
      <c r="C403" s="228" t="s">
        <v>74</v>
      </c>
      <c r="D403" s="228" t="s">
        <v>74</v>
      </c>
      <c r="E403" s="228">
        <v>2</v>
      </c>
      <c r="F403" s="174" t="s">
        <v>1353</v>
      </c>
      <c r="G403" s="233" t="s">
        <v>1358</v>
      </c>
      <c r="H403" s="233" t="s">
        <v>1359</v>
      </c>
      <c r="I403" s="880">
        <v>1190000</v>
      </c>
      <c r="J403" s="902">
        <v>1190000</v>
      </c>
      <c r="K403" s="860" t="s">
        <v>1365</v>
      </c>
      <c r="L403" s="849" t="s">
        <v>1366</v>
      </c>
      <c r="M403" s="228" t="s">
        <v>1442</v>
      </c>
      <c r="N403" s="228" t="s">
        <v>1508</v>
      </c>
      <c r="O403" s="866" t="s">
        <v>1509</v>
      </c>
      <c r="P403" s="856" t="s">
        <v>1370</v>
      </c>
      <c r="Q403" s="856" t="s">
        <v>1371</v>
      </c>
      <c r="R403" s="856" t="s">
        <v>1365</v>
      </c>
      <c r="S403" s="232" t="s">
        <v>1365</v>
      </c>
    </row>
    <row r="404" spans="1:19" ht="43" customHeight="1" x14ac:dyDescent="0.35">
      <c r="A404" s="831" t="s">
        <v>1015</v>
      </c>
      <c r="B404" s="861" t="s">
        <v>1340</v>
      </c>
      <c r="C404" s="228" t="s">
        <v>76</v>
      </c>
      <c r="D404" s="228" t="s">
        <v>76</v>
      </c>
      <c r="E404" s="228">
        <v>1</v>
      </c>
      <c r="F404" s="174" t="s">
        <v>1353</v>
      </c>
      <c r="G404" s="233" t="s">
        <v>1358</v>
      </c>
      <c r="H404" s="233" t="s">
        <v>1359</v>
      </c>
      <c r="I404" s="880">
        <v>714000</v>
      </c>
      <c r="J404" s="902">
        <v>714000</v>
      </c>
      <c r="K404" s="860" t="s">
        <v>1365</v>
      </c>
      <c r="L404" s="849" t="s">
        <v>1366</v>
      </c>
      <c r="M404" s="228" t="s">
        <v>1442</v>
      </c>
      <c r="N404" s="228" t="s">
        <v>1508</v>
      </c>
      <c r="O404" s="866" t="s">
        <v>1509</v>
      </c>
      <c r="P404" s="856" t="s">
        <v>1370</v>
      </c>
      <c r="Q404" s="856" t="s">
        <v>1371</v>
      </c>
      <c r="R404" s="856" t="s">
        <v>1365</v>
      </c>
      <c r="S404" s="232" t="s">
        <v>1365</v>
      </c>
    </row>
    <row r="405" spans="1:19" ht="43" customHeight="1" x14ac:dyDescent="0.35">
      <c r="A405" s="844">
        <v>39112505</v>
      </c>
      <c r="B405" s="861" t="s">
        <v>1341</v>
      </c>
      <c r="C405" s="228" t="s">
        <v>75</v>
      </c>
      <c r="D405" s="228" t="s">
        <v>75</v>
      </c>
      <c r="E405" s="228">
        <v>10</v>
      </c>
      <c r="F405" s="174" t="s">
        <v>1353</v>
      </c>
      <c r="G405" s="233" t="s">
        <v>1355</v>
      </c>
      <c r="H405" s="233" t="s">
        <v>1359</v>
      </c>
      <c r="I405" s="880">
        <v>7140000</v>
      </c>
      <c r="J405" s="902">
        <v>7140000</v>
      </c>
      <c r="K405" s="860" t="s">
        <v>1365</v>
      </c>
      <c r="L405" s="849" t="s">
        <v>1366</v>
      </c>
      <c r="M405" s="228" t="s">
        <v>1442</v>
      </c>
      <c r="N405" s="228" t="s">
        <v>1508</v>
      </c>
      <c r="O405" s="866" t="s">
        <v>1509</v>
      </c>
      <c r="P405" s="856" t="s">
        <v>1370</v>
      </c>
      <c r="Q405" s="856" t="s">
        <v>1371</v>
      </c>
      <c r="R405" s="856" t="s">
        <v>1365</v>
      </c>
      <c r="S405" s="232" t="s">
        <v>1365</v>
      </c>
    </row>
    <row r="406" spans="1:19" ht="43" customHeight="1" x14ac:dyDescent="0.35">
      <c r="A406" s="845" t="s">
        <v>1020</v>
      </c>
      <c r="B406" s="870" t="s">
        <v>1342</v>
      </c>
      <c r="C406" s="228" t="s">
        <v>78</v>
      </c>
      <c r="D406" s="228" t="s">
        <v>78</v>
      </c>
      <c r="E406" s="228">
        <v>1</v>
      </c>
      <c r="F406" s="174" t="s">
        <v>1353</v>
      </c>
      <c r="G406" s="233" t="s">
        <v>1355</v>
      </c>
      <c r="H406" s="233" t="s">
        <v>1359</v>
      </c>
      <c r="I406" s="880">
        <v>4760000</v>
      </c>
      <c r="J406" s="902">
        <v>4760000</v>
      </c>
      <c r="K406" s="860" t="s">
        <v>1365</v>
      </c>
      <c r="L406" s="849" t="s">
        <v>1366</v>
      </c>
      <c r="M406" s="228" t="s">
        <v>1442</v>
      </c>
      <c r="N406" s="228" t="s">
        <v>1508</v>
      </c>
      <c r="O406" s="866" t="s">
        <v>1509</v>
      </c>
      <c r="P406" s="856" t="s">
        <v>1370</v>
      </c>
      <c r="Q406" s="856" t="s">
        <v>1371</v>
      </c>
      <c r="R406" s="856" t="s">
        <v>1365</v>
      </c>
      <c r="S406" s="232" t="s">
        <v>1365</v>
      </c>
    </row>
    <row r="407" spans="1:19" ht="43" customHeight="1" x14ac:dyDescent="0.35">
      <c r="A407" s="845">
        <v>72101511</v>
      </c>
      <c r="B407" s="861" t="s">
        <v>1258</v>
      </c>
      <c r="C407" s="228" t="s">
        <v>70</v>
      </c>
      <c r="D407" s="228" t="s">
        <v>70</v>
      </c>
      <c r="E407" s="228">
        <v>10</v>
      </c>
      <c r="F407" s="174" t="s">
        <v>1353</v>
      </c>
      <c r="G407" s="233" t="s">
        <v>1355</v>
      </c>
      <c r="H407" s="233" t="s">
        <v>1359</v>
      </c>
      <c r="I407" s="880">
        <v>13090000</v>
      </c>
      <c r="J407" s="902">
        <v>13090000</v>
      </c>
      <c r="K407" s="860" t="s">
        <v>1365</v>
      </c>
      <c r="L407" s="849" t="s">
        <v>1366</v>
      </c>
      <c r="M407" s="228" t="s">
        <v>1442</v>
      </c>
      <c r="N407" s="228" t="s">
        <v>1508</v>
      </c>
      <c r="O407" s="866" t="s">
        <v>1509</v>
      </c>
      <c r="P407" s="856" t="s">
        <v>1370</v>
      </c>
      <c r="Q407" s="856" t="s">
        <v>1371</v>
      </c>
      <c r="R407" s="856" t="s">
        <v>1365</v>
      </c>
      <c r="S407" s="232" t="s">
        <v>1365</v>
      </c>
    </row>
    <row r="408" spans="1:19" ht="43" customHeight="1" x14ac:dyDescent="0.35">
      <c r="A408" s="845" t="s">
        <v>996</v>
      </c>
      <c r="B408" s="861" t="s">
        <v>1343</v>
      </c>
      <c r="C408" s="228" t="s">
        <v>77</v>
      </c>
      <c r="D408" s="228" t="s">
        <v>77</v>
      </c>
      <c r="E408" s="228">
        <v>1</v>
      </c>
      <c r="F408" s="174" t="s">
        <v>1353</v>
      </c>
      <c r="G408" s="233" t="s">
        <v>1358</v>
      </c>
      <c r="H408" s="233" t="s">
        <v>1359</v>
      </c>
      <c r="I408" s="880">
        <v>1428000</v>
      </c>
      <c r="J408" s="902">
        <v>1428000</v>
      </c>
      <c r="K408" s="860" t="s">
        <v>1365</v>
      </c>
      <c r="L408" s="849" t="s">
        <v>1366</v>
      </c>
      <c r="M408" s="228" t="s">
        <v>1442</v>
      </c>
      <c r="N408" s="228" t="s">
        <v>1508</v>
      </c>
      <c r="O408" s="866" t="s">
        <v>1509</v>
      </c>
      <c r="P408" s="856" t="s">
        <v>1370</v>
      </c>
      <c r="Q408" s="856" t="s">
        <v>1371</v>
      </c>
      <c r="R408" s="856" t="s">
        <v>1365</v>
      </c>
      <c r="S408" s="232" t="s">
        <v>1365</v>
      </c>
    </row>
    <row r="409" spans="1:19" ht="43" customHeight="1" x14ac:dyDescent="0.35">
      <c r="A409" s="831" t="s">
        <v>1015</v>
      </c>
      <c r="B409" s="861" t="s">
        <v>1340</v>
      </c>
      <c r="C409" s="228" t="s">
        <v>76</v>
      </c>
      <c r="D409" s="228" t="s">
        <v>76</v>
      </c>
      <c r="E409" s="228">
        <v>1</v>
      </c>
      <c r="F409" s="174" t="s">
        <v>1353</v>
      </c>
      <c r="G409" s="233" t="s">
        <v>1358</v>
      </c>
      <c r="H409" s="233" t="s">
        <v>1359</v>
      </c>
      <c r="I409" s="880">
        <v>714000</v>
      </c>
      <c r="J409" s="902">
        <v>714000</v>
      </c>
      <c r="K409" s="860" t="s">
        <v>1365</v>
      </c>
      <c r="L409" s="849" t="s">
        <v>1366</v>
      </c>
      <c r="M409" s="228" t="s">
        <v>1442</v>
      </c>
      <c r="N409" s="228" t="s">
        <v>1508</v>
      </c>
      <c r="O409" s="866" t="s">
        <v>1509</v>
      </c>
      <c r="P409" s="856" t="s">
        <v>1370</v>
      </c>
      <c r="Q409" s="856" t="s">
        <v>1371</v>
      </c>
      <c r="R409" s="856" t="s">
        <v>1365</v>
      </c>
      <c r="S409" s="232" t="s">
        <v>1365</v>
      </c>
    </row>
    <row r="410" spans="1:19" ht="43" customHeight="1" x14ac:dyDescent="0.35">
      <c r="A410" s="844">
        <v>90101600</v>
      </c>
      <c r="B410" s="860" t="s">
        <v>1220</v>
      </c>
      <c r="C410" s="228" t="s">
        <v>72</v>
      </c>
      <c r="D410" s="228" t="s">
        <v>71</v>
      </c>
      <c r="E410" s="228">
        <v>1</v>
      </c>
      <c r="F410" s="174" t="s">
        <v>1353</v>
      </c>
      <c r="G410" s="233" t="s">
        <v>1355</v>
      </c>
      <c r="H410" s="233" t="s">
        <v>1359</v>
      </c>
      <c r="I410" s="880">
        <v>4760000</v>
      </c>
      <c r="J410" s="902">
        <v>4760000</v>
      </c>
      <c r="K410" s="860" t="s">
        <v>1365</v>
      </c>
      <c r="L410" s="860" t="s">
        <v>1366</v>
      </c>
      <c r="M410" s="228" t="s">
        <v>1442</v>
      </c>
      <c r="N410" s="228" t="s">
        <v>1508</v>
      </c>
      <c r="O410" s="866" t="s">
        <v>1510</v>
      </c>
      <c r="P410" s="856" t="s">
        <v>1370</v>
      </c>
      <c r="Q410" s="856" t="s">
        <v>1371</v>
      </c>
      <c r="R410" s="856" t="s">
        <v>1365</v>
      </c>
      <c r="S410" s="232" t="s">
        <v>1365</v>
      </c>
    </row>
    <row r="411" spans="1:19" ht="43" customHeight="1" x14ac:dyDescent="0.35">
      <c r="A411" s="844">
        <v>80141902</v>
      </c>
      <c r="B411" s="860" t="s">
        <v>1221</v>
      </c>
      <c r="C411" s="228" t="s">
        <v>80</v>
      </c>
      <c r="D411" s="228" t="s">
        <v>79</v>
      </c>
      <c r="E411" s="228">
        <v>1</v>
      </c>
      <c r="F411" s="174" t="s">
        <v>1353</v>
      </c>
      <c r="G411" s="233" t="s">
        <v>1355</v>
      </c>
      <c r="H411" s="233" t="s">
        <v>1359</v>
      </c>
      <c r="I411" s="880">
        <v>4760000</v>
      </c>
      <c r="J411" s="902">
        <v>4760000</v>
      </c>
      <c r="K411" s="860" t="s">
        <v>1365</v>
      </c>
      <c r="L411" s="860" t="s">
        <v>1366</v>
      </c>
      <c r="M411" s="228" t="s">
        <v>1442</v>
      </c>
      <c r="N411" s="228" t="s">
        <v>1508</v>
      </c>
      <c r="O411" s="866" t="s">
        <v>1510</v>
      </c>
      <c r="P411" s="856" t="s">
        <v>1370</v>
      </c>
      <c r="Q411" s="856" t="s">
        <v>1371</v>
      </c>
      <c r="R411" s="856" t="s">
        <v>1365</v>
      </c>
      <c r="S411" s="232" t="s">
        <v>1365</v>
      </c>
    </row>
    <row r="412" spans="1:19" ht="43" customHeight="1" x14ac:dyDescent="0.35">
      <c r="A412" s="844">
        <v>82121507</v>
      </c>
      <c r="B412" s="862" t="s">
        <v>1344</v>
      </c>
      <c r="C412" s="228" t="s">
        <v>72</v>
      </c>
      <c r="D412" s="228" t="s">
        <v>73</v>
      </c>
      <c r="E412" s="877">
        <v>7</v>
      </c>
      <c r="F412" s="174" t="s">
        <v>1353</v>
      </c>
      <c r="G412" s="228" t="s">
        <v>1355</v>
      </c>
      <c r="H412" s="233" t="s">
        <v>1359</v>
      </c>
      <c r="I412" s="880">
        <v>22248240</v>
      </c>
      <c r="J412" s="902">
        <v>22248240</v>
      </c>
      <c r="K412" s="862" t="s">
        <v>1365</v>
      </c>
      <c r="L412" s="849" t="s">
        <v>1366</v>
      </c>
      <c r="M412" s="228" t="s">
        <v>1442</v>
      </c>
      <c r="N412" s="228" t="s">
        <v>1511</v>
      </c>
      <c r="O412" s="912" t="s">
        <v>1464</v>
      </c>
      <c r="P412" s="856" t="s">
        <v>1370</v>
      </c>
      <c r="Q412" s="856" t="s">
        <v>1371</v>
      </c>
      <c r="R412" s="856" t="s">
        <v>1365</v>
      </c>
      <c r="S412" s="232" t="s">
        <v>1365</v>
      </c>
    </row>
    <row r="413" spans="1:19" ht="43" customHeight="1" x14ac:dyDescent="0.35">
      <c r="A413" s="844">
        <v>90101600</v>
      </c>
      <c r="B413" s="860" t="s">
        <v>1220</v>
      </c>
      <c r="C413" s="228" t="s">
        <v>72</v>
      </c>
      <c r="D413" s="228" t="s">
        <v>71</v>
      </c>
      <c r="E413" s="228">
        <v>1</v>
      </c>
      <c r="F413" s="174" t="s">
        <v>1353</v>
      </c>
      <c r="G413" s="233" t="s">
        <v>1355</v>
      </c>
      <c r="H413" s="233" t="s">
        <v>1359</v>
      </c>
      <c r="I413" s="880">
        <v>3788157.94</v>
      </c>
      <c r="J413" s="902">
        <v>3788157.94</v>
      </c>
      <c r="K413" s="860" t="s">
        <v>1365</v>
      </c>
      <c r="L413" s="860" t="s">
        <v>1366</v>
      </c>
      <c r="M413" s="228" t="s">
        <v>1442</v>
      </c>
      <c r="N413" s="228" t="s">
        <v>1504</v>
      </c>
      <c r="O413" s="866" t="s">
        <v>1512</v>
      </c>
      <c r="P413" s="856" t="s">
        <v>1370</v>
      </c>
      <c r="Q413" s="856" t="s">
        <v>1371</v>
      </c>
      <c r="R413" s="856" t="s">
        <v>1365</v>
      </c>
      <c r="S413" s="232" t="s">
        <v>1365</v>
      </c>
    </row>
    <row r="414" spans="1:19" ht="43" customHeight="1" x14ac:dyDescent="0.35">
      <c r="A414" s="844">
        <v>80141902</v>
      </c>
      <c r="B414" s="860" t="s">
        <v>1221</v>
      </c>
      <c r="C414" s="228" t="s">
        <v>80</v>
      </c>
      <c r="D414" s="228" t="s">
        <v>79</v>
      </c>
      <c r="E414" s="228">
        <v>1</v>
      </c>
      <c r="F414" s="174" t="s">
        <v>1353</v>
      </c>
      <c r="G414" s="233" t="s">
        <v>1355</v>
      </c>
      <c r="H414" s="233" t="s">
        <v>1359</v>
      </c>
      <c r="I414" s="880">
        <v>3788157.94</v>
      </c>
      <c r="J414" s="902">
        <v>3788157.94</v>
      </c>
      <c r="K414" s="860" t="s">
        <v>1365</v>
      </c>
      <c r="L414" s="860" t="s">
        <v>1366</v>
      </c>
      <c r="M414" s="228" t="s">
        <v>1442</v>
      </c>
      <c r="N414" s="228" t="s">
        <v>1504</v>
      </c>
      <c r="O414" s="866" t="s">
        <v>1512</v>
      </c>
      <c r="P414" s="856" t="s">
        <v>1370</v>
      </c>
      <c r="Q414" s="856" t="s">
        <v>1371</v>
      </c>
      <c r="R414" s="856" t="s">
        <v>1365</v>
      </c>
      <c r="S414" s="232" t="s">
        <v>1365</v>
      </c>
    </row>
    <row r="415" spans="1:19" x14ac:dyDescent="0.35">
      <c r="I415" s="885">
        <f>SUBTOTAL(109,'[7]PAA 2024 Preliminar'!$I$3:$I$405)</f>
        <v>252016307443.91684</v>
      </c>
      <c r="J415" s="885">
        <f>SUBTOTAL(109,'[7]PAA 2024 Preliminar'!$J$3:$J$405)</f>
        <v>106420756673.58572</v>
      </c>
    </row>
  </sheetData>
  <sheetProtection algorithmName="SHA-512" hashValue="IrHvH6SCks1SwWqhE8ncG0oi/NMsNc4idojBS/HJyq3OLmD14gw2nbKXy/Uup4NESEVaCndehndR74BvsG6ykg==" saltValue="kqGneuYoPhJigQSJvBPoEA==" spinCount="100000" sheet="1" formatCells="0" formatColumns="0" formatRows="0" insertColumns="0" insertRows="0" insertHyperlinks="0" deleteColumns="0" deleteRows="0" sort="0" autoFilter="0" pivotTables="0"/>
  <autoFilter ref="A11:S414" xr:uid="{4A8A54E6-0E3C-4D28-A4A6-20A8902E70B4}"/>
  <mergeCells count="20">
    <mergeCell ref="X6:Y10"/>
    <mergeCell ref="Z6:AA10"/>
    <mergeCell ref="E4:E5"/>
    <mergeCell ref="A1:A3"/>
    <mergeCell ref="B1:AA3"/>
    <mergeCell ref="A4:A5"/>
    <mergeCell ref="A6:A10"/>
    <mergeCell ref="B6:B10"/>
    <mergeCell ref="V6:W10"/>
    <mergeCell ref="L6:M10"/>
    <mergeCell ref="K6:K10"/>
    <mergeCell ref="I6:J10"/>
    <mergeCell ref="F6:G10"/>
    <mergeCell ref="E6:E10"/>
    <mergeCell ref="C6:D10"/>
    <mergeCell ref="N6:O10"/>
    <mergeCell ref="P6:Q10"/>
    <mergeCell ref="R6:S10"/>
    <mergeCell ref="T6:U10"/>
    <mergeCell ref="H6:H10"/>
  </mergeCells>
  <conditionalFormatting sqref="G4">
    <cfRule type="cellIs" dxfId="127" priority="16" operator="lessThanOrEqual">
      <formula>#REF!</formula>
    </cfRule>
  </conditionalFormatting>
  <conditionalFormatting sqref="H6">
    <cfRule type="cellIs" dxfId="126" priority="14" operator="greaterThanOrEqual">
      <formula>#REF!</formula>
    </cfRule>
    <cfRule type="cellIs" dxfId="125" priority="15" operator="lessThanOrEqual">
      <formula>#REF!</formula>
    </cfRule>
    <cfRule type="cellIs" dxfId="124" priority="17" operator="between">
      <formula>#REF!</formula>
      <formula>#REF!</formula>
    </cfRule>
  </conditionalFormatting>
  <conditionalFormatting sqref="N6">
    <cfRule type="cellIs" dxfId="123" priority="10" operator="greaterThanOrEqual">
      <formula>$G$5</formula>
    </cfRule>
    <cfRule type="cellIs" dxfId="122" priority="11" operator="lessThanOrEqual">
      <formula>$G$4</formula>
    </cfRule>
    <cfRule type="cellIs" dxfId="121" priority="12" operator="between">
      <formula>$G$5</formula>
      <formula>$G$4</formula>
    </cfRule>
  </conditionalFormatting>
  <conditionalFormatting sqref="R6">
    <cfRule type="cellIs" dxfId="120" priority="7" operator="greaterThanOrEqual">
      <formula>$G$5</formula>
    </cfRule>
    <cfRule type="cellIs" dxfId="119" priority="8" operator="lessThanOrEqual">
      <formula>$G$4</formula>
    </cfRule>
    <cfRule type="cellIs" dxfId="118" priority="9" operator="between">
      <formula>$G$5</formula>
      <formula>$G$4</formula>
    </cfRule>
  </conditionalFormatting>
  <conditionalFormatting sqref="V6">
    <cfRule type="cellIs" dxfId="117" priority="4" operator="greaterThanOrEqual">
      <formula>$G$5</formula>
    </cfRule>
    <cfRule type="cellIs" dxfId="116" priority="5" operator="lessThanOrEqual">
      <formula>$G$4</formula>
    </cfRule>
    <cfRule type="cellIs" dxfId="115" priority="6" operator="between">
      <formula>$G$5</formula>
      <formula>$G$4</formula>
    </cfRule>
  </conditionalFormatting>
  <conditionalFormatting sqref="Z6">
    <cfRule type="cellIs" dxfId="114" priority="1" operator="greaterThanOrEqual">
      <formula>$G$5</formula>
    </cfRule>
    <cfRule type="cellIs" dxfId="113" priority="2" operator="lessThanOrEqual">
      <formula>$G$4</formula>
    </cfRule>
    <cfRule type="cellIs" dxfId="112" priority="3" operator="between">
      <formula>$G$5</formula>
      <formula>$G$4</formula>
    </cfRule>
  </conditionalFormatting>
  <dataValidations count="6">
    <dataValidation type="whole" allowBlank="1" showInputMessage="1" showErrorMessage="1" sqref="A173:A209 A216 A220:A226" xr:uid="{7B509988-2751-4C14-A6A8-FD29972BEBAD}">
      <formula1>#REF!</formula1>
      <formula2>#REF!</formula2>
    </dataValidation>
    <dataValidation type="whole" allowBlank="1" showInputMessage="1" showErrorMessage="1" errorTitle="CÓDIGO" error="SOLO CÓDIGOS DEL SIGUIENTE LINK https://www.colombiacompra.gov.co/clasificador-de-bienes-y-Servicios UBICADO EN EL TÍTULO DE ESTA COLUMNA" sqref="A14 A20 A22:A23 A51 A148" xr:uid="{A7E9FED6-9469-4798-8897-8C0FA65C38A3}">
      <formula1>10101500</formula1>
      <formula2>95141904</formula2>
    </dataValidation>
    <dataValidation type="whole" operator="greaterThanOrEqual" allowBlank="1" showInputMessage="1" showErrorMessage="1" errorTitle="DURACIÓN EN DÍAS" error="SOLO VALORES NUMÉRICOS" sqref="E144:E146 E182:E199 E202:E209 E173:E180" xr:uid="{E9111001-936B-4C80-966F-551302F2FB3E}">
      <formula1>1</formula1>
    </dataValidation>
    <dataValidation operator="greaterThanOrEqual" allowBlank="1" showInputMessage="1" showErrorMessage="1" errorTitle="VALOR" error="SOLO VALORES NUMÉRICOS" sqref="I373:J414 I70:J143 I150:J371 I12:J68" xr:uid="{71840889-5B4F-4AD4-A2B1-E9F1C2F36F19}"/>
    <dataValidation type="whole" allowBlank="1" showInputMessage="1" showErrorMessage="1" sqref="J216 J33:J34 J87:J89 J73 J75:J76 J78 J81 J83 J41:J46 J210:J211 J15:J16 J22:J23 J25 J18:J20 J55 J91:J97 J99:J102 J119:J130 J132:J136 J181 J184:J185 J188 J195:J202 J140:J176 J220:J414" xr:uid="{BBA4AEDE-72F0-4212-B6BE-705F1EE2E378}">
      <formula1>0</formula1>
      <formula2>9.99999999999999E+56</formula2>
    </dataValidation>
    <dataValidation type="list" allowBlank="1" showInputMessage="1" showErrorMessage="1" errorTitle="VIGENCIA FUTURA" error="ELIJA ÚNICAMENTE SO O NO" sqref="K31:K34 K41:K89 K91:K92 K220:K250 K263:K314 K322:K335 K340:K414 K14:K29 K94:K216" xr:uid="{1E4CD030-D969-470E-A313-721491203C4E}">
      <formula1>"SI,NO"</formula1>
    </dataValidation>
  </dataValidations>
  <pageMargins left="0.7" right="0.7" top="0.75" bottom="0.75" header="0.3" footer="0.3"/>
  <pageSetup scale="14" orientation="portrait" r:id="rId1"/>
  <headerFooter>
    <oddFooter>&amp;C_x000D_&amp;1#&amp;"Calibri"&amp;10&amp;K008000 DOCUMENTO PÚBLICO</oddFooter>
  </headerFooter>
  <colBreaks count="1" manualBreakCount="1">
    <brk id="19" max="319" man="1"/>
  </col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76" zoomScaleNormal="10" zoomScaleSheetLayoutView="76" zoomScalePageLayoutView="48" workbookViewId="0">
      <selection activeCell="D16" sqref="D16:D17"/>
    </sheetView>
  </sheetViews>
  <sheetFormatPr baseColWidth="10" defaultColWidth="12.54296875" defaultRowHeight="15" customHeight="1" x14ac:dyDescent="0.35"/>
  <cols>
    <col min="1" max="1" width="7.26953125" style="1" customWidth="1"/>
    <col min="2" max="2" width="28.54296875" style="1" customWidth="1"/>
    <col min="3" max="3" width="36"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26953125" style="1" customWidth="1"/>
    <col min="15" max="17" width="13.7265625" style="1" hidden="1" customWidth="1"/>
    <col min="18" max="30" width="9.54296875" style="1" hidden="1" customWidth="1"/>
    <col min="31" max="31" width="35.7265625" style="1" hidden="1" customWidth="1"/>
    <col min="32" max="34" width="42.54296875" style="1" hidden="1" customWidth="1"/>
    <col min="35" max="16384" width="12.54296875" style="1"/>
  </cols>
  <sheetData>
    <row r="1" spans="1:34" s="58" customFormat="1" ht="15" customHeight="1" x14ac:dyDescent="0.35">
      <c r="A1" s="338"/>
      <c r="B1" s="339"/>
      <c r="C1" s="340"/>
      <c r="D1" s="284" t="s">
        <v>832</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row>
    <row r="2" spans="1:34"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row>
    <row r="3" spans="1:34" s="58" customFormat="1" ht="60" customHeight="1" thickBot="1" x14ac:dyDescent="0.4">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row>
    <row r="4" spans="1:34" s="58" customFormat="1" ht="60" hidden="1" customHeight="1" thickBot="1" x14ac:dyDescent="0.4">
      <c r="A4" s="337" t="s">
        <v>35</v>
      </c>
      <c r="B4" s="8" t="s">
        <v>36</v>
      </c>
      <c r="C4" s="10">
        <v>0.7</v>
      </c>
      <c r="D4" s="10"/>
      <c r="E4" s="10"/>
      <c r="F4" s="9"/>
      <c r="G4" s="337" t="s">
        <v>37</v>
      </c>
      <c r="H4" s="8" t="s">
        <v>36</v>
      </c>
      <c r="I4" s="10">
        <v>0.7</v>
      </c>
      <c r="J4" s="59"/>
      <c r="K4" s="60"/>
      <c r="L4" s="60"/>
      <c r="M4" s="60"/>
      <c r="N4" s="60"/>
      <c r="O4" s="60"/>
      <c r="P4" s="60"/>
      <c r="Q4" s="60"/>
      <c r="R4" s="60"/>
      <c r="S4" s="60"/>
      <c r="T4" s="60"/>
      <c r="U4" s="60"/>
      <c r="V4" s="60"/>
      <c r="W4" s="60"/>
      <c r="X4" s="60"/>
      <c r="Y4" s="60"/>
      <c r="Z4" s="60"/>
      <c r="AA4" s="60"/>
      <c r="AB4" s="60"/>
      <c r="AC4" s="60"/>
      <c r="AD4" s="60"/>
      <c r="AE4" s="60"/>
      <c r="AF4" s="60"/>
    </row>
    <row r="5" spans="1:34" s="58" customFormat="1" ht="60" hidden="1" customHeight="1" x14ac:dyDescent="0.35">
      <c r="A5" s="337"/>
      <c r="B5" s="8" t="s">
        <v>38</v>
      </c>
      <c r="C5" s="11">
        <v>0.9</v>
      </c>
      <c r="D5" s="11"/>
      <c r="E5" s="11"/>
      <c r="F5" s="11">
        <v>1</v>
      </c>
      <c r="G5" s="337"/>
      <c r="H5" s="8" t="s">
        <v>38</v>
      </c>
      <c r="I5" s="11">
        <v>0.95</v>
      </c>
      <c r="J5" s="59"/>
      <c r="K5" s="60"/>
      <c r="L5" s="60"/>
      <c r="M5" s="60"/>
      <c r="N5" s="60"/>
      <c r="O5" s="60"/>
      <c r="P5" s="60"/>
      <c r="Q5" s="60"/>
      <c r="R5" s="60"/>
      <c r="S5" s="60"/>
      <c r="T5" s="60"/>
      <c r="U5" s="60"/>
      <c r="V5" s="60"/>
      <c r="W5" s="60"/>
      <c r="X5" s="60"/>
      <c r="Y5" s="60"/>
      <c r="Z5" s="60"/>
      <c r="AA5" s="60"/>
      <c r="AB5" s="60"/>
      <c r="AC5" s="60"/>
      <c r="AD5" s="60"/>
      <c r="AE5" s="60"/>
      <c r="AF5" s="60"/>
    </row>
    <row r="6" spans="1:34" ht="20.149999999999999" hidden="1" customHeight="1" x14ac:dyDescent="0.35">
      <c r="A6" s="442" t="s">
        <v>39</v>
      </c>
      <c r="B6" s="442"/>
      <c r="C6" s="407" t="s">
        <v>123</v>
      </c>
      <c r="D6" s="407"/>
      <c r="E6" s="443" t="s">
        <v>41</v>
      </c>
      <c r="F6" s="443"/>
      <c r="G6" s="409">
        <f>+P15+P17+P19+P21</f>
        <v>1</v>
      </c>
      <c r="H6" s="443" t="s">
        <v>42</v>
      </c>
      <c r="I6" s="443"/>
      <c r="J6" s="518">
        <f>+P14+P16+P18+P20</f>
        <v>1</v>
      </c>
      <c r="K6" s="448" t="s">
        <v>43</v>
      </c>
      <c r="L6" s="449"/>
      <c r="M6" s="334">
        <v>0.95</v>
      </c>
      <c r="N6" s="466" t="s">
        <v>169</v>
      </c>
      <c r="O6" s="481"/>
      <c r="P6" s="324">
        <f>(SUM(X14,X16,X18,X20)/SUM(X15,X17,X19,X21)/M6)</f>
        <v>1.0526315789473684</v>
      </c>
      <c r="Q6" s="286"/>
      <c r="R6" s="437" t="s">
        <v>170</v>
      </c>
      <c r="S6" s="454"/>
      <c r="T6" s="454"/>
      <c r="U6" s="455"/>
      <c r="V6" s="285">
        <f>SUM(AD14,AD16,AD18,AD20)/SUM(AD15,AD17,AD19,AD21)/M6</f>
        <v>1.0526315789473684</v>
      </c>
      <c r="W6" s="324"/>
      <c r="X6" s="324"/>
      <c r="Y6" s="286"/>
      <c r="Z6" s="524" t="s">
        <v>46</v>
      </c>
      <c r="AA6" s="525"/>
      <c r="AB6" s="525"/>
      <c r="AC6" s="525"/>
      <c r="AD6" s="525"/>
      <c r="AE6" s="525"/>
      <c r="AF6" s="525"/>
      <c r="AG6" s="525"/>
    </row>
    <row r="7" spans="1:34" ht="15" hidden="1" customHeight="1" x14ac:dyDescent="0.35">
      <c r="A7" s="442"/>
      <c r="B7" s="442"/>
      <c r="C7" s="407"/>
      <c r="D7" s="407"/>
      <c r="E7" s="443"/>
      <c r="F7" s="443"/>
      <c r="G7" s="410"/>
      <c r="H7" s="443"/>
      <c r="I7" s="443"/>
      <c r="J7" s="519"/>
      <c r="K7" s="450"/>
      <c r="L7" s="451"/>
      <c r="M7" s="335"/>
      <c r="N7" s="466"/>
      <c r="O7" s="481"/>
      <c r="P7" s="325"/>
      <c r="Q7" s="288"/>
      <c r="R7" s="438"/>
      <c r="S7" s="456"/>
      <c r="T7" s="456"/>
      <c r="U7" s="457"/>
      <c r="V7" s="287"/>
      <c r="W7" s="325"/>
      <c r="X7" s="325"/>
      <c r="Y7" s="288"/>
      <c r="Z7" s="526"/>
      <c r="AA7" s="527"/>
      <c r="AB7" s="527"/>
      <c r="AC7" s="527"/>
      <c r="AD7" s="527"/>
      <c r="AE7" s="527"/>
      <c r="AF7" s="527"/>
      <c r="AG7" s="527"/>
    </row>
    <row r="8" spans="1:34" ht="25.4" hidden="1" customHeight="1" x14ac:dyDescent="0.35">
      <c r="A8" s="442"/>
      <c r="B8" s="442"/>
      <c r="C8" s="407"/>
      <c r="D8" s="407"/>
      <c r="E8" s="443"/>
      <c r="F8" s="443"/>
      <c r="G8" s="410"/>
      <c r="H8" s="443"/>
      <c r="I8" s="443"/>
      <c r="J8" s="519"/>
      <c r="K8" s="450"/>
      <c r="L8" s="451"/>
      <c r="M8" s="335"/>
      <c r="N8" s="466"/>
      <c r="O8" s="481"/>
      <c r="P8" s="325"/>
      <c r="Q8" s="288"/>
      <c r="R8" s="438"/>
      <c r="S8" s="456"/>
      <c r="T8" s="456"/>
      <c r="U8" s="457"/>
      <c r="V8" s="287"/>
      <c r="W8" s="325"/>
      <c r="X8" s="325"/>
      <c r="Y8" s="288"/>
      <c r="Z8" s="526"/>
      <c r="AA8" s="527"/>
      <c r="AB8" s="527"/>
      <c r="AC8" s="527"/>
      <c r="AD8" s="527"/>
      <c r="AE8" s="527"/>
      <c r="AF8" s="527"/>
      <c r="AG8" s="527"/>
    </row>
    <row r="9" spans="1:34" ht="25.4" hidden="1" customHeight="1" thickBot="1" x14ac:dyDescent="0.4">
      <c r="A9" s="442"/>
      <c r="B9" s="442"/>
      <c r="C9" s="407"/>
      <c r="D9" s="407"/>
      <c r="E9" s="443"/>
      <c r="F9" s="443"/>
      <c r="G9" s="410"/>
      <c r="H9" s="443"/>
      <c r="I9" s="443"/>
      <c r="J9" s="519"/>
      <c r="K9" s="450"/>
      <c r="L9" s="451"/>
      <c r="M9" s="335"/>
      <c r="N9" s="466"/>
      <c r="O9" s="481"/>
      <c r="P9" s="325"/>
      <c r="Q9" s="288"/>
      <c r="R9" s="438"/>
      <c r="S9" s="456"/>
      <c r="T9" s="456"/>
      <c r="U9" s="457"/>
      <c r="V9" s="287"/>
      <c r="W9" s="325"/>
      <c r="X9" s="325"/>
      <c r="Y9" s="288"/>
      <c r="Z9" s="526"/>
      <c r="AA9" s="527"/>
      <c r="AB9" s="527"/>
      <c r="AC9" s="527"/>
      <c r="AD9" s="527"/>
      <c r="AE9" s="527"/>
      <c r="AF9" s="527"/>
      <c r="AG9" s="527"/>
    </row>
    <row r="10" spans="1:34" ht="15" hidden="1" customHeight="1" thickBot="1" x14ac:dyDescent="0.4">
      <c r="A10" s="442"/>
      <c r="B10" s="442"/>
      <c r="C10" s="407"/>
      <c r="D10" s="407"/>
      <c r="E10" s="443"/>
      <c r="F10" s="443"/>
      <c r="G10" s="444"/>
      <c r="H10" s="443"/>
      <c r="I10" s="443"/>
      <c r="J10" s="520"/>
      <c r="K10" s="452"/>
      <c r="L10" s="453"/>
      <c r="M10" s="336"/>
      <c r="N10" s="466"/>
      <c r="O10" s="481"/>
      <c r="P10" s="326"/>
      <c r="Q10" s="290"/>
      <c r="R10" s="439"/>
      <c r="S10" s="458"/>
      <c r="T10" s="458"/>
      <c r="U10" s="459"/>
      <c r="V10" s="289"/>
      <c r="W10" s="326"/>
      <c r="X10" s="326"/>
      <c r="Y10" s="290"/>
      <c r="Z10" s="528"/>
      <c r="AA10" s="529"/>
      <c r="AB10" s="529"/>
      <c r="AC10" s="529"/>
      <c r="AD10" s="529"/>
      <c r="AE10" s="529"/>
      <c r="AF10" s="529"/>
      <c r="AG10" s="529"/>
    </row>
    <row r="11" spans="1:34" s="12" customFormat="1" ht="40.4" customHeight="1" thickBot="1" x14ac:dyDescent="0.4">
      <c r="A11" s="359" t="s">
        <v>48</v>
      </c>
      <c r="B11" s="359"/>
      <c r="C11" s="359"/>
      <c r="D11" s="359"/>
      <c r="E11" s="359"/>
      <c r="F11" s="360"/>
      <c r="G11" s="361" t="s">
        <v>790</v>
      </c>
      <c r="H11" s="362"/>
      <c r="I11" s="362"/>
      <c r="J11" s="362"/>
      <c r="K11" s="362"/>
      <c r="L11" s="362"/>
      <c r="M11" s="362"/>
      <c r="N11" s="362"/>
      <c r="O11" s="521" t="s">
        <v>50</v>
      </c>
      <c r="P11" s="522"/>
      <c r="Q11" s="522"/>
      <c r="R11" s="522"/>
      <c r="S11" s="522"/>
      <c r="T11" s="522"/>
      <c r="U11" s="522"/>
      <c r="V11" s="522"/>
      <c r="W11" s="522"/>
      <c r="X11" s="522"/>
      <c r="Y11" s="522"/>
      <c r="Z11" s="522"/>
      <c r="AA11" s="522"/>
      <c r="AB11" s="522"/>
      <c r="AC11" s="522"/>
      <c r="AD11" s="523"/>
      <c r="AE11" s="521" t="s">
        <v>51</v>
      </c>
      <c r="AF11" s="522"/>
      <c r="AG11" s="522"/>
      <c r="AH11" s="522"/>
    </row>
    <row r="12" spans="1:34" ht="39" customHeight="1" x14ac:dyDescent="0.35">
      <c r="A12" s="364" t="s">
        <v>52</v>
      </c>
      <c r="B12" s="366" t="s">
        <v>53</v>
      </c>
      <c r="C12" s="366" t="s">
        <v>54</v>
      </c>
      <c r="D12" s="366" t="s">
        <v>55</v>
      </c>
      <c r="E12" s="366" t="s">
        <v>56</v>
      </c>
      <c r="F12" s="366" t="s">
        <v>31</v>
      </c>
      <c r="G12" s="366" t="s">
        <v>57</v>
      </c>
      <c r="H12" s="366" t="s">
        <v>171</v>
      </c>
      <c r="I12" s="366" t="s">
        <v>60</v>
      </c>
      <c r="J12" s="366" t="s">
        <v>61</v>
      </c>
      <c r="K12" s="366" t="s">
        <v>62</v>
      </c>
      <c r="L12" s="366" t="s">
        <v>63</v>
      </c>
      <c r="M12" s="366" t="s">
        <v>64</v>
      </c>
      <c r="N12" s="366" t="s">
        <v>65</v>
      </c>
      <c r="O12" s="491" t="s">
        <v>66</v>
      </c>
      <c r="P12" s="492" t="s">
        <v>67</v>
      </c>
      <c r="Q12" s="493" t="s">
        <v>68</v>
      </c>
      <c r="R12" s="512" t="s">
        <v>69</v>
      </c>
      <c r="S12" s="510" t="s">
        <v>70</v>
      </c>
      <c r="T12" s="508" t="s">
        <v>71</v>
      </c>
      <c r="U12" s="514" t="s">
        <v>72</v>
      </c>
      <c r="V12" s="516" t="s">
        <v>73</v>
      </c>
      <c r="W12" s="514" t="s">
        <v>74</v>
      </c>
      <c r="X12" s="508" t="s">
        <v>74</v>
      </c>
      <c r="Y12" s="510" t="s">
        <v>76</v>
      </c>
      <c r="Z12" s="512" t="s">
        <v>77</v>
      </c>
      <c r="AA12" s="510" t="s">
        <v>78</v>
      </c>
      <c r="AB12" s="508" t="s">
        <v>79</v>
      </c>
      <c r="AC12" s="514" t="s">
        <v>80</v>
      </c>
      <c r="AD12" s="505" t="s">
        <v>81</v>
      </c>
      <c r="AE12" s="507" t="s">
        <v>82</v>
      </c>
      <c r="AF12" s="507" t="s">
        <v>83</v>
      </c>
      <c r="AG12" s="507" t="s">
        <v>84</v>
      </c>
      <c r="AH12" s="507" t="s">
        <v>85</v>
      </c>
    </row>
    <row r="13" spans="1:34" ht="60" customHeight="1" thickBot="1" x14ac:dyDescent="0.4">
      <c r="A13" s="365"/>
      <c r="B13" s="365"/>
      <c r="C13" s="365"/>
      <c r="D13" s="365"/>
      <c r="E13" s="365"/>
      <c r="F13" s="365"/>
      <c r="G13" s="365"/>
      <c r="H13" s="365"/>
      <c r="I13" s="365"/>
      <c r="J13" s="365"/>
      <c r="K13" s="365"/>
      <c r="L13" s="365"/>
      <c r="M13" s="365"/>
      <c r="N13" s="365"/>
      <c r="O13" s="491"/>
      <c r="P13" s="492"/>
      <c r="Q13" s="493"/>
      <c r="R13" s="513"/>
      <c r="S13" s="511"/>
      <c r="T13" s="509"/>
      <c r="U13" s="515"/>
      <c r="V13" s="517"/>
      <c r="W13" s="515"/>
      <c r="X13" s="509"/>
      <c r="Y13" s="511"/>
      <c r="Z13" s="513"/>
      <c r="AA13" s="511"/>
      <c r="AB13" s="509"/>
      <c r="AC13" s="515"/>
      <c r="AD13" s="506"/>
      <c r="AE13" s="507"/>
      <c r="AF13" s="507"/>
      <c r="AG13" s="507"/>
      <c r="AH13" s="507"/>
    </row>
    <row r="14" spans="1:34" ht="40.4" customHeight="1" thickBot="1" x14ac:dyDescent="0.4">
      <c r="A14" s="278">
        <v>1</v>
      </c>
      <c r="B14" s="278" t="s">
        <v>688</v>
      </c>
      <c r="C14" s="278" t="s">
        <v>694</v>
      </c>
      <c r="D14" s="278" t="s">
        <v>121</v>
      </c>
      <c r="E14" s="278" t="s">
        <v>122</v>
      </c>
      <c r="F14" s="354"/>
      <c r="G14" s="278" t="s">
        <v>123</v>
      </c>
      <c r="H14" s="278" t="s">
        <v>833</v>
      </c>
      <c r="I14" s="278" t="s">
        <v>834</v>
      </c>
      <c r="J14" s="348" t="s">
        <v>835</v>
      </c>
      <c r="K14" s="348" t="s">
        <v>156</v>
      </c>
      <c r="L14" s="348" t="s">
        <v>698</v>
      </c>
      <c r="M14" s="351">
        <v>45292</v>
      </c>
      <c r="N14" s="351">
        <v>45657</v>
      </c>
      <c r="O14" s="62" t="s">
        <v>94</v>
      </c>
      <c r="P14" s="53">
        <f>+(P15*Q14)</f>
        <v>0.25</v>
      </c>
      <c r="Q14" s="68">
        <f t="shared" ref="Q14:Q21" si="0">SUM(R14:AD14)</f>
        <v>1</v>
      </c>
      <c r="R14" s="43"/>
      <c r="S14" s="43"/>
      <c r="T14" s="43"/>
      <c r="U14" s="43"/>
      <c r="V14" s="43"/>
      <c r="W14" s="43"/>
      <c r="X14" s="43">
        <v>0.5</v>
      </c>
      <c r="Y14" s="43"/>
      <c r="Z14" s="44"/>
      <c r="AA14" s="44"/>
      <c r="AB14" s="44"/>
      <c r="AC14" s="44"/>
      <c r="AD14" s="44">
        <v>0.5</v>
      </c>
      <c r="AE14" s="433" t="s">
        <v>177</v>
      </c>
      <c r="AF14" s="433" t="s">
        <v>178</v>
      </c>
      <c r="AG14" s="433" t="s">
        <v>179</v>
      </c>
      <c r="AH14" s="433" t="s">
        <v>180</v>
      </c>
    </row>
    <row r="15" spans="1:34" ht="37.4" customHeight="1" thickBot="1" x14ac:dyDescent="0.4">
      <c r="A15" s="279"/>
      <c r="B15" s="279"/>
      <c r="C15" s="279"/>
      <c r="D15" s="279"/>
      <c r="E15" s="279"/>
      <c r="F15" s="358"/>
      <c r="G15" s="279"/>
      <c r="H15" s="279"/>
      <c r="I15" s="279"/>
      <c r="J15" s="349"/>
      <c r="K15" s="349"/>
      <c r="L15" s="349"/>
      <c r="M15" s="349"/>
      <c r="N15" s="349"/>
      <c r="O15" s="62" t="s">
        <v>99</v>
      </c>
      <c r="P15" s="52">
        <f>100%/4</f>
        <v>0.25</v>
      </c>
      <c r="Q15" s="68">
        <f t="shared" si="0"/>
        <v>1</v>
      </c>
      <c r="R15" s="42"/>
      <c r="S15" s="42"/>
      <c r="T15" s="42"/>
      <c r="U15" s="42"/>
      <c r="V15" s="42"/>
      <c r="W15" s="42"/>
      <c r="X15" s="42">
        <v>0.5</v>
      </c>
      <c r="Y15" s="42"/>
      <c r="Z15" s="42"/>
      <c r="AA15" s="42"/>
      <c r="AB15" s="42"/>
      <c r="AC15" s="42"/>
      <c r="AD15" s="42">
        <v>0.5</v>
      </c>
      <c r="AE15" s="434"/>
      <c r="AF15" s="434"/>
      <c r="AG15" s="434"/>
      <c r="AH15" s="434"/>
    </row>
    <row r="16" spans="1:34" ht="37.4" customHeight="1" thickBot="1" x14ac:dyDescent="0.4">
      <c r="A16" s="278">
        <v>2</v>
      </c>
      <c r="B16" s="278" t="s">
        <v>688</v>
      </c>
      <c r="C16" s="278" t="s">
        <v>694</v>
      </c>
      <c r="D16" s="278" t="s">
        <v>121</v>
      </c>
      <c r="E16" s="278" t="s">
        <v>122</v>
      </c>
      <c r="F16" s="354"/>
      <c r="G16" s="278" t="s">
        <v>123</v>
      </c>
      <c r="H16" s="499" t="s">
        <v>181</v>
      </c>
      <c r="I16" s="499" t="s">
        <v>836</v>
      </c>
      <c r="J16" s="348" t="s">
        <v>835</v>
      </c>
      <c r="K16" s="503" t="s">
        <v>182</v>
      </c>
      <c r="L16" s="348" t="s">
        <v>703</v>
      </c>
      <c r="M16" s="351">
        <v>45292</v>
      </c>
      <c r="N16" s="351">
        <v>45657</v>
      </c>
      <c r="O16" s="62" t="s">
        <v>94</v>
      </c>
      <c r="P16" s="53">
        <f>+(P17*Q16)</f>
        <v>0.25</v>
      </c>
      <c r="Q16" s="68">
        <f t="shared" si="0"/>
        <v>1</v>
      </c>
      <c r="R16" s="43"/>
      <c r="S16" s="43"/>
      <c r="T16" s="43"/>
      <c r="U16" s="43"/>
      <c r="V16" s="43"/>
      <c r="W16" s="43"/>
      <c r="X16" s="43">
        <v>0.5</v>
      </c>
      <c r="Y16" s="43"/>
      <c r="Z16" s="44"/>
      <c r="AA16" s="44"/>
      <c r="AB16" s="44"/>
      <c r="AC16" s="44"/>
      <c r="AD16" s="44">
        <v>0.5</v>
      </c>
      <c r="AE16" s="376"/>
      <c r="AF16" s="433" t="s">
        <v>183</v>
      </c>
      <c r="AG16" s="494"/>
      <c r="AH16" s="433" t="s">
        <v>184</v>
      </c>
    </row>
    <row r="17" spans="1:34" ht="37.4" customHeight="1" thickBot="1" x14ac:dyDescent="0.4">
      <c r="A17" s="279"/>
      <c r="B17" s="279"/>
      <c r="C17" s="279"/>
      <c r="D17" s="279"/>
      <c r="E17" s="279"/>
      <c r="F17" s="355"/>
      <c r="G17" s="279"/>
      <c r="H17" s="500"/>
      <c r="I17" s="500"/>
      <c r="J17" s="349"/>
      <c r="K17" s="504"/>
      <c r="L17" s="349"/>
      <c r="M17" s="349"/>
      <c r="N17" s="349"/>
      <c r="O17" s="62" t="s">
        <v>99</v>
      </c>
      <c r="P17" s="52">
        <f>100%/4</f>
        <v>0.25</v>
      </c>
      <c r="Q17" s="68">
        <f t="shared" si="0"/>
        <v>1</v>
      </c>
      <c r="R17" s="42"/>
      <c r="S17" s="42"/>
      <c r="T17" s="42"/>
      <c r="U17" s="42"/>
      <c r="V17" s="42"/>
      <c r="W17" s="42"/>
      <c r="X17" s="42">
        <v>0.5</v>
      </c>
      <c r="Y17" s="42"/>
      <c r="Z17" s="42"/>
      <c r="AA17" s="42"/>
      <c r="AB17" s="42"/>
      <c r="AC17" s="42"/>
      <c r="AD17" s="42">
        <v>0.5</v>
      </c>
      <c r="AE17" s="377"/>
      <c r="AF17" s="434"/>
      <c r="AG17" s="495"/>
      <c r="AH17" s="434"/>
    </row>
    <row r="18" spans="1:34" ht="37.4" customHeight="1" thickBot="1" x14ac:dyDescent="0.4">
      <c r="A18" s="278">
        <v>3</v>
      </c>
      <c r="B18" s="278" t="s">
        <v>688</v>
      </c>
      <c r="C18" s="278" t="s">
        <v>694</v>
      </c>
      <c r="D18" s="278" t="s">
        <v>121</v>
      </c>
      <c r="E18" s="278" t="s">
        <v>122</v>
      </c>
      <c r="F18" s="354"/>
      <c r="G18" s="278" t="s">
        <v>123</v>
      </c>
      <c r="H18" s="499" t="s">
        <v>837</v>
      </c>
      <c r="I18" s="499" t="s">
        <v>838</v>
      </c>
      <c r="J18" s="348" t="s">
        <v>835</v>
      </c>
      <c r="K18" s="501" t="s">
        <v>188</v>
      </c>
      <c r="L18" s="348" t="s">
        <v>703</v>
      </c>
      <c r="M18" s="351">
        <v>45292</v>
      </c>
      <c r="N18" s="351">
        <v>45657</v>
      </c>
      <c r="O18" s="62" t="s">
        <v>94</v>
      </c>
      <c r="P18" s="53">
        <f>+(P19*Q18)</f>
        <v>0.25</v>
      </c>
      <c r="Q18" s="68">
        <f t="shared" si="0"/>
        <v>1</v>
      </c>
      <c r="R18" s="43"/>
      <c r="S18" s="43"/>
      <c r="T18" s="43"/>
      <c r="U18" s="43"/>
      <c r="V18" s="43"/>
      <c r="W18" s="43"/>
      <c r="X18" s="43">
        <v>0.5</v>
      </c>
      <c r="Y18" s="43"/>
      <c r="Z18" s="44"/>
      <c r="AA18" s="44"/>
      <c r="AB18" s="44"/>
      <c r="AC18" s="44"/>
      <c r="AD18" s="44">
        <v>0.5</v>
      </c>
      <c r="AE18" s="376"/>
      <c r="AF18" s="433" t="s">
        <v>186</v>
      </c>
      <c r="AG18" s="494"/>
      <c r="AH18" s="494" t="s">
        <v>187</v>
      </c>
    </row>
    <row r="19" spans="1:34" ht="37.4" customHeight="1" thickBot="1" x14ac:dyDescent="0.4">
      <c r="A19" s="279"/>
      <c r="B19" s="279"/>
      <c r="C19" s="279"/>
      <c r="D19" s="279"/>
      <c r="E19" s="279"/>
      <c r="F19" s="355"/>
      <c r="G19" s="279"/>
      <c r="H19" s="500"/>
      <c r="I19" s="500"/>
      <c r="J19" s="349"/>
      <c r="K19" s="502"/>
      <c r="L19" s="349"/>
      <c r="M19" s="349"/>
      <c r="N19" s="349"/>
      <c r="O19" s="62" t="s">
        <v>99</v>
      </c>
      <c r="P19" s="52">
        <f>100%/4</f>
        <v>0.25</v>
      </c>
      <c r="Q19" s="68">
        <f t="shared" si="0"/>
        <v>1</v>
      </c>
      <c r="R19" s="42"/>
      <c r="S19" s="42"/>
      <c r="T19" s="42"/>
      <c r="U19" s="42"/>
      <c r="V19" s="42"/>
      <c r="W19" s="42"/>
      <c r="X19" s="42">
        <v>0.5</v>
      </c>
      <c r="Y19" s="42"/>
      <c r="Z19" s="42"/>
      <c r="AA19" s="42"/>
      <c r="AB19" s="42"/>
      <c r="AC19" s="42"/>
      <c r="AD19" s="42">
        <v>0.5</v>
      </c>
      <c r="AE19" s="377"/>
      <c r="AF19" s="434"/>
      <c r="AG19" s="495"/>
      <c r="AH19" s="495"/>
    </row>
    <row r="20" spans="1:34" ht="37.4" customHeight="1" thickBot="1" x14ac:dyDescent="0.4">
      <c r="A20" s="278">
        <v>4</v>
      </c>
      <c r="B20" s="278" t="s">
        <v>688</v>
      </c>
      <c r="C20" s="278" t="s">
        <v>694</v>
      </c>
      <c r="D20" s="278" t="s">
        <v>121</v>
      </c>
      <c r="E20" s="278" t="s">
        <v>122</v>
      </c>
      <c r="F20" s="354"/>
      <c r="G20" s="278" t="s">
        <v>123</v>
      </c>
      <c r="H20" s="498" t="s">
        <v>172</v>
      </c>
      <c r="I20" s="278" t="s">
        <v>173</v>
      </c>
      <c r="J20" s="348" t="s">
        <v>835</v>
      </c>
      <c r="K20" s="496" t="s">
        <v>839</v>
      </c>
      <c r="L20" s="348" t="s">
        <v>703</v>
      </c>
      <c r="M20" s="351">
        <v>45292</v>
      </c>
      <c r="N20" s="351">
        <v>45657</v>
      </c>
      <c r="O20" s="62" t="s">
        <v>94</v>
      </c>
      <c r="P20" s="53">
        <f>+(P21*Q20)</f>
        <v>0.25</v>
      </c>
      <c r="Q20" s="68">
        <f t="shared" si="0"/>
        <v>1</v>
      </c>
      <c r="R20" s="43"/>
      <c r="S20" s="43"/>
      <c r="T20" s="43"/>
      <c r="U20" s="43"/>
      <c r="V20" s="43"/>
      <c r="W20" s="43"/>
      <c r="X20" s="43"/>
      <c r="Y20" s="43"/>
      <c r="Z20" s="44"/>
      <c r="AA20" s="44"/>
      <c r="AB20" s="44"/>
      <c r="AC20" s="44"/>
      <c r="AD20" s="44">
        <v>1</v>
      </c>
      <c r="AE20" s="433" t="s">
        <v>190</v>
      </c>
      <c r="AF20" s="433" t="s">
        <v>191</v>
      </c>
      <c r="AG20" s="494" t="s">
        <v>192</v>
      </c>
      <c r="AH20" s="494" t="s">
        <v>193</v>
      </c>
    </row>
    <row r="21" spans="1:34" ht="37.4" customHeight="1" x14ac:dyDescent="0.35">
      <c r="A21" s="279"/>
      <c r="B21" s="279"/>
      <c r="C21" s="279"/>
      <c r="D21" s="279"/>
      <c r="E21" s="279"/>
      <c r="F21" s="355"/>
      <c r="G21" s="279"/>
      <c r="H21" s="498"/>
      <c r="I21" s="279"/>
      <c r="J21" s="349"/>
      <c r="K21" s="497"/>
      <c r="L21" s="349"/>
      <c r="M21" s="349"/>
      <c r="N21" s="349"/>
      <c r="O21" s="62" t="s">
        <v>99</v>
      </c>
      <c r="P21" s="52">
        <f>100%/4</f>
        <v>0.25</v>
      </c>
      <c r="Q21" s="68">
        <f t="shared" si="0"/>
        <v>1</v>
      </c>
      <c r="R21" s="42"/>
      <c r="S21" s="42"/>
      <c r="T21" s="42"/>
      <c r="U21" s="42"/>
      <c r="V21" s="42"/>
      <c r="W21" s="42"/>
      <c r="X21" s="42"/>
      <c r="Y21" s="42"/>
      <c r="Z21" s="42"/>
      <c r="AA21" s="42"/>
      <c r="AB21" s="42"/>
      <c r="AC21" s="42"/>
      <c r="AD21" s="42">
        <v>1</v>
      </c>
      <c r="AE21" s="434"/>
      <c r="AF21" s="434"/>
      <c r="AG21" s="495"/>
      <c r="AH21" s="495"/>
    </row>
    <row r="23" spans="1:34" s="13" customFormat="1" ht="30" hidden="1" customHeight="1" x14ac:dyDescent="0.35">
      <c r="D23" s="371" t="s">
        <v>43</v>
      </c>
      <c r="E23" s="371"/>
      <c r="F23" s="21">
        <v>1</v>
      </c>
      <c r="H23" s="460" t="s">
        <v>134</v>
      </c>
      <c r="I23" s="22" t="s">
        <v>135</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3"/>
    </row>
    <row r="24" spans="1:34" s="13" customFormat="1" ht="30" hidden="1" customHeight="1" x14ac:dyDescent="0.35">
      <c r="D24" s="371"/>
      <c r="E24" s="371"/>
      <c r="F24" s="21"/>
      <c r="H24" s="461"/>
      <c r="I24" s="15" t="s">
        <v>136</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4"/>
    </row>
    <row r="25" spans="1:34" s="13" customFormat="1" ht="30" hidden="1" customHeight="1" x14ac:dyDescent="0.35">
      <c r="H25" s="461"/>
      <c r="I25" s="15" t="s">
        <v>137</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4"/>
    </row>
    <row r="26" spans="1:34" s="13" customFormat="1" ht="30" hidden="1" customHeight="1" x14ac:dyDescent="0.35">
      <c r="H26" s="462"/>
      <c r="I26" s="18" t="s">
        <v>138</v>
      </c>
      <c r="J26" s="19"/>
      <c r="K26" s="35"/>
      <c r="L26" s="35"/>
      <c r="M26" s="35"/>
      <c r="N26" s="35"/>
      <c r="O26" s="35"/>
      <c r="P26" s="38"/>
      <c r="Q26" s="35"/>
      <c r="R26" s="35"/>
      <c r="S26" s="28"/>
      <c r="T26" s="29"/>
      <c r="U26" s="29"/>
      <c r="V26" s="29"/>
      <c r="W26" s="29"/>
      <c r="X26" s="29"/>
      <c r="Y26" s="29"/>
      <c r="Z26" s="29"/>
      <c r="AA26" s="29" t="e">
        <f>+O25+AA25</f>
        <v>#REF!</v>
      </c>
      <c r="AB26" s="40"/>
      <c r="AC26" s="29"/>
      <c r="AD26" s="64"/>
    </row>
    <row r="27" spans="1:34" s="13" customFormat="1" ht="30" hidden="1" customHeight="1" x14ac:dyDescent="0.35">
      <c r="H27" s="463" t="s">
        <v>139</v>
      </c>
      <c r="I27" s="15" t="s">
        <v>140</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3"/>
    </row>
    <row r="28" spans="1:34" s="13" customFormat="1" ht="30" hidden="1" customHeight="1" x14ac:dyDescent="0.35">
      <c r="H28" s="461"/>
      <c r="I28" s="15" t="s">
        <v>141</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3"/>
    </row>
    <row r="29" spans="1:34" s="13" customFormat="1" ht="30" hidden="1" customHeight="1" x14ac:dyDescent="0.35">
      <c r="H29" s="461"/>
      <c r="I29" s="15" t="s">
        <v>142</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4"/>
    </row>
    <row r="30" spans="1:34" s="13" customFormat="1" ht="30" hidden="1" customHeight="1" x14ac:dyDescent="0.35">
      <c r="H30" s="462"/>
      <c r="I30" s="20" t="s">
        <v>143</v>
      </c>
      <c r="J30" s="19"/>
      <c r="K30" s="35"/>
      <c r="L30" s="35"/>
      <c r="M30" s="35"/>
      <c r="N30" s="35"/>
      <c r="O30" s="35"/>
      <c r="P30" s="38"/>
      <c r="Q30" s="35"/>
      <c r="R30" s="35"/>
      <c r="S30" s="28"/>
      <c r="T30" s="29"/>
      <c r="U30" s="29"/>
      <c r="V30" s="29"/>
      <c r="W30" s="29"/>
      <c r="X30" s="29"/>
      <c r="Y30" s="29"/>
      <c r="Z30" s="29"/>
      <c r="AA30" s="29" t="e">
        <f>+O29+AA29</f>
        <v>#REF!</v>
      </c>
      <c r="AB30" s="40"/>
      <c r="AC30" s="41"/>
      <c r="AD30" s="64"/>
    </row>
    <row r="31" spans="1:34" ht="30" hidden="1" customHeight="1" x14ac:dyDescent="0.35">
      <c r="H31" s="24"/>
      <c r="I31" s="372" t="s">
        <v>144</v>
      </c>
      <c r="J31" s="372"/>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5"/>
    </row>
    <row r="32" spans="1:34" ht="30" hidden="1" customHeight="1" x14ac:dyDescent="0.35">
      <c r="H32" s="24"/>
      <c r="I32" s="373" t="s">
        <v>145</v>
      </c>
      <c r="J32" s="373"/>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6"/>
    </row>
    <row r="33" spans="2:30" ht="30" hidden="1" customHeight="1" x14ac:dyDescent="0.35">
      <c r="I33" s="372" t="s">
        <v>146</v>
      </c>
      <c r="J33" s="372"/>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7"/>
    </row>
    <row r="34" spans="2:30" ht="30" hidden="1" customHeight="1" x14ac:dyDescent="0.35">
      <c r="I34" s="373" t="s">
        <v>147</v>
      </c>
      <c r="J34" s="373"/>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7"/>
    </row>
    <row r="35" spans="2:30" ht="30" hidden="1" customHeight="1" x14ac:dyDescent="0.35">
      <c r="I35" s="372" t="s">
        <v>148</v>
      </c>
      <c r="J35" s="372"/>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7"/>
    </row>
    <row r="36" spans="2:30" ht="30" hidden="1" customHeight="1" x14ac:dyDescent="0.35">
      <c r="I36" s="372" t="s">
        <v>149</v>
      </c>
      <c r="J36" s="372"/>
      <c r="K36" s="50"/>
      <c r="L36" s="50"/>
      <c r="M36" s="50"/>
      <c r="N36" s="50"/>
      <c r="O36" s="47" t="e">
        <f>+(#REF!+O24)/$F$23</f>
        <v>#REF!</v>
      </c>
      <c r="P36" s="51"/>
      <c r="Q36" s="50"/>
      <c r="R36" s="50"/>
      <c r="S36" s="50"/>
      <c r="T36" s="50"/>
      <c r="U36" s="50"/>
      <c r="V36" s="50"/>
      <c r="W36" s="50"/>
      <c r="X36" s="50"/>
      <c r="Y36" s="50"/>
      <c r="Z36" s="50"/>
      <c r="AA36" s="47" t="e">
        <f>+(+#REF!+O24+S24+W24+AA24)/$F$23</f>
        <v>#REF!</v>
      </c>
      <c r="AB36" s="51"/>
      <c r="AC36" s="50"/>
      <c r="AD36" s="67"/>
    </row>
    <row r="37" spans="2:30" ht="15" hidden="1" customHeight="1" x14ac:dyDescent="0.35"/>
    <row r="38" spans="2:30" ht="35.15" hidden="1" customHeight="1" x14ac:dyDescent="0.35">
      <c r="H38" s="432" t="s">
        <v>150</v>
      </c>
      <c r="I38" s="432"/>
      <c r="J38" s="30" t="e">
        <f>+#REF!</f>
        <v>#REF!</v>
      </c>
      <c r="K38" s="32"/>
      <c r="L38" s="32"/>
      <c r="M38" s="32"/>
      <c r="N38" s="32"/>
    </row>
    <row r="39" spans="2:30" ht="35.15" hidden="1" customHeight="1" x14ac:dyDescent="0.35">
      <c r="H39" s="432" t="s">
        <v>151</v>
      </c>
      <c r="I39" s="432"/>
      <c r="J39" s="25">
        <f>+F23</f>
        <v>1</v>
      </c>
      <c r="K39" s="32"/>
      <c r="L39" s="32"/>
      <c r="M39" s="32"/>
      <c r="N39" s="32"/>
    </row>
    <row r="40" spans="2:30" ht="35.15" hidden="1" customHeight="1" x14ac:dyDescent="0.35">
      <c r="H40" s="432" t="s">
        <v>152</v>
      </c>
      <c r="I40" s="432"/>
      <c r="J40" s="31" t="e">
        <f>+J38/J39</f>
        <v>#REF!</v>
      </c>
      <c r="K40" s="32"/>
      <c r="L40" s="32"/>
      <c r="M40" s="32"/>
      <c r="N40" s="32"/>
    </row>
    <row r="41" spans="2:30" ht="15" customHeight="1" x14ac:dyDescent="0.35">
      <c r="K41" s="32"/>
      <c r="L41" s="32"/>
      <c r="M41" s="32"/>
      <c r="N41" s="32"/>
    </row>
    <row r="42" spans="2:30" ht="15" hidden="1" customHeight="1" x14ac:dyDescent="0.35">
      <c r="B42" s="368" t="s">
        <v>53</v>
      </c>
      <c r="C42" s="368" t="s">
        <v>54</v>
      </c>
      <c r="D42" s="368" t="s">
        <v>55</v>
      </c>
      <c r="E42" s="368" t="s">
        <v>56</v>
      </c>
      <c r="F42" s="368" t="s">
        <v>31</v>
      </c>
      <c r="G42" s="370" t="s">
        <v>57</v>
      </c>
      <c r="M42" s="370" t="s">
        <v>687</v>
      </c>
      <c r="N42" s="32"/>
    </row>
    <row r="43" spans="2:30" ht="15" hidden="1" customHeight="1" x14ac:dyDescent="0.35">
      <c r="B43" s="369"/>
      <c r="C43" s="369"/>
      <c r="D43" s="369"/>
      <c r="E43" s="369"/>
      <c r="F43" s="369"/>
      <c r="G43" s="369"/>
      <c r="M43" s="369"/>
      <c r="N43" s="32"/>
    </row>
    <row r="44" spans="2:30" ht="15" hidden="1" customHeight="1" x14ac:dyDescent="0.35">
      <c r="B44" s="1" t="s">
        <v>688</v>
      </c>
      <c r="C44" s="1" t="s">
        <v>689</v>
      </c>
      <c r="D44" s="1" t="s">
        <v>121</v>
      </c>
      <c r="E44" s="1" t="s">
        <v>122</v>
      </c>
      <c r="F44" s="1" t="s">
        <v>690</v>
      </c>
      <c r="G44" s="1" t="s">
        <v>691</v>
      </c>
      <c r="M44" s="13" t="s">
        <v>692</v>
      </c>
    </row>
    <row r="45" spans="2:30" ht="15" hidden="1" customHeight="1" x14ac:dyDescent="0.35">
      <c r="B45" s="1" t="s">
        <v>693</v>
      </c>
      <c r="C45" s="1" t="s">
        <v>694</v>
      </c>
      <c r="D45" s="1" t="s">
        <v>300</v>
      </c>
      <c r="E45" s="1" t="s">
        <v>695</v>
      </c>
      <c r="F45" s="1" t="s">
        <v>696</v>
      </c>
      <c r="G45" s="1" t="s">
        <v>697</v>
      </c>
      <c r="M45" s="13" t="s">
        <v>698</v>
      </c>
    </row>
    <row r="46" spans="2:30" ht="15" hidden="1" customHeight="1" x14ac:dyDescent="0.35">
      <c r="B46" s="1" t="s">
        <v>699</v>
      </c>
      <c r="C46" s="1" t="s">
        <v>700</v>
      </c>
      <c r="D46" s="1" t="s">
        <v>86</v>
      </c>
      <c r="E46" s="1" t="s">
        <v>301</v>
      </c>
      <c r="F46" s="1" t="s">
        <v>701</v>
      </c>
      <c r="G46" s="1" t="s">
        <v>702</v>
      </c>
      <c r="M46" s="13" t="s">
        <v>703</v>
      </c>
    </row>
    <row r="47" spans="2:30" ht="15" hidden="1" customHeight="1" x14ac:dyDescent="0.35">
      <c r="B47" s="1" t="s">
        <v>704</v>
      </c>
      <c r="C47" s="1" t="s">
        <v>705</v>
      </c>
      <c r="D47" s="1" t="s">
        <v>168</v>
      </c>
      <c r="E47" s="1" t="s">
        <v>706</v>
      </c>
      <c r="F47" s="1" t="s">
        <v>707</v>
      </c>
      <c r="G47" s="1" t="s">
        <v>708</v>
      </c>
    </row>
    <row r="48" spans="2:30" ht="15" hidden="1" customHeight="1" x14ac:dyDescent="0.35">
      <c r="B48" s="1" t="s">
        <v>709</v>
      </c>
      <c r="C48" s="1" t="s">
        <v>710</v>
      </c>
      <c r="D48" s="1" t="s">
        <v>711</v>
      </c>
      <c r="E48" s="1" t="s">
        <v>712</v>
      </c>
      <c r="F48" s="1" t="s">
        <v>713</v>
      </c>
      <c r="G48" s="1" t="s">
        <v>714</v>
      </c>
    </row>
    <row r="49" spans="2:7" ht="15" hidden="1" customHeight="1" x14ac:dyDescent="0.35">
      <c r="B49" s="1" t="s">
        <v>715</v>
      </c>
      <c r="C49" s="1" t="s">
        <v>716</v>
      </c>
      <c r="D49" s="1" t="s">
        <v>717</v>
      </c>
      <c r="E49" s="1" t="s">
        <v>154</v>
      </c>
      <c r="F49" s="1" t="s">
        <v>290</v>
      </c>
      <c r="G49" s="1" t="s">
        <v>463</v>
      </c>
    </row>
    <row r="50" spans="2:7" ht="15" hidden="1" customHeight="1" x14ac:dyDescent="0.35">
      <c r="B50" s="1" t="s">
        <v>718</v>
      </c>
      <c r="C50" s="1" t="s">
        <v>719</v>
      </c>
      <c r="D50" s="1" t="s">
        <v>720</v>
      </c>
      <c r="E50" s="1" t="s">
        <v>115</v>
      </c>
      <c r="F50" s="1" t="s">
        <v>721</v>
      </c>
      <c r="G50" s="1" t="s">
        <v>722</v>
      </c>
    </row>
    <row r="51" spans="2:7" ht="15" hidden="1" customHeight="1" x14ac:dyDescent="0.35">
      <c r="B51" s="1" t="s">
        <v>723</v>
      </c>
      <c r="C51" s="1" t="s">
        <v>724</v>
      </c>
      <c r="E51" s="1" t="s">
        <v>627</v>
      </c>
      <c r="F51" s="1" t="s">
        <v>725</v>
      </c>
      <c r="G51" s="1" t="s">
        <v>571</v>
      </c>
    </row>
    <row r="52" spans="2:7" ht="15" hidden="1" customHeight="1" x14ac:dyDescent="0.35">
      <c r="C52" s="1" t="s">
        <v>726</v>
      </c>
      <c r="E52" s="1" t="s">
        <v>126</v>
      </c>
      <c r="F52" s="1" t="s">
        <v>727</v>
      </c>
      <c r="G52" s="1" t="s">
        <v>100</v>
      </c>
    </row>
    <row r="53" spans="2:7" ht="15" hidden="1" customHeight="1" x14ac:dyDescent="0.35">
      <c r="C53" s="1" t="s">
        <v>728</v>
      </c>
      <c r="E53" s="1" t="s">
        <v>729</v>
      </c>
      <c r="F53" s="1" t="s">
        <v>730</v>
      </c>
      <c r="G53" s="1" t="s">
        <v>123</v>
      </c>
    </row>
    <row r="54" spans="2:7" ht="15" hidden="1" customHeight="1" x14ac:dyDescent="0.35">
      <c r="E54" s="1" t="s">
        <v>87</v>
      </c>
      <c r="F54" s="1" t="s">
        <v>731</v>
      </c>
      <c r="G54" s="1" t="s">
        <v>111</v>
      </c>
    </row>
    <row r="55" spans="2:7" ht="15" hidden="1" customHeight="1" x14ac:dyDescent="0.35">
      <c r="E55" s="1" t="s">
        <v>732</v>
      </c>
      <c r="F55" s="1" t="s">
        <v>733</v>
      </c>
      <c r="G55" s="1" t="s">
        <v>734</v>
      </c>
    </row>
    <row r="56" spans="2:7" ht="15" hidden="1" customHeight="1" x14ac:dyDescent="0.35">
      <c r="E56" s="1" t="s">
        <v>163</v>
      </c>
      <c r="G56" s="1" t="s">
        <v>735</v>
      </c>
    </row>
    <row r="57" spans="2:7" ht="15" hidden="1" customHeight="1" x14ac:dyDescent="0.35">
      <c r="E57" s="1" t="s">
        <v>736</v>
      </c>
      <c r="G57" s="1" t="s">
        <v>737</v>
      </c>
    </row>
    <row r="58" spans="2:7" ht="15" hidden="1" customHeight="1" x14ac:dyDescent="0.35">
      <c r="E58" s="1" t="s">
        <v>738</v>
      </c>
      <c r="G58" s="1" t="s">
        <v>739</v>
      </c>
    </row>
    <row r="59" spans="2:7" ht="15" hidden="1" customHeight="1" x14ac:dyDescent="0.35">
      <c r="E59" s="1" t="s">
        <v>110</v>
      </c>
      <c r="G59" s="1" t="s">
        <v>740</v>
      </c>
    </row>
    <row r="60" spans="2:7" ht="15" hidden="1" customHeight="1" x14ac:dyDescent="0.35">
      <c r="E60" s="1" t="s">
        <v>741</v>
      </c>
      <c r="G60" s="1" t="s">
        <v>742</v>
      </c>
    </row>
    <row r="61" spans="2:7" ht="15" hidden="1" customHeight="1" x14ac:dyDescent="0.35">
      <c r="E61" s="1" t="s">
        <v>743</v>
      </c>
      <c r="G61" s="1" t="s">
        <v>744</v>
      </c>
    </row>
    <row r="62" spans="2:7" ht="15" hidden="1" customHeight="1" x14ac:dyDescent="0.35">
      <c r="E62" s="1" t="s">
        <v>745</v>
      </c>
      <c r="G62" s="1" t="s">
        <v>746</v>
      </c>
    </row>
    <row r="63" spans="2:7" ht="15" hidden="1" customHeight="1" x14ac:dyDescent="0.35">
      <c r="G63" s="1" t="s">
        <v>747</v>
      </c>
    </row>
    <row r="64" spans="2:7" ht="15" hidden="1" customHeight="1" x14ac:dyDescent="0.35">
      <c r="G64" s="1" t="s">
        <v>748</v>
      </c>
    </row>
    <row r="65" spans="7:7" ht="15" hidden="1" customHeight="1" x14ac:dyDescent="0.35">
      <c r="G65" s="1" t="s">
        <v>749</v>
      </c>
    </row>
    <row r="66" spans="7:7" ht="15" hidden="1" customHeight="1" x14ac:dyDescent="0.35">
      <c r="G66" s="1" t="s">
        <v>750</v>
      </c>
    </row>
    <row r="67" spans="7:7" ht="15" hidden="1" customHeight="1" x14ac:dyDescent="0.35">
      <c r="G67" s="1" t="s">
        <v>751</v>
      </c>
    </row>
    <row r="68" spans="7:7" ht="15" hidden="1" customHeight="1" x14ac:dyDescent="0.35">
      <c r="G68" s="1" t="s">
        <v>752</v>
      </c>
    </row>
    <row r="69" spans="7:7" ht="15" hidden="1" customHeight="1" x14ac:dyDescent="0.35">
      <c r="G69" s="1" t="s">
        <v>753</v>
      </c>
    </row>
    <row r="70" spans="7:7" ht="15" hidden="1" customHeight="1" x14ac:dyDescent="0.35">
      <c r="G70" s="1" t="s">
        <v>754</v>
      </c>
    </row>
    <row r="71" spans="7:7" ht="15" hidden="1" customHeight="1" x14ac:dyDescent="0.35">
      <c r="G71" s="1" t="s">
        <v>755</v>
      </c>
    </row>
    <row r="72" spans="7:7" ht="15" hidden="1" customHeight="1" x14ac:dyDescent="0.35">
      <c r="G72" s="1" t="s">
        <v>756</v>
      </c>
    </row>
    <row r="73" spans="7:7" ht="15" hidden="1" customHeight="1" x14ac:dyDescent="0.35">
      <c r="G73" s="1" t="s">
        <v>757</v>
      </c>
    </row>
    <row r="74" spans="7:7" ht="15" hidden="1" customHeight="1" x14ac:dyDescent="0.35">
      <c r="G74" s="1" t="s">
        <v>758</v>
      </c>
    </row>
    <row r="75" spans="7:7" ht="15" hidden="1" customHeight="1" x14ac:dyDescent="0.35">
      <c r="G75" s="1" t="s">
        <v>759</v>
      </c>
    </row>
    <row r="76" spans="7:7" ht="15" hidden="1" customHeight="1" x14ac:dyDescent="0.35">
      <c r="G76" s="1" t="s">
        <v>760</v>
      </c>
    </row>
    <row r="77" spans="7:7" ht="15" hidden="1" customHeight="1" x14ac:dyDescent="0.35">
      <c r="G77" s="1" t="s">
        <v>127</v>
      </c>
    </row>
    <row r="78" spans="7:7" ht="15" hidden="1" customHeight="1" x14ac:dyDescent="0.35">
      <c r="G78" s="1" t="s">
        <v>761</v>
      </c>
    </row>
    <row r="79" spans="7:7" ht="15" hidden="1" customHeight="1" x14ac:dyDescent="0.35">
      <c r="G79" s="1" t="s">
        <v>762</v>
      </c>
    </row>
    <row r="80" spans="7:7" ht="15" hidden="1" customHeight="1" x14ac:dyDescent="0.35">
      <c r="G80" s="1" t="s">
        <v>763</v>
      </c>
    </row>
    <row r="81" spans="7:7" ht="15" hidden="1" customHeight="1" x14ac:dyDescent="0.35">
      <c r="G81" s="1" t="s">
        <v>764</v>
      </c>
    </row>
    <row r="82" spans="7:7" ht="15" hidden="1" customHeight="1" x14ac:dyDescent="0.35">
      <c r="G82" s="1" t="s">
        <v>89</v>
      </c>
    </row>
    <row r="83" spans="7:7" ht="15" hidden="1" customHeight="1" x14ac:dyDescent="0.35">
      <c r="G83" s="1" t="s">
        <v>765</v>
      </c>
    </row>
    <row r="84" spans="7:7" ht="15" hidden="1" customHeight="1" x14ac:dyDescent="0.35">
      <c r="G84" s="1" t="s">
        <v>766</v>
      </c>
    </row>
    <row r="85" spans="7:7" ht="15" hidden="1" customHeight="1" x14ac:dyDescent="0.35">
      <c r="G85" s="1" t="s">
        <v>307</v>
      </c>
    </row>
    <row r="86" spans="7:7" ht="15" hidden="1" customHeight="1" x14ac:dyDescent="0.35">
      <c r="G86" s="1" t="s">
        <v>767</v>
      </c>
    </row>
    <row r="87" spans="7:7" ht="15" hidden="1" customHeight="1" x14ac:dyDescent="0.35">
      <c r="G87" s="1" t="s">
        <v>768</v>
      </c>
    </row>
    <row r="88" spans="7:7" ht="15" hidden="1" customHeight="1" x14ac:dyDescent="0.35">
      <c r="G88" s="1" t="s">
        <v>769</v>
      </c>
    </row>
    <row r="89" spans="7:7" ht="15" hidden="1" customHeight="1" x14ac:dyDescent="0.35">
      <c r="G89" s="1" t="s">
        <v>770</v>
      </c>
    </row>
    <row r="90" spans="7:7" ht="15" hidden="1" customHeight="1" x14ac:dyDescent="0.35">
      <c r="G90" s="1" t="s">
        <v>771</v>
      </c>
    </row>
    <row r="91" spans="7:7" ht="15" hidden="1" customHeight="1" x14ac:dyDescent="0.35">
      <c r="G91" s="1" t="s">
        <v>772</v>
      </c>
    </row>
    <row r="92" spans="7:7" ht="15" hidden="1" customHeight="1" x14ac:dyDescent="0.35">
      <c r="G92" s="1" t="s">
        <v>773</v>
      </c>
    </row>
    <row r="93" spans="7:7" ht="15" hidden="1" customHeight="1" x14ac:dyDescent="0.35">
      <c r="G93" s="1" t="s">
        <v>774</v>
      </c>
    </row>
    <row r="94" spans="7:7" ht="15" hidden="1" customHeight="1" x14ac:dyDescent="0.35">
      <c r="G94" s="1" t="s">
        <v>775</v>
      </c>
    </row>
    <row r="95" spans="7:7" ht="15" hidden="1" customHeight="1" x14ac:dyDescent="0.35">
      <c r="G95" s="1" t="s">
        <v>305</v>
      </c>
    </row>
    <row r="96" spans="7:7" ht="15" hidden="1" customHeight="1" x14ac:dyDescent="0.35">
      <c r="G96" s="1" t="s">
        <v>40</v>
      </c>
    </row>
    <row r="97" spans="7:7" ht="15" hidden="1" customHeight="1" x14ac:dyDescent="0.35">
      <c r="G97" s="1" t="s">
        <v>157</v>
      </c>
    </row>
    <row r="98" spans="7:7" ht="15" hidden="1" customHeight="1" x14ac:dyDescent="0.35">
      <c r="G98" s="1" t="s">
        <v>776</v>
      </c>
    </row>
    <row r="99" spans="7:7" ht="15" hidden="1" customHeight="1" x14ac:dyDescent="0.35">
      <c r="G99" s="1" t="s">
        <v>777</v>
      </c>
    </row>
    <row r="100" spans="7:7" ht="15" hidden="1" customHeight="1" x14ac:dyDescent="0.35">
      <c r="G100" s="1" t="s">
        <v>778</v>
      </c>
    </row>
    <row r="101" spans="7:7" ht="15" hidden="1" customHeight="1" x14ac:dyDescent="0.35">
      <c r="G101" s="1" t="s">
        <v>779</v>
      </c>
    </row>
    <row r="102" spans="7:7" ht="15" hidden="1" customHeight="1" x14ac:dyDescent="0.35">
      <c r="G102" s="1" t="s">
        <v>780</v>
      </c>
    </row>
    <row r="103" spans="7:7" ht="15" hidden="1" customHeight="1" x14ac:dyDescent="0.35">
      <c r="G103" s="1" t="s">
        <v>781</v>
      </c>
    </row>
  </sheetData>
  <sheetProtection algorithmName="SHA-512" hashValue="RV96XLdaoi3gxldv2gBL+qZfHjwGNnbiLVce6Bd5k8JU2yKAKpEoyg4Os/FIRgNzvxAKS5eglHUNFN/7CBxrwQ==" saltValue="tco4EHQelvPmGpIvQIkhpg==" spinCount="100000" sheet="1" formatCells="0" formatColumns="0" formatRows="0" insertColumns="0" insertRows="0" insertHyperlinks="0" deleteColumns="0" deleteRows="0" sort="0" autoFilter="0" pivotTables="0"/>
  <mergeCells count="147">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80F3BFBA-C228-4A9F-B85A-E4F94BF2BDC2}">
      <formula1>$G$44:$G$103</formula1>
    </dataValidation>
    <dataValidation type="list" allowBlank="1" showInputMessage="1" showErrorMessage="1" sqref="L14:L21" xr:uid="{27A4FAB5-282A-4B2C-A210-C06C5368BFA6}">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10"/>
  <sheetViews>
    <sheetView showGridLines="0" view="pageBreakPreview" zoomScale="49" zoomScaleNormal="10" zoomScaleSheetLayoutView="49" zoomScalePageLayoutView="48" workbookViewId="0">
      <selection activeCell="E16" sqref="E16:E17"/>
    </sheetView>
  </sheetViews>
  <sheetFormatPr baseColWidth="10" defaultColWidth="12.54296875" defaultRowHeight="15" customHeight="1" x14ac:dyDescent="0.35"/>
  <cols>
    <col min="1" max="1" width="7.26953125" style="1" customWidth="1"/>
    <col min="2" max="4" width="28.54296875" style="1" customWidth="1"/>
    <col min="5" max="5" width="36.453125" style="1" customWidth="1"/>
    <col min="6" max="6" width="28.54296875" style="1" hidden="1" customWidth="1"/>
    <col min="7" max="8" width="28.54296875" style="1" customWidth="1"/>
    <col min="9" max="9" width="41.26953125" style="1" customWidth="1"/>
    <col min="10" max="10" width="28.54296875" style="1" customWidth="1"/>
    <col min="11" max="12" width="19.54296875" style="1" customWidth="1"/>
    <col min="13" max="13" width="28.54296875" style="1" customWidth="1"/>
    <col min="14" max="15" width="18.26953125" style="1" customWidth="1"/>
    <col min="16" max="16" width="29.453125" style="1" customWidth="1"/>
    <col min="17" max="17" width="40.26953125" style="1" customWidth="1"/>
    <col min="18" max="18" width="34.54296875" style="1" customWidth="1"/>
    <col min="19" max="19" width="19.90625" style="1" customWidth="1"/>
    <col min="20" max="21" width="18.26953125" style="1" customWidth="1"/>
    <col min="22" max="24" width="13.7265625" style="1" hidden="1" customWidth="1"/>
    <col min="25" max="37" width="9.54296875" style="1" hidden="1" customWidth="1"/>
    <col min="38" max="38" width="35.7265625" style="1" hidden="1" customWidth="1"/>
    <col min="39" max="39" width="45.81640625" style="1" hidden="1" customWidth="1"/>
    <col min="40" max="41" width="42.54296875" style="1" hidden="1" customWidth="1"/>
    <col min="42" max="16384" width="12.54296875" style="1"/>
  </cols>
  <sheetData>
    <row r="1" spans="1:41" s="58" customFormat="1" ht="15" customHeight="1" x14ac:dyDescent="0.35">
      <c r="A1" s="338"/>
      <c r="B1" s="339"/>
      <c r="C1" s="340"/>
      <c r="D1" s="284" t="s">
        <v>868</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row>
    <row r="2" spans="1:41" s="58" customFormat="1" ht="20.149999999999999" customHeight="1" x14ac:dyDescent="0.35">
      <c r="A2" s="341"/>
      <c r="B2" s="342"/>
      <c r="C2" s="343"/>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4"/>
      <c r="AN2" s="284"/>
      <c r="AO2" s="284"/>
    </row>
    <row r="3" spans="1:41" s="58" customFormat="1" ht="60" customHeight="1" x14ac:dyDescent="0.35">
      <c r="A3" s="344"/>
      <c r="B3" s="345"/>
      <c r="C3" s="346"/>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row>
    <row r="4" spans="1:41" s="58" customFormat="1" ht="60" hidden="1" customHeight="1" x14ac:dyDescent="0.35">
      <c r="A4" s="337" t="s">
        <v>35</v>
      </c>
      <c r="B4" s="8" t="s">
        <v>36</v>
      </c>
      <c r="C4" s="10">
        <v>0.7</v>
      </c>
      <c r="D4" s="10"/>
      <c r="E4" s="10"/>
      <c r="F4" s="9"/>
      <c r="G4" s="337" t="s">
        <v>37</v>
      </c>
      <c r="H4" s="8" t="s">
        <v>36</v>
      </c>
      <c r="I4" s="10">
        <v>0.7</v>
      </c>
      <c r="J4" s="59"/>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row>
    <row r="5" spans="1:41" s="58" customFormat="1" ht="60" hidden="1" customHeight="1" thickBot="1" x14ac:dyDescent="0.4">
      <c r="A5" s="337"/>
      <c r="B5" s="8" t="s">
        <v>38</v>
      </c>
      <c r="C5" s="11">
        <v>0.9</v>
      </c>
      <c r="D5" s="11"/>
      <c r="E5" s="11"/>
      <c r="F5" s="11">
        <v>1</v>
      </c>
      <c r="G5" s="337"/>
      <c r="H5" s="8" t="s">
        <v>38</v>
      </c>
      <c r="I5" s="11">
        <v>0.95</v>
      </c>
      <c r="J5" s="59"/>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row>
    <row r="6" spans="1:41" ht="15" hidden="1" customHeight="1" x14ac:dyDescent="0.35">
      <c r="A6" s="442" t="s">
        <v>39</v>
      </c>
      <c r="B6" s="442"/>
      <c r="C6" s="407" t="s">
        <v>123</v>
      </c>
      <c r="D6" s="407"/>
      <c r="E6" s="443" t="s">
        <v>41</v>
      </c>
      <c r="F6" s="443"/>
      <c r="G6" s="409">
        <f>+W15+W17+W19+W21+W23+W25+W27+W29</f>
        <v>1</v>
      </c>
      <c r="H6" s="443" t="s">
        <v>42</v>
      </c>
      <c r="I6" s="443"/>
      <c r="J6" s="518">
        <f>+W14+W16+W18+W20+W22+W24+W26+W28</f>
        <v>1</v>
      </c>
      <c r="K6" s="448" t="s">
        <v>43</v>
      </c>
      <c r="L6" s="449"/>
      <c r="M6" s="334">
        <v>0.95</v>
      </c>
      <c r="N6" s="442" t="s">
        <v>169</v>
      </c>
      <c r="O6" s="442"/>
      <c r="P6" s="285">
        <f>(SUM(Y14:AE14,Y16:AE16,Y18:AE18,Y20:AE20,Y22:AE22,Y24:AE24,Y26:AE26,Y28:AE28)/SUM(Y15:AE15,Y17:AE17,Y19:AE19,Y21:AE21,Y23:AE23,Y25:AE25,Y27:AE27,Y29:AE29))/M6</f>
        <v>0.78947368421052633</v>
      </c>
      <c r="Q6" s="324"/>
      <c r="R6" s="286"/>
      <c r="S6" s="437" t="s">
        <v>170</v>
      </c>
      <c r="T6" s="454"/>
      <c r="U6" s="285">
        <f>SUM(AJ14:AK14,AJ16:AK16,AJ18:AK18,AJ20:AK20,AJ22:AK22,AJ24:AK24,AJ26:AK26,AJ28:AK28)/SUM(AJ15:AK15,AJ17:AK17,AJ19:AK19,AJ21:AK21,AJ23:AK23,AJ25:AK25,AJ27:AK27,AJ29:AK29)/M6</f>
        <v>1.3157894736842106</v>
      </c>
      <c r="V6" s="324"/>
      <c r="W6" s="324"/>
      <c r="X6" s="546"/>
      <c r="Y6" s="546"/>
      <c r="Z6" s="546"/>
      <c r="AA6" s="546"/>
      <c r="AB6" s="546"/>
      <c r="AC6" s="546"/>
      <c r="AD6" s="546"/>
      <c r="AE6" s="546"/>
      <c r="AF6" s="546"/>
      <c r="AG6" s="546"/>
      <c r="AH6" s="546"/>
      <c r="AI6" s="546"/>
      <c r="AJ6" s="546"/>
      <c r="AK6" s="546"/>
      <c r="AL6" s="546"/>
      <c r="AM6" s="546"/>
      <c r="AN6" s="546"/>
      <c r="AO6" s="546"/>
    </row>
    <row r="7" spans="1:41" ht="15" hidden="1" customHeight="1" x14ac:dyDescent="0.35">
      <c r="A7" s="442"/>
      <c r="B7" s="442"/>
      <c r="C7" s="407"/>
      <c r="D7" s="407"/>
      <c r="E7" s="443"/>
      <c r="F7" s="443"/>
      <c r="G7" s="410"/>
      <c r="H7" s="443"/>
      <c r="I7" s="443"/>
      <c r="J7" s="519"/>
      <c r="K7" s="450"/>
      <c r="L7" s="451"/>
      <c r="M7" s="335"/>
      <c r="N7" s="442"/>
      <c r="O7" s="442"/>
      <c r="P7" s="287"/>
      <c r="Q7" s="325"/>
      <c r="R7" s="288"/>
      <c r="S7" s="438"/>
      <c r="T7" s="456"/>
      <c r="U7" s="287"/>
      <c r="V7" s="325"/>
      <c r="W7" s="325"/>
      <c r="X7" s="546"/>
      <c r="Y7" s="546"/>
      <c r="Z7" s="546"/>
      <c r="AA7" s="546"/>
      <c r="AB7" s="546"/>
      <c r="AC7" s="546"/>
      <c r="AD7" s="546"/>
      <c r="AE7" s="546"/>
      <c r="AF7" s="546"/>
      <c r="AG7" s="546"/>
      <c r="AH7" s="546"/>
      <c r="AI7" s="546"/>
      <c r="AJ7" s="546"/>
      <c r="AK7" s="546"/>
      <c r="AL7" s="546"/>
      <c r="AM7" s="546"/>
      <c r="AN7" s="546"/>
      <c r="AO7" s="546"/>
    </row>
    <row r="8" spans="1:41" ht="15" hidden="1" customHeight="1" x14ac:dyDescent="0.35">
      <c r="A8" s="442"/>
      <c r="B8" s="442"/>
      <c r="C8" s="407"/>
      <c r="D8" s="407"/>
      <c r="E8" s="443"/>
      <c r="F8" s="443"/>
      <c r="G8" s="410"/>
      <c r="H8" s="443"/>
      <c r="I8" s="443"/>
      <c r="J8" s="519"/>
      <c r="K8" s="450"/>
      <c r="L8" s="451"/>
      <c r="M8" s="335"/>
      <c r="N8" s="442"/>
      <c r="O8" s="442"/>
      <c r="P8" s="287"/>
      <c r="Q8" s="325"/>
      <c r="R8" s="288"/>
      <c r="S8" s="438"/>
      <c r="T8" s="456"/>
      <c r="U8" s="287"/>
      <c r="V8" s="325"/>
      <c r="W8" s="325"/>
      <c r="X8" s="546"/>
      <c r="Y8" s="546"/>
      <c r="Z8" s="546"/>
      <c r="AA8" s="546"/>
      <c r="AB8" s="546"/>
      <c r="AC8" s="546"/>
      <c r="AD8" s="546"/>
      <c r="AE8" s="546"/>
      <c r="AF8" s="546"/>
      <c r="AG8" s="546"/>
      <c r="AH8" s="546"/>
      <c r="AI8" s="546"/>
      <c r="AJ8" s="546"/>
      <c r="AK8" s="546"/>
      <c r="AL8" s="546"/>
      <c r="AM8" s="546"/>
      <c r="AN8" s="546"/>
      <c r="AO8" s="546"/>
    </row>
    <row r="9" spans="1:41" ht="15" hidden="1" customHeight="1" x14ac:dyDescent="0.35">
      <c r="A9" s="442"/>
      <c r="B9" s="442"/>
      <c r="C9" s="407"/>
      <c r="D9" s="407"/>
      <c r="E9" s="443"/>
      <c r="F9" s="443"/>
      <c r="G9" s="410"/>
      <c r="H9" s="443"/>
      <c r="I9" s="443"/>
      <c r="J9" s="519"/>
      <c r="K9" s="450"/>
      <c r="L9" s="451"/>
      <c r="M9" s="335"/>
      <c r="N9" s="442"/>
      <c r="O9" s="442"/>
      <c r="P9" s="287"/>
      <c r="Q9" s="325"/>
      <c r="R9" s="288"/>
      <c r="S9" s="438"/>
      <c r="T9" s="456"/>
      <c r="U9" s="287"/>
      <c r="V9" s="325"/>
      <c r="W9" s="325"/>
      <c r="X9" s="546"/>
      <c r="Y9" s="546"/>
      <c r="Z9" s="546"/>
      <c r="AA9" s="546"/>
      <c r="AB9" s="546"/>
      <c r="AC9" s="546"/>
      <c r="AD9" s="546"/>
      <c r="AE9" s="546"/>
      <c r="AF9" s="546"/>
      <c r="AG9" s="546"/>
      <c r="AH9" s="546"/>
      <c r="AI9" s="546"/>
      <c r="AJ9" s="546"/>
      <c r="AK9" s="546"/>
      <c r="AL9" s="546"/>
      <c r="AM9" s="546"/>
      <c r="AN9" s="546"/>
      <c r="AO9" s="546"/>
    </row>
    <row r="10" spans="1:41" ht="15" hidden="1" customHeight="1" thickBot="1" x14ac:dyDescent="0.4">
      <c r="A10" s="442"/>
      <c r="B10" s="442"/>
      <c r="C10" s="407"/>
      <c r="D10" s="407"/>
      <c r="E10" s="443"/>
      <c r="F10" s="443"/>
      <c r="G10" s="444"/>
      <c r="H10" s="443"/>
      <c r="I10" s="443"/>
      <c r="J10" s="520"/>
      <c r="K10" s="452"/>
      <c r="L10" s="453"/>
      <c r="M10" s="336"/>
      <c r="N10" s="442"/>
      <c r="O10" s="442"/>
      <c r="P10" s="289"/>
      <c r="Q10" s="326"/>
      <c r="R10" s="290"/>
      <c r="S10" s="439"/>
      <c r="T10" s="458"/>
      <c r="U10" s="289"/>
      <c r="V10" s="326"/>
      <c r="W10" s="326"/>
      <c r="X10" s="546"/>
      <c r="Y10" s="546"/>
      <c r="Z10" s="546"/>
      <c r="AA10" s="546"/>
      <c r="AB10" s="546"/>
      <c r="AC10" s="546"/>
      <c r="AD10" s="546"/>
      <c r="AE10" s="546"/>
      <c r="AF10" s="546"/>
      <c r="AG10" s="546"/>
      <c r="AH10" s="546"/>
      <c r="AI10" s="546"/>
      <c r="AJ10" s="546"/>
      <c r="AK10" s="546"/>
      <c r="AL10" s="546"/>
      <c r="AM10" s="546"/>
      <c r="AN10" s="546"/>
      <c r="AO10" s="546"/>
    </row>
    <row r="11" spans="1:41" s="12" customFormat="1" ht="40.4" customHeight="1" thickBot="1" x14ac:dyDescent="0.4">
      <c r="A11" s="359" t="s">
        <v>48</v>
      </c>
      <c r="B11" s="359"/>
      <c r="C11" s="359"/>
      <c r="D11" s="359"/>
      <c r="E11" s="359"/>
      <c r="F11" s="360"/>
      <c r="G11" s="547" t="s">
        <v>790</v>
      </c>
      <c r="H11" s="305"/>
      <c r="I11" s="305"/>
      <c r="J11" s="305"/>
      <c r="K11" s="305"/>
      <c r="L11" s="305"/>
      <c r="M11" s="305"/>
      <c r="N11" s="305"/>
      <c r="O11" s="305"/>
      <c r="P11" s="305"/>
      <c r="Q11" s="305"/>
      <c r="R11" s="305"/>
      <c r="S11" s="305"/>
      <c r="T11" s="305"/>
      <c r="U11" s="306"/>
      <c r="V11" s="521" t="s">
        <v>50</v>
      </c>
      <c r="W11" s="522"/>
      <c r="X11" s="522"/>
      <c r="Y11" s="522"/>
      <c r="Z11" s="522"/>
      <c r="AA11" s="522"/>
      <c r="AB11" s="522"/>
      <c r="AC11" s="522"/>
      <c r="AD11" s="522"/>
      <c r="AE11" s="522"/>
      <c r="AF11" s="522"/>
      <c r="AG11" s="522"/>
      <c r="AH11" s="522"/>
      <c r="AI11" s="522"/>
      <c r="AJ11" s="522"/>
      <c r="AK11" s="523"/>
      <c r="AL11" s="521" t="s">
        <v>51</v>
      </c>
      <c r="AM11" s="522"/>
      <c r="AN11" s="522"/>
      <c r="AO11" s="522"/>
    </row>
    <row r="12" spans="1:41" ht="39" customHeight="1" x14ac:dyDescent="0.35">
      <c r="A12" s="364" t="s">
        <v>52</v>
      </c>
      <c r="B12" s="366" t="s">
        <v>53</v>
      </c>
      <c r="C12" s="366" t="s">
        <v>54</v>
      </c>
      <c r="D12" s="366" t="s">
        <v>55</v>
      </c>
      <c r="E12" s="366" t="s">
        <v>56</v>
      </c>
      <c r="F12" s="366" t="s">
        <v>31</v>
      </c>
      <c r="G12" s="366" t="s">
        <v>228</v>
      </c>
      <c r="H12" s="366" t="s">
        <v>229</v>
      </c>
      <c r="I12" s="366" t="s">
        <v>230</v>
      </c>
      <c r="J12" s="366" t="s">
        <v>231</v>
      </c>
      <c r="K12" s="366" t="s">
        <v>232</v>
      </c>
      <c r="L12" s="366" t="s">
        <v>233</v>
      </c>
      <c r="M12" s="366" t="s">
        <v>234</v>
      </c>
      <c r="N12" s="366" t="s">
        <v>235</v>
      </c>
      <c r="O12" s="366" t="s">
        <v>236</v>
      </c>
      <c r="P12" s="366" t="s">
        <v>60</v>
      </c>
      <c r="Q12" s="366" t="s">
        <v>61</v>
      </c>
      <c r="R12" s="366" t="s">
        <v>62</v>
      </c>
      <c r="S12" s="366" t="s">
        <v>63</v>
      </c>
      <c r="T12" s="366" t="s">
        <v>64</v>
      </c>
      <c r="U12" s="366" t="s">
        <v>65</v>
      </c>
      <c r="V12" s="540" t="s">
        <v>66</v>
      </c>
      <c r="W12" s="542" t="s">
        <v>67</v>
      </c>
      <c r="X12" s="544" t="s">
        <v>68</v>
      </c>
      <c r="Y12" s="535" t="s">
        <v>69</v>
      </c>
      <c r="Z12" s="510" t="s">
        <v>70</v>
      </c>
      <c r="AA12" s="508" t="s">
        <v>71</v>
      </c>
      <c r="AB12" s="514" t="s">
        <v>72</v>
      </c>
      <c r="AC12" s="516" t="s">
        <v>73</v>
      </c>
      <c r="AD12" s="514" t="s">
        <v>74</v>
      </c>
      <c r="AE12" s="508" t="s">
        <v>75</v>
      </c>
      <c r="AF12" s="510" t="s">
        <v>76</v>
      </c>
      <c r="AG12" s="512" t="s">
        <v>77</v>
      </c>
      <c r="AH12" s="510" t="s">
        <v>78</v>
      </c>
      <c r="AI12" s="508" t="s">
        <v>79</v>
      </c>
      <c r="AJ12" s="514" t="s">
        <v>80</v>
      </c>
      <c r="AK12" s="505" t="s">
        <v>81</v>
      </c>
      <c r="AL12" s="507" t="s">
        <v>82</v>
      </c>
      <c r="AM12" s="507" t="s">
        <v>83</v>
      </c>
      <c r="AN12" s="507" t="s">
        <v>84</v>
      </c>
      <c r="AO12" s="507" t="s">
        <v>85</v>
      </c>
    </row>
    <row r="13" spans="1:41" ht="60" customHeight="1" thickBot="1" x14ac:dyDescent="0.4">
      <c r="A13" s="365"/>
      <c r="B13" s="365"/>
      <c r="C13" s="365"/>
      <c r="D13" s="365"/>
      <c r="E13" s="365"/>
      <c r="F13" s="365"/>
      <c r="G13" s="365"/>
      <c r="H13" s="365"/>
      <c r="I13" s="365"/>
      <c r="J13" s="365"/>
      <c r="K13" s="365"/>
      <c r="L13" s="365"/>
      <c r="M13" s="365"/>
      <c r="N13" s="365"/>
      <c r="O13" s="365"/>
      <c r="P13" s="365"/>
      <c r="Q13" s="365"/>
      <c r="R13" s="365"/>
      <c r="S13" s="365"/>
      <c r="T13" s="365" t="s">
        <v>237</v>
      </c>
      <c r="U13" s="365" t="s">
        <v>238</v>
      </c>
      <c r="V13" s="541"/>
      <c r="W13" s="543"/>
      <c r="X13" s="545"/>
      <c r="Y13" s="536"/>
      <c r="Z13" s="537"/>
      <c r="AA13" s="538"/>
      <c r="AB13" s="539"/>
      <c r="AC13" s="517"/>
      <c r="AD13" s="515"/>
      <c r="AE13" s="509"/>
      <c r="AF13" s="511"/>
      <c r="AG13" s="513"/>
      <c r="AH13" s="511"/>
      <c r="AI13" s="509"/>
      <c r="AJ13" s="515"/>
      <c r="AK13" s="506"/>
      <c r="AL13" s="507"/>
      <c r="AM13" s="507"/>
      <c r="AN13" s="507"/>
      <c r="AO13" s="507"/>
    </row>
    <row r="14" spans="1:41" ht="40.4" customHeight="1" thickBot="1" x14ac:dyDescent="0.4">
      <c r="A14" s="278">
        <v>1</v>
      </c>
      <c r="B14" s="278" t="s">
        <v>688</v>
      </c>
      <c r="C14" s="278" t="s">
        <v>700</v>
      </c>
      <c r="D14" s="278" t="s">
        <v>121</v>
      </c>
      <c r="E14" s="278" t="s">
        <v>122</v>
      </c>
      <c r="F14" s="354" t="s">
        <v>88</v>
      </c>
      <c r="G14" s="278" t="s">
        <v>239</v>
      </c>
      <c r="H14" s="278" t="s">
        <v>240</v>
      </c>
      <c r="I14" s="278" t="s">
        <v>241</v>
      </c>
      <c r="J14" s="278" t="s">
        <v>242</v>
      </c>
      <c r="K14" s="278" t="s">
        <v>242</v>
      </c>
      <c r="L14" s="278" t="s">
        <v>243</v>
      </c>
      <c r="M14" s="278" t="s">
        <v>840</v>
      </c>
      <c r="N14" s="278" t="s">
        <v>841</v>
      </c>
      <c r="O14" s="278" t="s">
        <v>840</v>
      </c>
      <c r="P14" s="278" t="s">
        <v>173</v>
      </c>
      <c r="Q14" s="348" t="s">
        <v>174</v>
      </c>
      <c r="R14" s="348" t="s">
        <v>175</v>
      </c>
      <c r="S14" s="348" t="s">
        <v>129</v>
      </c>
      <c r="T14" s="348" t="s">
        <v>842</v>
      </c>
      <c r="U14" s="348" t="s">
        <v>176</v>
      </c>
      <c r="V14" s="62" t="s">
        <v>94</v>
      </c>
      <c r="W14" s="53">
        <f>+(W15*X14)</f>
        <v>0.125</v>
      </c>
      <c r="X14" s="68">
        <f>SUM(Y14:AK14)</f>
        <v>1</v>
      </c>
      <c r="Y14" s="43"/>
      <c r="Z14" s="43"/>
      <c r="AA14" s="43"/>
      <c r="AB14" s="43"/>
      <c r="AC14" s="43"/>
      <c r="AD14" s="43">
        <f>75%/X15*AD15</f>
        <v>0.375</v>
      </c>
      <c r="AE14" s="43"/>
      <c r="AF14" s="43"/>
      <c r="AG14" s="44"/>
      <c r="AH14" s="44"/>
      <c r="AI14" s="44"/>
      <c r="AJ14" s="44">
        <v>0.625</v>
      </c>
      <c r="AK14" s="44"/>
      <c r="AL14" s="530" t="s">
        <v>92</v>
      </c>
      <c r="AM14" s="433" t="s">
        <v>244</v>
      </c>
      <c r="AN14" s="530" t="s">
        <v>92</v>
      </c>
      <c r="AO14" s="494" t="s">
        <v>245</v>
      </c>
    </row>
    <row r="15" spans="1:41" ht="62.9" customHeight="1" thickBot="1" x14ac:dyDescent="0.4">
      <c r="A15" s="279"/>
      <c r="B15" s="279"/>
      <c r="C15" s="279"/>
      <c r="D15" s="279"/>
      <c r="E15" s="279"/>
      <c r="F15" s="358"/>
      <c r="G15" s="279"/>
      <c r="H15" s="279"/>
      <c r="I15" s="279"/>
      <c r="J15" s="279"/>
      <c r="K15" s="279"/>
      <c r="L15" s="279"/>
      <c r="M15" s="279"/>
      <c r="N15" s="279"/>
      <c r="O15" s="279"/>
      <c r="P15" s="279"/>
      <c r="Q15" s="349"/>
      <c r="R15" s="349"/>
      <c r="S15" s="349"/>
      <c r="T15" s="349"/>
      <c r="U15" s="349"/>
      <c r="V15" s="62" t="s">
        <v>99</v>
      </c>
      <c r="W15" s="52">
        <f>100%/8</f>
        <v>0.125</v>
      </c>
      <c r="X15" s="68">
        <f t="shared" ref="X15:X25" si="0">SUM(Y15:AK15)</f>
        <v>1</v>
      </c>
      <c r="Y15" s="42"/>
      <c r="Z15" s="42"/>
      <c r="AA15" s="42"/>
      <c r="AB15" s="42"/>
      <c r="AC15" s="42"/>
      <c r="AD15" s="42">
        <v>0.5</v>
      </c>
      <c r="AE15" s="42"/>
      <c r="AF15" s="42"/>
      <c r="AG15" s="42"/>
      <c r="AH15" s="42"/>
      <c r="AI15" s="42"/>
      <c r="AJ15" s="42">
        <v>0.5</v>
      </c>
      <c r="AK15" s="42"/>
      <c r="AL15" s="531"/>
      <c r="AM15" s="434"/>
      <c r="AN15" s="531"/>
      <c r="AO15" s="495"/>
    </row>
    <row r="16" spans="1:41" ht="37.4" customHeight="1" thickBot="1" x14ac:dyDescent="0.4">
      <c r="A16" s="278">
        <v>2</v>
      </c>
      <c r="B16" s="278" t="s">
        <v>688</v>
      </c>
      <c r="C16" s="278" t="s">
        <v>716</v>
      </c>
      <c r="D16" s="278" t="s">
        <v>121</v>
      </c>
      <c r="E16" s="278" t="s">
        <v>122</v>
      </c>
      <c r="F16" s="354" t="s">
        <v>88</v>
      </c>
      <c r="G16" s="278" t="s">
        <v>246</v>
      </c>
      <c r="H16" s="278" t="s">
        <v>247</v>
      </c>
      <c r="I16" s="278" t="s">
        <v>248</v>
      </c>
      <c r="J16" s="278" t="s">
        <v>242</v>
      </c>
      <c r="K16" s="278" t="s">
        <v>242</v>
      </c>
      <c r="L16" s="278" t="s">
        <v>243</v>
      </c>
      <c r="M16" s="278" t="s">
        <v>840</v>
      </c>
      <c r="N16" s="278" t="s">
        <v>841</v>
      </c>
      <c r="O16" s="278" t="s">
        <v>840</v>
      </c>
      <c r="P16" s="278" t="s">
        <v>173</v>
      </c>
      <c r="Q16" s="348" t="s">
        <v>174</v>
      </c>
      <c r="R16" s="348" t="s">
        <v>175</v>
      </c>
      <c r="S16" s="348" t="s">
        <v>129</v>
      </c>
      <c r="T16" s="348" t="s">
        <v>842</v>
      </c>
      <c r="U16" s="348" t="s">
        <v>176</v>
      </c>
      <c r="V16" s="62" t="s">
        <v>94</v>
      </c>
      <c r="W16" s="53">
        <f>+(W17*X16)</f>
        <v>0.125</v>
      </c>
      <c r="X16" s="68">
        <f t="shared" ref="X16:X21" si="1">SUM(Y16:AK16)</f>
        <v>1</v>
      </c>
      <c r="Y16" s="43"/>
      <c r="Z16" s="43"/>
      <c r="AA16" s="43"/>
      <c r="AB16" s="43"/>
      <c r="AC16" s="43"/>
      <c r="AD16" s="43">
        <f>75%/X17*AD17</f>
        <v>0.375</v>
      </c>
      <c r="AE16" s="43"/>
      <c r="AF16" s="43"/>
      <c r="AG16" s="44"/>
      <c r="AH16" s="44"/>
      <c r="AI16" s="44"/>
      <c r="AJ16" s="44">
        <v>0.625</v>
      </c>
      <c r="AK16" s="44"/>
      <c r="AL16" s="530" t="s">
        <v>92</v>
      </c>
      <c r="AM16" s="534" t="s">
        <v>249</v>
      </c>
      <c r="AN16" s="530" t="s">
        <v>92</v>
      </c>
      <c r="AO16" s="494" t="s">
        <v>250</v>
      </c>
    </row>
    <row r="17" spans="1:41" ht="61.4" customHeight="1" thickBot="1" x14ac:dyDescent="0.4">
      <c r="A17" s="279"/>
      <c r="B17" s="279"/>
      <c r="C17" s="279"/>
      <c r="D17" s="279"/>
      <c r="E17" s="279"/>
      <c r="F17" s="355"/>
      <c r="G17" s="279"/>
      <c r="H17" s="279"/>
      <c r="I17" s="279"/>
      <c r="J17" s="279"/>
      <c r="K17" s="279"/>
      <c r="L17" s="279"/>
      <c r="M17" s="279"/>
      <c r="N17" s="279"/>
      <c r="O17" s="279"/>
      <c r="P17" s="279"/>
      <c r="Q17" s="349"/>
      <c r="R17" s="349"/>
      <c r="S17" s="349"/>
      <c r="T17" s="349"/>
      <c r="U17" s="349"/>
      <c r="V17" s="62" t="s">
        <v>99</v>
      </c>
      <c r="W17" s="52">
        <f>100%/8</f>
        <v>0.125</v>
      </c>
      <c r="X17" s="68">
        <f t="shared" si="1"/>
        <v>1</v>
      </c>
      <c r="Y17" s="42"/>
      <c r="Z17" s="42"/>
      <c r="AA17" s="42"/>
      <c r="AB17" s="42"/>
      <c r="AC17" s="42"/>
      <c r="AD17" s="42">
        <v>0.5</v>
      </c>
      <c r="AE17" s="42"/>
      <c r="AF17" s="42"/>
      <c r="AG17" s="42"/>
      <c r="AH17" s="42"/>
      <c r="AI17" s="42"/>
      <c r="AJ17" s="42">
        <v>0.5</v>
      </c>
      <c r="AK17" s="42"/>
      <c r="AL17" s="531"/>
      <c r="AM17" s="433"/>
      <c r="AN17" s="531"/>
      <c r="AO17" s="495"/>
    </row>
    <row r="18" spans="1:41" ht="37.4" customHeight="1" thickBot="1" x14ac:dyDescent="0.4">
      <c r="A18" s="278">
        <v>3</v>
      </c>
      <c r="B18" s="278" t="s">
        <v>688</v>
      </c>
      <c r="C18" s="278" t="s">
        <v>705</v>
      </c>
      <c r="D18" s="278" t="s">
        <v>121</v>
      </c>
      <c r="E18" s="278" t="s">
        <v>122</v>
      </c>
      <c r="F18" s="354" t="s">
        <v>88</v>
      </c>
      <c r="G18" s="278" t="s">
        <v>239</v>
      </c>
      <c r="H18" s="278" t="s">
        <v>251</v>
      </c>
      <c r="I18" s="278" t="s">
        <v>252</v>
      </c>
      <c r="J18" s="278" t="s">
        <v>242</v>
      </c>
      <c r="K18" s="278" t="s">
        <v>242</v>
      </c>
      <c r="L18" s="278" t="s">
        <v>243</v>
      </c>
      <c r="M18" s="278" t="s">
        <v>840</v>
      </c>
      <c r="N18" s="278" t="s">
        <v>841</v>
      </c>
      <c r="O18" s="278" t="s">
        <v>840</v>
      </c>
      <c r="P18" s="278" t="s">
        <v>173</v>
      </c>
      <c r="Q18" s="348" t="s">
        <v>174</v>
      </c>
      <c r="R18" s="348" t="s">
        <v>175</v>
      </c>
      <c r="S18" s="348" t="s">
        <v>129</v>
      </c>
      <c r="T18" s="348" t="s">
        <v>842</v>
      </c>
      <c r="U18" s="348" t="s">
        <v>176</v>
      </c>
      <c r="V18" s="62" t="s">
        <v>94</v>
      </c>
      <c r="W18" s="53">
        <f>+(W19*X18)</f>
        <v>0.125</v>
      </c>
      <c r="X18" s="68">
        <f t="shared" si="1"/>
        <v>1</v>
      </c>
      <c r="Y18" s="43"/>
      <c r="Z18" s="43"/>
      <c r="AA18" s="43"/>
      <c r="AB18" s="43"/>
      <c r="AC18" s="43"/>
      <c r="AD18" s="43">
        <f>75%/X19*AD19</f>
        <v>0.375</v>
      </c>
      <c r="AE18" s="43"/>
      <c r="AF18" s="43"/>
      <c r="AG18" s="44"/>
      <c r="AH18" s="44"/>
      <c r="AI18" s="44"/>
      <c r="AJ18" s="44">
        <v>0.625</v>
      </c>
      <c r="AK18" s="44"/>
      <c r="AL18" s="530" t="s">
        <v>92</v>
      </c>
      <c r="AM18" s="534" t="s">
        <v>253</v>
      </c>
      <c r="AN18" s="530" t="s">
        <v>92</v>
      </c>
      <c r="AO18" s="494" t="s">
        <v>254</v>
      </c>
    </row>
    <row r="19" spans="1:41" ht="47.15" customHeight="1" thickBot="1" x14ac:dyDescent="0.4">
      <c r="A19" s="279"/>
      <c r="B19" s="279"/>
      <c r="C19" s="279"/>
      <c r="D19" s="279"/>
      <c r="E19" s="279"/>
      <c r="F19" s="355"/>
      <c r="G19" s="279"/>
      <c r="H19" s="279"/>
      <c r="I19" s="279"/>
      <c r="J19" s="279"/>
      <c r="K19" s="279"/>
      <c r="L19" s="279"/>
      <c r="M19" s="279"/>
      <c r="N19" s="279"/>
      <c r="O19" s="279"/>
      <c r="P19" s="279"/>
      <c r="Q19" s="349"/>
      <c r="R19" s="349"/>
      <c r="S19" s="349"/>
      <c r="T19" s="349"/>
      <c r="U19" s="349"/>
      <c r="V19" s="62" t="s">
        <v>99</v>
      </c>
      <c r="W19" s="52">
        <f>100%/8</f>
        <v>0.125</v>
      </c>
      <c r="X19" s="68">
        <f t="shared" si="1"/>
        <v>1</v>
      </c>
      <c r="Y19" s="42"/>
      <c r="Z19" s="42"/>
      <c r="AA19" s="42"/>
      <c r="AB19" s="42"/>
      <c r="AC19" s="42"/>
      <c r="AD19" s="42">
        <v>0.5</v>
      </c>
      <c r="AE19" s="42"/>
      <c r="AF19" s="42"/>
      <c r="AG19" s="42"/>
      <c r="AH19" s="42"/>
      <c r="AI19" s="42"/>
      <c r="AJ19" s="42">
        <v>0.5</v>
      </c>
      <c r="AK19" s="42"/>
      <c r="AL19" s="531"/>
      <c r="AM19" s="433"/>
      <c r="AN19" s="531"/>
      <c r="AO19" s="495"/>
    </row>
    <row r="20" spans="1:41" ht="44.15" customHeight="1" thickBot="1" x14ac:dyDescent="0.4">
      <c r="A20" s="278">
        <v>4</v>
      </c>
      <c r="B20" s="278" t="s">
        <v>688</v>
      </c>
      <c r="C20" s="278" t="s">
        <v>710</v>
      </c>
      <c r="D20" s="278" t="s">
        <v>121</v>
      </c>
      <c r="E20" s="278" t="s">
        <v>122</v>
      </c>
      <c r="F20" s="354" t="s">
        <v>88</v>
      </c>
      <c r="G20" s="278" t="s">
        <v>255</v>
      </c>
      <c r="H20" s="278" t="s">
        <v>256</v>
      </c>
      <c r="I20" s="278" t="s">
        <v>257</v>
      </c>
      <c r="J20" s="278" t="s">
        <v>242</v>
      </c>
      <c r="K20" s="278" t="s">
        <v>242</v>
      </c>
      <c r="L20" s="278" t="s">
        <v>258</v>
      </c>
      <c r="M20" s="278" t="s">
        <v>259</v>
      </c>
      <c r="N20" s="278" t="s">
        <v>841</v>
      </c>
      <c r="O20" s="278" t="s">
        <v>259</v>
      </c>
      <c r="P20" s="278" t="s">
        <v>173</v>
      </c>
      <c r="Q20" s="348" t="s">
        <v>260</v>
      </c>
      <c r="R20" s="348" t="s">
        <v>175</v>
      </c>
      <c r="S20" s="348" t="s">
        <v>129</v>
      </c>
      <c r="T20" s="348" t="s">
        <v>842</v>
      </c>
      <c r="U20" s="348" t="s">
        <v>176</v>
      </c>
      <c r="V20" s="62" t="s">
        <v>94</v>
      </c>
      <c r="W20" s="53">
        <f>+(W21*X20)</f>
        <v>0.125</v>
      </c>
      <c r="X20" s="68">
        <f t="shared" si="1"/>
        <v>1</v>
      </c>
      <c r="Y20" s="43"/>
      <c r="Z20" s="43"/>
      <c r="AA20" s="43"/>
      <c r="AB20" s="43"/>
      <c r="AC20" s="43"/>
      <c r="AD20" s="43">
        <f>75%/X21*AD21</f>
        <v>0.375</v>
      </c>
      <c r="AE20" s="43"/>
      <c r="AF20" s="43"/>
      <c r="AG20" s="44"/>
      <c r="AH20" s="44"/>
      <c r="AI20" s="44"/>
      <c r="AJ20" s="44">
        <v>0.625</v>
      </c>
      <c r="AK20" s="44"/>
      <c r="AL20" s="530" t="s">
        <v>92</v>
      </c>
      <c r="AM20" s="433" t="s">
        <v>261</v>
      </c>
      <c r="AN20" s="530" t="s">
        <v>92</v>
      </c>
      <c r="AO20" s="494" t="s">
        <v>262</v>
      </c>
    </row>
    <row r="21" spans="1:41" ht="95.15" customHeight="1" thickBot="1" x14ac:dyDescent="0.4">
      <c r="A21" s="279"/>
      <c r="B21" s="279"/>
      <c r="C21" s="279"/>
      <c r="D21" s="279"/>
      <c r="E21" s="279"/>
      <c r="F21" s="355"/>
      <c r="G21" s="279"/>
      <c r="H21" s="279"/>
      <c r="I21" s="279"/>
      <c r="J21" s="279"/>
      <c r="K21" s="279"/>
      <c r="L21" s="279"/>
      <c r="M21" s="279"/>
      <c r="N21" s="279"/>
      <c r="O21" s="279"/>
      <c r="P21" s="279"/>
      <c r="Q21" s="349"/>
      <c r="R21" s="349"/>
      <c r="S21" s="349"/>
      <c r="T21" s="349"/>
      <c r="U21" s="349"/>
      <c r="V21" s="62" t="s">
        <v>99</v>
      </c>
      <c r="W21" s="52">
        <f>100%/8</f>
        <v>0.125</v>
      </c>
      <c r="X21" s="68">
        <f t="shared" si="1"/>
        <v>1</v>
      </c>
      <c r="Y21" s="42"/>
      <c r="Z21" s="42"/>
      <c r="AA21" s="42"/>
      <c r="AB21" s="42"/>
      <c r="AC21" s="42"/>
      <c r="AD21" s="42">
        <v>0.5</v>
      </c>
      <c r="AE21" s="42"/>
      <c r="AF21" s="42"/>
      <c r="AG21" s="42"/>
      <c r="AH21" s="42"/>
      <c r="AI21" s="42"/>
      <c r="AJ21" s="42">
        <v>0.5</v>
      </c>
      <c r="AK21" s="42"/>
      <c r="AL21" s="531"/>
      <c r="AM21" s="434"/>
      <c r="AN21" s="531"/>
      <c r="AO21" s="495"/>
    </row>
    <row r="22" spans="1:41" ht="37.4" customHeight="1" thickBot="1" x14ac:dyDescent="0.4">
      <c r="A22" s="278">
        <v>5</v>
      </c>
      <c r="B22" s="278" t="s">
        <v>688</v>
      </c>
      <c r="C22" s="278" t="s">
        <v>689</v>
      </c>
      <c r="D22" s="278" t="s">
        <v>121</v>
      </c>
      <c r="E22" s="278" t="s">
        <v>122</v>
      </c>
      <c r="F22" s="354" t="s">
        <v>88</v>
      </c>
      <c r="G22" s="278" t="s">
        <v>239</v>
      </c>
      <c r="H22" s="278" t="s">
        <v>263</v>
      </c>
      <c r="I22" s="278" t="s">
        <v>264</v>
      </c>
      <c r="J22" s="278" t="s">
        <v>242</v>
      </c>
      <c r="K22" s="278" t="s">
        <v>242</v>
      </c>
      <c r="L22" s="278" t="s">
        <v>243</v>
      </c>
      <c r="M22" s="278" t="s">
        <v>840</v>
      </c>
      <c r="N22" s="278" t="s">
        <v>841</v>
      </c>
      <c r="O22" s="278" t="s">
        <v>840</v>
      </c>
      <c r="P22" s="278" t="s">
        <v>173</v>
      </c>
      <c r="Q22" s="348" t="s">
        <v>174</v>
      </c>
      <c r="R22" s="348" t="s">
        <v>175</v>
      </c>
      <c r="S22" s="348" t="s">
        <v>129</v>
      </c>
      <c r="T22" s="348" t="s">
        <v>842</v>
      </c>
      <c r="U22" s="348" t="s">
        <v>176</v>
      </c>
      <c r="V22" s="62" t="s">
        <v>94</v>
      </c>
      <c r="W22" s="53">
        <f>+(W23*X22)</f>
        <v>0.125</v>
      </c>
      <c r="X22" s="68">
        <f t="shared" si="0"/>
        <v>1</v>
      </c>
      <c r="Y22" s="45"/>
      <c r="Z22" s="45"/>
      <c r="AA22" s="45"/>
      <c r="AB22" s="43"/>
      <c r="AC22" s="43"/>
      <c r="AD22" s="43">
        <f>75%/X23*AD23</f>
        <v>0.375</v>
      </c>
      <c r="AE22" s="43"/>
      <c r="AF22" s="43"/>
      <c r="AG22" s="44"/>
      <c r="AH22" s="44"/>
      <c r="AI22" s="44"/>
      <c r="AJ22" s="44">
        <v>0.625</v>
      </c>
      <c r="AK22" s="44"/>
      <c r="AL22" s="530" t="s">
        <v>92</v>
      </c>
      <c r="AM22" s="433" t="s">
        <v>265</v>
      </c>
      <c r="AN22" s="530" t="s">
        <v>92</v>
      </c>
      <c r="AO22" s="494" t="s">
        <v>266</v>
      </c>
    </row>
    <row r="23" spans="1:41" ht="37.4" customHeight="1" thickBot="1" x14ac:dyDescent="0.4">
      <c r="A23" s="279"/>
      <c r="B23" s="279"/>
      <c r="C23" s="279"/>
      <c r="D23" s="279"/>
      <c r="E23" s="279"/>
      <c r="F23" s="355"/>
      <c r="G23" s="279"/>
      <c r="H23" s="279"/>
      <c r="I23" s="279"/>
      <c r="J23" s="279"/>
      <c r="K23" s="279"/>
      <c r="L23" s="279"/>
      <c r="M23" s="279"/>
      <c r="N23" s="279"/>
      <c r="O23" s="279"/>
      <c r="P23" s="279"/>
      <c r="Q23" s="349"/>
      <c r="R23" s="349"/>
      <c r="S23" s="349"/>
      <c r="T23" s="349"/>
      <c r="U23" s="349"/>
      <c r="V23" s="62" t="s">
        <v>99</v>
      </c>
      <c r="W23" s="52">
        <f>100%/8</f>
        <v>0.125</v>
      </c>
      <c r="X23" s="68">
        <v>1</v>
      </c>
      <c r="Y23" s="42"/>
      <c r="Z23" s="42"/>
      <c r="AA23" s="42"/>
      <c r="AB23" s="42"/>
      <c r="AC23" s="42"/>
      <c r="AD23" s="42">
        <v>0.5</v>
      </c>
      <c r="AE23" s="42"/>
      <c r="AF23" s="42"/>
      <c r="AG23" s="42"/>
      <c r="AH23" s="42"/>
      <c r="AI23" s="42"/>
      <c r="AJ23" s="42">
        <v>0.5</v>
      </c>
      <c r="AK23" s="42"/>
      <c r="AL23" s="531"/>
      <c r="AM23" s="434"/>
      <c r="AN23" s="531"/>
      <c r="AO23" s="495"/>
    </row>
    <row r="24" spans="1:41" ht="37.4" customHeight="1" thickBot="1" x14ac:dyDescent="0.4">
      <c r="A24" s="278">
        <v>6</v>
      </c>
      <c r="B24" s="278" t="s">
        <v>688</v>
      </c>
      <c r="C24" s="278" t="s">
        <v>694</v>
      </c>
      <c r="D24" s="278" t="s">
        <v>121</v>
      </c>
      <c r="E24" s="278" t="s">
        <v>122</v>
      </c>
      <c r="F24" s="354" t="s">
        <v>88</v>
      </c>
      <c r="G24" s="278" t="s">
        <v>246</v>
      </c>
      <c r="H24" s="278" t="s">
        <v>267</v>
      </c>
      <c r="I24" s="278" t="s">
        <v>120</v>
      </c>
      <c r="J24" s="278" t="s">
        <v>242</v>
      </c>
      <c r="K24" s="278" t="s">
        <v>242</v>
      </c>
      <c r="L24" s="278" t="s">
        <v>243</v>
      </c>
      <c r="M24" s="278" t="s">
        <v>840</v>
      </c>
      <c r="N24" s="278" t="s">
        <v>841</v>
      </c>
      <c r="O24" s="278" t="s">
        <v>840</v>
      </c>
      <c r="P24" s="278" t="s">
        <v>173</v>
      </c>
      <c r="Q24" s="348" t="s">
        <v>174</v>
      </c>
      <c r="R24" s="348" t="s">
        <v>175</v>
      </c>
      <c r="S24" s="348" t="s">
        <v>129</v>
      </c>
      <c r="T24" s="348" t="s">
        <v>842</v>
      </c>
      <c r="U24" s="348" t="s">
        <v>176</v>
      </c>
      <c r="V24" s="62" t="s">
        <v>94</v>
      </c>
      <c r="W24" s="53">
        <f>+(W25*X24)</f>
        <v>0.125</v>
      </c>
      <c r="X24" s="68">
        <f t="shared" si="0"/>
        <v>1</v>
      </c>
      <c r="Y24" s="61"/>
      <c r="Z24" s="61"/>
      <c r="AA24" s="61"/>
      <c r="AB24" s="43"/>
      <c r="AC24" s="43"/>
      <c r="AD24" s="43">
        <f>75%/X25*AD25</f>
        <v>0.375</v>
      </c>
      <c r="AE24" s="43"/>
      <c r="AF24" s="43"/>
      <c r="AG24" s="44"/>
      <c r="AH24" s="44"/>
      <c r="AI24" s="44"/>
      <c r="AJ24" s="44">
        <v>0.625</v>
      </c>
      <c r="AK24" s="44"/>
      <c r="AL24" s="530" t="s">
        <v>92</v>
      </c>
      <c r="AM24" s="532" t="s">
        <v>268</v>
      </c>
      <c r="AN24" s="530" t="s">
        <v>92</v>
      </c>
      <c r="AO24" s="494" t="s">
        <v>269</v>
      </c>
    </row>
    <row r="25" spans="1:41" ht="56.15" customHeight="1" thickBot="1" x14ac:dyDescent="0.4">
      <c r="A25" s="279"/>
      <c r="B25" s="279"/>
      <c r="C25" s="279"/>
      <c r="D25" s="279"/>
      <c r="E25" s="279"/>
      <c r="F25" s="355"/>
      <c r="G25" s="279"/>
      <c r="H25" s="279"/>
      <c r="I25" s="279"/>
      <c r="J25" s="279"/>
      <c r="K25" s="279"/>
      <c r="L25" s="279"/>
      <c r="M25" s="279"/>
      <c r="N25" s="279"/>
      <c r="O25" s="279"/>
      <c r="P25" s="279"/>
      <c r="Q25" s="349"/>
      <c r="R25" s="349"/>
      <c r="S25" s="349"/>
      <c r="T25" s="349"/>
      <c r="U25" s="349"/>
      <c r="V25" s="62" t="s">
        <v>99</v>
      </c>
      <c r="W25" s="52">
        <f>100%/8</f>
        <v>0.125</v>
      </c>
      <c r="X25" s="68">
        <f t="shared" si="0"/>
        <v>1</v>
      </c>
      <c r="Y25" s="42"/>
      <c r="Z25" s="42"/>
      <c r="AA25" s="42"/>
      <c r="AB25" s="42"/>
      <c r="AC25" s="42"/>
      <c r="AD25" s="42">
        <v>0.5</v>
      </c>
      <c r="AE25" s="42"/>
      <c r="AF25" s="42"/>
      <c r="AG25" s="42"/>
      <c r="AH25" s="42"/>
      <c r="AI25" s="42"/>
      <c r="AJ25" s="42">
        <v>0.5</v>
      </c>
      <c r="AK25" s="42"/>
      <c r="AL25" s="531"/>
      <c r="AM25" s="533"/>
      <c r="AN25" s="531"/>
      <c r="AO25" s="495"/>
    </row>
    <row r="26" spans="1:41" ht="37" customHeight="1" thickBot="1" x14ac:dyDescent="0.4">
      <c r="A26" s="278">
        <v>7</v>
      </c>
      <c r="B26" s="278" t="s">
        <v>688</v>
      </c>
      <c r="C26" s="278" t="s">
        <v>710</v>
      </c>
      <c r="D26" s="278" t="s">
        <v>121</v>
      </c>
      <c r="E26" s="278" t="s">
        <v>122</v>
      </c>
      <c r="F26" s="275" t="s">
        <v>88</v>
      </c>
      <c r="G26" s="278" t="s">
        <v>255</v>
      </c>
      <c r="H26" s="278" t="s">
        <v>270</v>
      </c>
      <c r="I26" s="278" t="s">
        <v>271</v>
      </c>
      <c r="J26" s="278" t="s">
        <v>242</v>
      </c>
      <c r="K26" s="278" t="s">
        <v>242</v>
      </c>
      <c r="L26" s="278" t="s">
        <v>243</v>
      </c>
      <c r="M26" s="278" t="s">
        <v>840</v>
      </c>
      <c r="N26" s="278" t="s">
        <v>841</v>
      </c>
      <c r="O26" s="278" t="s">
        <v>840</v>
      </c>
      <c r="P26" s="278" t="s">
        <v>173</v>
      </c>
      <c r="Q26" s="348" t="s">
        <v>174</v>
      </c>
      <c r="R26" s="348" t="s">
        <v>175</v>
      </c>
      <c r="S26" s="348" t="s">
        <v>129</v>
      </c>
      <c r="T26" s="348" t="s">
        <v>842</v>
      </c>
      <c r="U26" s="348" t="s">
        <v>176</v>
      </c>
      <c r="V26" s="62" t="s">
        <v>94</v>
      </c>
      <c r="W26" s="53">
        <f>+(W27*X26)</f>
        <v>0.125</v>
      </c>
      <c r="X26" s="68">
        <f>SUM(Y26:AK26)</f>
        <v>1</v>
      </c>
      <c r="Y26" s="45"/>
      <c r="Z26" s="45"/>
      <c r="AA26" s="45"/>
      <c r="AB26" s="45"/>
      <c r="AC26" s="45"/>
      <c r="AD26" s="178">
        <f>75%/X27*AD27</f>
        <v>0.375</v>
      </c>
      <c r="AE26" s="45"/>
      <c r="AF26" s="45"/>
      <c r="AG26" s="45"/>
      <c r="AH26" s="45"/>
      <c r="AI26" s="45"/>
      <c r="AJ26" s="44">
        <v>0.625</v>
      </c>
      <c r="AK26" s="45"/>
      <c r="AL26" s="530" t="s">
        <v>92</v>
      </c>
      <c r="AM26" s="433" t="s">
        <v>272</v>
      </c>
      <c r="AN26" s="433" t="s">
        <v>272</v>
      </c>
      <c r="AO26" s="433" t="s">
        <v>273</v>
      </c>
    </row>
    <row r="27" spans="1:41" ht="37.4" customHeight="1" thickBot="1" x14ac:dyDescent="0.4">
      <c r="A27" s="279"/>
      <c r="B27" s="279"/>
      <c r="C27" s="279"/>
      <c r="D27" s="279"/>
      <c r="E27" s="279"/>
      <c r="F27" s="275"/>
      <c r="G27" s="279"/>
      <c r="H27" s="279"/>
      <c r="I27" s="279"/>
      <c r="J27" s="279"/>
      <c r="K27" s="279"/>
      <c r="L27" s="279"/>
      <c r="M27" s="279"/>
      <c r="N27" s="279"/>
      <c r="O27" s="279"/>
      <c r="P27" s="279"/>
      <c r="Q27" s="349"/>
      <c r="R27" s="349"/>
      <c r="S27" s="349"/>
      <c r="T27" s="349"/>
      <c r="U27" s="349"/>
      <c r="V27" s="62" t="s">
        <v>99</v>
      </c>
      <c r="W27" s="52">
        <f>100%/8</f>
        <v>0.125</v>
      </c>
      <c r="X27" s="68">
        <f>SUM(Y27:AK27)</f>
        <v>1</v>
      </c>
      <c r="Y27" s="42"/>
      <c r="Z27" s="42"/>
      <c r="AA27" s="42"/>
      <c r="AB27" s="42"/>
      <c r="AC27" s="42"/>
      <c r="AD27" s="42">
        <v>0.5</v>
      </c>
      <c r="AE27" s="42"/>
      <c r="AF27" s="42"/>
      <c r="AG27" s="42"/>
      <c r="AH27" s="42"/>
      <c r="AI27" s="42"/>
      <c r="AJ27" s="42">
        <v>0.5</v>
      </c>
      <c r="AK27" s="42"/>
      <c r="AL27" s="531"/>
      <c r="AM27" s="434"/>
      <c r="AN27" s="434"/>
      <c r="AO27" s="434"/>
    </row>
    <row r="28" spans="1:41" ht="37.4" customHeight="1" thickBot="1" x14ac:dyDescent="0.4">
      <c r="A28" s="278">
        <v>8</v>
      </c>
      <c r="B28" s="278" t="s">
        <v>688</v>
      </c>
      <c r="C28" s="278" t="s">
        <v>710</v>
      </c>
      <c r="D28" s="278" t="s">
        <v>121</v>
      </c>
      <c r="E28" s="278" t="s">
        <v>122</v>
      </c>
      <c r="F28" s="275" t="s">
        <v>88</v>
      </c>
      <c r="G28" s="278" t="s">
        <v>239</v>
      </c>
      <c r="H28" s="278" t="s">
        <v>274</v>
      </c>
      <c r="I28" s="278" t="s">
        <v>275</v>
      </c>
      <c r="J28" s="278" t="s">
        <v>276</v>
      </c>
      <c r="K28" s="278" t="s">
        <v>242</v>
      </c>
      <c r="L28" s="278" t="s">
        <v>243</v>
      </c>
      <c r="M28" s="278" t="s">
        <v>840</v>
      </c>
      <c r="N28" s="278" t="s">
        <v>841</v>
      </c>
      <c r="O28" s="278" t="s">
        <v>840</v>
      </c>
      <c r="P28" s="278" t="s">
        <v>173</v>
      </c>
      <c r="Q28" s="348" t="s">
        <v>277</v>
      </c>
      <c r="R28" s="348" t="s">
        <v>175</v>
      </c>
      <c r="S28" s="348" t="s">
        <v>129</v>
      </c>
      <c r="T28" s="348" t="s">
        <v>842</v>
      </c>
      <c r="U28" s="348" t="s">
        <v>176</v>
      </c>
      <c r="V28" s="62" t="s">
        <v>94</v>
      </c>
      <c r="W28" s="53">
        <f>+(W29*X28)</f>
        <v>0.125</v>
      </c>
      <c r="X28" s="68">
        <f>SUM(Y28:AK28)</f>
        <v>1</v>
      </c>
      <c r="Y28" s="45"/>
      <c r="Z28" s="45"/>
      <c r="AA28" s="45"/>
      <c r="AB28" s="45"/>
      <c r="AC28" s="45"/>
      <c r="AD28" s="178">
        <f>75%/X29*AD29</f>
        <v>0.375</v>
      </c>
      <c r="AE28" s="45"/>
      <c r="AF28" s="45"/>
      <c r="AG28" s="45"/>
      <c r="AH28" s="45"/>
      <c r="AI28" s="45"/>
      <c r="AJ28" s="44">
        <v>0.625</v>
      </c>
      <c r="AK28" s="45"/>
      <c r="AL28" s="530" t="s">
        <v>92</v>
      </c>
      <c r="AM28" s="433" t="s">
        <v>278</v>
      </c>
      <c r="AN28" s="433" t="s">
        <v>279</v>
      </c>
      <c r="AO28" s="433" t="s">
        <v>279</v>
      </c>
    </row>
    <row r="29" spans="1:41" ht="37.4" customHeight="1" x14ac:dyDescent="0.35">
      <c r="A29" s="279"/>
      <c r="B29" s="279"/>
      <c r="C29" s="279"/>
      <c r="D29" s="279"/>
      <c r="E29" s="279"/>
      <c r="F29" s="275"/>
      <c r="G29" s="279"/>
      <c r="H29" s="279"/>
      <c r="I29" s="279"/>
      <c r="J29" s="279"/>
      <c r="K29" s="279"/>
      <c r="L29" s="279"/>
      <c r="M29" s="279"/>
      <c r="N29" s="279"/>
      <c r="O29" s="279"/>
      <c r="P29" s="279"/>
      <c r="Q29" s="349"/>
      <c r="R29" s="349"/>
      <c r="S29" s="349"/>
      <c r="T29" s="349"/>
      <c r="U29" s="349"/>
      <c r="V29" s="62" t="s">
        <v>99</v>
      </c>
      <c r="W29" s="52">
        <f>100%/8</f>
        <v>0.125</v>
      </c>
      <c r="X29" s="68">
        <f>SUM(Y29:AK29)</f>
        <v>1</v>
      </c>
      <c r="Y29" s="42"/>
      <c r="Z29" s="42"/>
      <c r="AA29" s="42"/>
      <c r="AB29" s="42"/>
      <c r="AC29" s="42"/>
      <c r="AD29" s="42">
        <v>0.5</v>
      </c>
      <c r="AE29" s="42"/>
      <c r="AF29" s="42"/>
      <c r="AG29" s="42"/>
      <c r="AH29" s="42"/>
      <c r="AI29" s="42"/>
      <c r="AJ29" s="42">
        <v>0.5</v>
      </c>
      <c r="AK29" s="42"/>
      <c r="AL29" s="531"/>
      <c r="AM29" s="434"/>
      <c r="AN29" s="434"/>
      <c r="AO29" s="434"/>
    </row>
    <row r="30" spans="1:41" s="13" customFormat="1" ht="30" hidden="1" customHeight="1" x14ac:dyDescent="0.35">
      <c r="D30" s="371"/>
      <c r="E30" s="371"/>
      <c r="F30" s="21"/>
      <c r="H30" s="278"/>
      <c r="I30" s="15"/>
      <c r="J30" s="17"/>
      <c r="K30" s="34"/>
      <c r="L30" s="34"/>
      <c r="M30" s="34"/>
      <c r="N30" s="34"/>
      <c r="O30" s="34"/>
      <c r="P30" s="34"/>
      <c r="Q30" s="34"/>
      <c r="R30" s="34"/>
      <c r="S30" s="34"/>
      <c r="T30" s="34"/>
      <c r="U30" s="34"/>
      <c r="V30" s="34">
        <f>SUM(V29:V29)</f>
        <v>0</v>
      </c>
      <c r="W30" s="37"/>
      <c r="X30" s="34"/>
      <c r="Y30" s="34"/>
      <c r="Z30" s="27">
        <f>SUM(W29:Z29)</f>
        <v>1.125</v>
      </c>
      <c r="AA30" s="27"/>
      <c r="AB30" s="27"/>
      <c r="AC30" s="27"/>
      <c r="AD30" s="27">
        <f>SUM(AA29:AD29)</f>
        <v>0.5</v>
      </c>
      <c r="AE30" s="27"/>
      <c r="AF30" s="27"/>
      <c r="AG30" s="27"/>
      <c r="AH30" s="27">
        <f>SUM(AE29:AH29)</f>
        <v>0</v>
      </c>
      <c r="AI30" s="39"/>
      <c r="AJ30" s="27"/>
      <c r="AK30" s="64"/>
    </row>
    <row r="31" spans="1:41" s="13" customFormat="1" ht="30" hidden="1" customHeight="1" x14ac:dyDescent="0.35">
      <c r="H31" s="279"/>
      <c r="I31" s="15"/>
      <c r="J31" s="14"/>
      <c r="K31" s="34"/>
      <c r="L31" s="34"/>
      <c r="M31" s="34"/>
      <c r="N31" s="34"/>
      <c r="O31" s="34"/>
      <c r="P31" s="34"/>
      <c r="Q31" s="34"/>
      <c r="R31" s="34"/>
      <c r="S31" s="34"/>
      <c r="T31" s="34"/>
      <c r="U31" s="34"/>
      <c r="V31" s="34" t="e">
        <f>+#REF!+V30</f>
        <v>#REF!</v>
      </c>
      <c r="W31" s="37"/>
      <c r="X31" s="34"/>
      <c r="Y31" s="34"/>
      <c r="Z31" s="26"/>
      <c r="AA31" s="27"/>
      <c r="AB31" s="27"/>
      <c r="AC31" s="27"/>
      <c r="AD31" s="27"/>
      <c r="AE31" s="27"/>
      <c r="AF31" s="27"/>
      <c r="AG31" s="27"/>
      <c r="AH31" s="27">
        <f>+Z30+AD30+AH30</f>
        <v>1.625</v>
      </c>
      <c r="AI31" s="39"/>
      <c r="AJ31" s="27"/>
      <c r="AK31" s="64"/>
    </row>
    <row r="32" spans="1:41" s="13" customFormat="1" ht="30" hidden="1" customHeight="1" x14ac:dyDescent="0.35">
      <c r="H32" s="55"/>
      <c r="I32" s="18"/>
      <c r="J32" s="19"/>
      <c r="K32" s="35"/>
      <c r="L32" s="35"/>
      <c r="M32" s="35"/>
      <c r="N32" s="35"/>
      <c r="O32" s="35"/>
      <c r="P32" s="35"/>
      <c r="Q32" s="35"/>
      <c r="R32" s="35"/>
      <c r="S32" s="35"/>
      <c r="T32" s="35"/>
      <c r="U32" s="35"/>
      <c r="V32" s="35"/>
      <c r="W32" s="38"/>
      <c r="X32" s="35"/>
      <c r="Y32" s="35"/>
      <c r="Z32" s="28"/>
      <c r="AA32" s="29"/>
      <c r="AB32" s="29"/>
      <c r="AC32" s="29"/>
      <c r="AD32" s="29"/>
      <c r="AE32" s="29"/>
      <c r="AF32" s="29"/>
      <c r="AG32" s="29"/>
      <c r="AH32" s="29" t="e">
        <f>+V31+AH31</f>
        <v>#REF!</v>
      </c>
      <c r="AI32" s="40"/>
      <c r="AJ32" s="29"/>
      <c r="AK32" s="64"/>
    </row>
    <row r="33" spans="8:37" s="13" customFormat="1" ht="30" hidden="1" customHeight="1" x14ac:dyDescent="0.35">
      <c r="H33" s="463" t="s">
        <v>139</v>
      </c>
      <c r="I33" s="15" t="s">
        <v>140</v>
      </c>
      <c r="J33" s="23" t="e">
        <f>SUM(O33:AJ33)</f>
        <v>#REF!</v>
      </c>
      <c r="K33" s="34"/>
      <c r="L33" s="34"/>
      <c r="M33" s="34"/>
      <c r="N33" s="34"/>
      <c r="O33" s="34" t="e">
        <f>+(AC15*$W$15)+(AC17*$W$17)+(AC19*$W$19)+(AC21*$W$21)+(#REF!*$W$23)+(AC26*$W$25)+(#REF!*$W$27)+(#REF!*#REF!)+(#REF!*#REF!)+(#REF!*#REF!)+(#REF!*#REF!)+(#REF!*#REF!)+(#REF!*#REF!)</f>
        <v>#REF!</v>
      </c>
      <c r="P33" s="34"/>
      <c r="Q33" s="34"/>
      <c r="R33" s="34"/>
      <c r="S33" s="34"/>
      <c r="T33" s="34"/>
      <c r="U33" s="34"/>
      <c r="V33" s="34" t="e">
        <f>+(AJ15*$W$15)+(AJ17*$W$17)+(AJ19*$W$19)+(AJ21*$W$21)+(#REF!*$W$23)+(AJ26*$W$25)+(#REF!*$W$27)+(#REF!*#REF!)+(#REF!*#REF!)+(#REF!*#REF!)+(#REF!*#REF!)+(#REF!*#REF!)+(#REF!*#REF!)</f>
        <v>#REF!</v>
      </c>
      <c r="W33" s="37" t="e">
        <f>+(#REF!*$W$15)+(#REF!*$W$17)+(#REF!*$W$19)+(#REF!*$W$21)+(#REF!*$W$23)+(#REF!*$W$25)+(#REF!*$W$27)+(#REF!*#REF!)+(#REF!*#REF!)+(#REF!*#REF!)+(#REF!*#REF!)+(#REF!*#REF!)+(#REF!*#REF!)</f>
        <v>#REF!</v>
      </c>
      <c r="X33" s="34" t="e">
        <f>+(#REF!*$W$15)+(#REF!*$W$17)+(#REF!*$W$19)+(#REF!*$W$21)+(#REF!*$W$23)+(#REF!*$W$25)+(#REF!*$W$27)+(#REF!*#REF!)+(#REF!*#REF!)+(#REF!*#REF!)+(#REF!*#REF!)+(#REF!*#REF!)+(#REF!*#REF!)</f>
        <v>#REF!</v>
      </c>
      <c r="Y33" s="34" t="e">
        <f>+(#REF!*$W$15)+(#REF!*$W$17)+(#REF!*$W$19)+(#REF!*$W$21)+(#REF!*$W$23)+(#REF!*$W$25)+(#REF!*$W$27)+(#REF!*#REF!)+(#REF!*#REF!)+(#REF!*#REF!)+(#REF!*#REF!)+(#REF!*#REF!)+(#REF!*#REF!)</f>
        <v>#REF!</v>
      </c>
      <c r="Z33" s="34" t="e">
        <f>+(#REF!*$W$15)+(#REF!*$W$17)+(#REF!*$W$19)+(#REF!*$W$21)+(#REF!*$W$23)+(#REF!*$W$25)+(Y26*$W$27)+(#REF!*#REF!)+(#REF!*#REF!)+(#REF!*#REF!)+(#REF!*#REF!)+(#REF!*#REF!)+(#REF!*#REF!)</f>
        <v>#REF!</v>
      </c>
      <c r="AA33" s="34" t="e">
        <f>+(#REF!*$W$15)+(#REF!*$W$17)+(#REF!*$W$19)+(#REF!*$W$21)+(#REF!*$W$23)+(#REF!*$W$25)+(#REF!*$W$27)+(#REF!*#REF!)+(#REF!*#REF!)+(#REF!*#REF!)+(#REF!*#REF!)+(#REF!*#REF!)+(#REF!*#REF!)</f>
        <v>#REF!</v>
      </c>
      <c r="AB33" s="34" t="e">
        <f>+(#REF!*$W$15)+(#REF!*$W$17)+(#REF!*$W$19)+(#REF!*$W$21)+(#REF!*$W$23)+(#REF!*$W$25)+(#REF!*$W$27)+(#REF!*#REF!)+(#REF!*#REF!)+(#REF!*#REF!)+(#REF!*#REF!)+(#REF!*#REF!)+(#REF!*#REF!)</f>
        <v>#REF!</v>
      </c>
      <c r="AC33" s="34" t="e">
        <f>+(#REF!*$W$15)+(#REF!*$W$17)+(#REF!*$W$19)+(#REF!*$W$21)+(#REF!*$W$23)+(#REF!*$W$25)+(#REF!*$W$27)+(#REF!*#REF!)+(#REF!*#REF!)+(#REF!*#REF!)+(#REF!*#REF!)+(#REF!*#REF!)+(#REF!*#REF!)</f>
        <v>#REF!</v>
      </c>
      <c r="AD33" s="34" t="e">
        <f>+(#REF!*$W$15)+(#REF!*$W$17)+(#REF!*$W$19)+(#REF!*$W$21)+(#REF!*$W$23)+(#REF!*$W$25)+(#REF!*$W$27)+(#REF!*#REF!)+(#REF!*#REF!)+(#REF!*#REF!)+(#REF!*#REF!)+(#REF!*#REF!)+(#REF!*#REF!)</f>
        <v>#REF!</v>
      </c>
      <c r="AE33" s="34" t="e">
        <f>+(#REF!*$W$15)+(#REF!*$W$17)+(#REF!*$W$19)+(#REF!*$W$21)+(#REF!*$W$23)+(#REF!*$W$25)+(#REF!*$W$27)+(#REF!*#REF!)+(#REF!*#REF!)+(#REF!*#REF!)+(#REF!*#REF!)+(#REF!*#REF!)+(#REF!*#REF!)</f>
        <v>#REF!</v>
      </c>
      <c r="AF33" s="34" t="e">
        <f>+(#REF!*$W$15)+(#REF!*$W$17)+(#REF!*$W$19)+(#REF!*$W$21)+(#REF!*$W$23)+(#REF!*$W$25)+(#REF!*$W$27)+(#REF!*#REF!)+(#REF!*#REF!)+(#REF!*#REF!)+(#REF!*#REF!)+(#REF!*#REF!)+(#REF!*#REF!)</f>
        <v>#REF!</v>
      </c>
      <c r="AG33" s="34" t="e">
        <f>+(#REF!*$W$15)+(#REF!*$W$17)+(#REF!*$W$19)+(#REF!*$W$21)+(#REF!*$W$23)+(#REF!*$W$25)+(#REF!*$W$27)+(#REF!*#REF!)+(#REF!*#REF!)+(#REF!*#REF!)+(#REF!*#REF!)+(#REF!*#REF!)+(#REF!*#REF!)</f>
        <v>#REF!</v>
      </c>
      <c r="AH33" s="34" t="e">
        <f>+(#REF!*$W$15)+(#REF!*$W$17)+(#REF!*$W$19)+(#REF!*$W$21)+(#REF!*$W$23)+(#REF!*$W$25)+(#REF!*$W$27)+(#REF!*#REF!)+(#REF!*#REF!)+(#REF!*#REF!)+(#REF!*#REF!)+(#REF!*#REF!)+(#REF!*#REF!)</f>
        <v>#REF!</v>
      </c>
      <c r="AI33" s="37" t="e">
        <f>+(#REF!*$W$15)+(#REF!*$W$17)+(#REF!*$W$19)+(#REF!*$W$21)+(#REF!*$W$23)+(#REF!*$W$25)+(#REF!*$W$27)+(#REF!*#REF!)+(#REF!*#REF!)+(#REF!*#REF!)+(#REF!*#REF!)+(#REF!*#REF!)+(#REF!*#REF!)</f>
        <v>#REF!</v>
      </c>
      <c r="AJ33" s="34" t="e">
        <f>+(#REF!*$W$15)+(#REF!*$W$17)+(#REF!*$W$19)+(#REF!*$W$21)+(#REF!*$W$23)+(#REF!*$W$25)+(#REF!*$W$27)+(#REF!*#REF!)+(#REF!*#REF!)+(#REF!*#REF!)+(#REF!*#REF!)+(#REF!*#REF!)+(#REF!*#REF!)</f>
        <v>#REF!</v>
      </c>
      <c r="AK33" s="63"/>
    </row>
    <row r="34" spans="8:37" s="13" customFormat="1" ht="30" hidden="1" customHeight="1" x14ac:dyDescent="0.35">
      <c r="H34" s="461"/>
      <c r="I34" s="15" t="s">
        <v>141</v>
      </c>
      <c r="J34" s="16"/>
      <c r="K34" s="34"/>
      <c r="L34" s="34"/>
      <c r="M34" s="34"/>
      <c r="N34" s="34"/>
      <c r="O34" s="34"/>
      <c r="P34" s="34"/>
      <c r="Q34" s="34"/>
      <c r="R34" s="34"/>
      <c r="S34" s="34"/>
      <c r="T34" s="34"/>
      <c r="U34" s="34"/>
      <c r="V34" s="34" t="e">
        <f>SUM(V33:V33)</f>
        <v>#REF!</v>
      </c>
      <c r="W34" s="37"/>
      <c r="X34" s="34"/>
      <c r="Y34" s="34"/>
      <c r="Z34" s="34" t="e">
        <f>SUM(W33:Z33)</f>
        <v>#REF!</v>
      </c>
      <c r="AA34" s="34"/>
      <c r="AB34" s="34"/>
      <c r="AC34" s="34"/>
      <c r="AD34" s="34" t="e">
        <f>SUM(AA33:AD33)</f>
        <v>#REF!</v>
      </c>
      <c r="AE34" s="34"/>
      <c r="AF34" s="34"/>
      <c r="AG34" s="34"/>
      <c r="AH34" s="34" t="e">
        <f>SUM(AE33:AH33)</f>
        <v>#REF!</v>
      </c>
      <c r="AI34" s="37"/>
      <c r="AJ34" s="34"/>
      <c r="AK34" s="63"/>
    </row>
    <row r="35" spans="8:37" s="13" customFormat="1" ht="30" hidden="1" customHeight="1" x14ac:dyDescent="0.35">
      <c r="H35" s="461"/>
      <c r="I35" s="15" t="s">
        <v>142</v>
      </c>
      <c r="J35" s="14"/>
      <c r="K35" s="34"/>
      <c r="L35" s="34"/>
      <c r="M35" s="34"/>
      <c r="N35" s="34"/>
      <c r="O35" s="34"/>
      <c r="P35" s="34"/>
      <c r="Q35" s="34"/>
      <c r="R35" s="34"/>
      <c r="S35" s="34"/>
      <c r="T35" s="34"/>
      <c r="U35" s="34"/>
      <c r="V35" s="34" t="e">
        <f>+#REF!+V34</f>
        <v>#REF!</v>
      </c>
      <c r="W35" s="37"/>
      <c r="X35" s="34"/>
      <c r="Y35" s="34"/>
      <c r="Z35" s="26"/>
      <c r="AA35" s="27"/>
      <c r="AB35" s="27"/>
      <c r="AC35" s="27"/>
      <c r="AD35" s="27"/>
      <c r="AE35" s="27"/>
      <c r="AF35" s="27"/>
      <c r="AG35" s="27"/>
      <c r="AH35" s="27" t="e">
        <f>+Z34+AD34+AH34</f>
        <v>#REF!</v>
      </c>
      <c r="AI35" s="39"/>
      <c r="AJ35" s="27"/>
      <c r="AK35" s="64"/>
    </row>
    <row r="36" spans="8:37" s="13" customFormat="1" ht="30" hidden="1" customHeight="1" x14ac:dyDescent="0.35">
      <c r="H36" s="462"/>
      <c r="I36" s="20" t="s">
        <v>143</v>
      </c>
      <c r="J36" s="19"/>
      <c r="K36" s="35"/>
      <c r="L36" s="35"/>
      <c r="M36" s="35"/>
      <c r="N36" s="35"/>
      <c r="O36" s="35"/>
      <c r="P36" s="35"/>
      <c r="Q36" s="35"/>
      <c r="R36" s="35"/>
      <c r="S36" s="35"/>
      <c r="T36" s="35"/>
      <c r="U36" s="35"/>
      <c r="V36" s="35"/>
      <c r="W36" s="38"/>
      <c r="X36" s="35"/>
      <c r="Y36" s="35"/>
      <c r="Z36" s="28"/>
      <c r="AA36" s="29"/>
      <c r="AB36" s="29"/>
      <c r="AC36" s="29"/>
      <c r="AD36" s="29"/>
      <c r="AE36" s="29"/>
      <c r="AF36" s="29"/>
      <c r="AG36" s="29"/>
      <c r="AH36" s="29" t="e">
        <f>+V35+AH35</f>
        <v>#REF!</v>
      </c>
      <c r="AI36" s="40"/>
      <c r="AJ36" s="41"/>
      <c r="AK36" s="64"/>
    </row>
    <row r="37" spans="8:37" ht="30" hidden="1" customHeight="1" x14ac:dyDescent="0.35">
      <c r="H37" s="24"/>
      <c r="I37" s="372" t="s">
        <v>144</v>
      </c>
      <c r="J37" s="372"/>
      <c r="K37" s="46"/>
      <c r="L37" s="46"/>
      <c r="M37" s="46"/>
      <c r="N37" s="46"/>
      <c r="O37" s="46" t="e">
        <f>+O29/O33</f>
        <v>#REF!</v>
      </c>
      <c r="P37" s="46"/>
      <c r="Q37" s="46"/>
      <c r="R37" s="46"/>
      <c r="S37" s="46"/>
      <c r="T37" s="46"/>
      <c r="U37" s="46"/>
      <c r="V37" s="47" t="e">
        <f>+(O29+#REF!+#REF!+#REF!+#REF!+#REF!+#REF!+V29)/(O33+#REF!+#REF!+#REF!+#REF!+#REF!+#REF!+V33)</f>
        <v>#REF!</v>
      </c>
      <c r="W37" s="48" t="e">
        <f>+(O29+#REF!+#REF!+#REF!+#REF!+#REF!+#REF!+V29+W29)/(O33+#REF!+#REF!+#REF!+#REF!+#REF!+#REF!+V33+W33)</f>
        <v>#REF!</v>
      </c>
      <c r="X37" s="46" t="e">
        <f>+(O29+#REF!+#REF!+#REF!+#REF!+#REF!+#REF!+V29+W29+X29)/(O33+#REF!+#REF!+#REF!+#REF!+#REF!+#REF!+V33+W33+X33)</f>
        <v>#REF!</v>
      </c>
      <c r="Y37" s="46" t="e">
        <f>+(O29+#REF!+#REF!+#REF!+#REF!+#REF!+#REF!+V29+W29+X29+Y29)/(O33+#REF!+#REF!+#REF!+#REF!+#REF!+#REF!+V33+W33+X33+Y33)</f>
        <v>#REF!</v>
      </c>
      <c r="Z37" s="47" t="e">
        <f>+(O29+#REF!+#REF!+#REF!+#REF!+#REF!+#REF!+V29+W29+X29+Y29+Z29)/(O33+#REF!+#REF!+#REF!+#REF!+#REF!+#REF!+V33+W33+X33+Y33+Z33)</f>
        <v>#REF!</v>
      </c>
      <c r="AA37" s="46" t="e">
        <f>+(O29+#REF!+#REF!+#REF!+#REF!+#REF!+#REF!+V29+W29+X29+Y29+Z29+AA29)/(O33+#REF!+#REF!+#REF!+#REF!+#REF!+#REF!+V33+W33+X33+Y33+Z33+AA33)</f>
        <v>#REF!</v>
      </c>
      <c r="AB37" s="46" t="e">
        <f>+(O29+#REF!+#REF!+#REF!+#REF!+#REF!+#REF!+V29+W29+X29+Y29+Z29+AA29+AB29)/(O33+#REF!+#REF!+#REF!+#REF!+#REF!+#REF!+V33+W33+X33+Y33+Z33+AA33+AB33)</f>
        <v>#REF!</v>
      </c>
      <c r="AC37" s="46" t="e">
        <f>+(O29+#REF!+#REF!+#REF!+#REF!+#REF!+#REF!+V29+W29+X29+Y29+Z29+AA29+AB29+AC29)/(O33+#REF!+#REF!+#REF!+#REF!+#REF!+#REF!+V33+W33+X33+Y33+Z33+AA33+AB33+AC33)</f>
        <v>#REF!</v>
      </c>
      <c r="AD37" s="47" t="e">
        <f>+(O29+#REF!+#REF!+#REF!+#REF!+#REF!+#REF!+V29+W29+X29+Y29+Z29+AA29+AB29+AC29+AD29)/(O33+#REF!+#REF!+#REF!+#REF!+#REF!+#REF!+V33+W33+X33+Y33+Z33+AA33+AB33+AC33+AD33)</f>
        <v>#REF!</v>
      </c>
      <c r="AE37" s="46" t="e">
        <f>+(O29+#REF!+#REF!+#REF!+#REF!+#REF!+#REF!+V29+W29+X29+Y29+Z29+AA29+AB29+AC29+AD29+AE29)/(O33+#REF!+#REF!+#REF!+#REF!+#REF!+#REF!+V33+W33+X33+Y33+Z33+AA33+AB33+AC33+AD33+AE33)</f>
        <v>#REF!</v>
      </c>
      <c r="AF37" s="46" t="e">
        <f>+(O29+#REF!+#REF!+#REF!+#REF!+#REF!+#REF!+V29+W29+X29+Y29+Z29+AA29+AB29+AC29+AD29+AE29+AF29)/(O33+#REF!+#REF!+#REF!+#REF!+#REF!+#REF!+V33+W33+X33+Y33+Z33+AA33+AB33+AC33+AD33+AE33+AF33)</f>
        <v>#REF!</v>
      </c>
      <c r="AG37" s="46" t="e">
        <f>+(O29+#REF!+#REF!+#REF!+#REF!+#REF!+#REF!+V29+W29+X29+Y29+Z29+AA29+AB29+AC29+AD29+AE29+AF29+AG29)/(O33+#REF!+#REF!+#REF!+#REF!+#REF!+#REF!+V33+W33+X33+Y33+Z33+AA33+AB33+AC33+AD33+AE33+AF33+AG33)</f>
        <v>#REF!</v>
      </c>
      <c r="AH37" s="47" t="e">
        <f>+(O29+#REF!+#REF!+#REF!+#REF!+#REF!+#REF!+V29+W29+X29+Y29+Z29+AA29+AB29+AC29+AD29+AE29+AF29+AG29+AH29)/(O33+#REF!+#REF!+#REF!+#REF!+#REF!+#REF!+V33+W33+X33+Y33+Z33+AA33+AB33+AC33+AD33+AE33+AF33+AG33+AH33)</f>
        <v>#REF!</v>
      </c>
      <c r="AI37" s="48" t="e">
        <f>+(O29+#REF!+#REF!+#REF!+#REF!+#REF!+#REF!+V29+W29+X29+Y29+Z29+AA29+AB29+AC29+AD29+AE29+AF29+AG29+AH29+AI29)/(O33+#REF!+#REF!+#REF!+#REF!+#REF!+#REF!+V33+W33+X33+Y33+Z33+AA33+AB33+AC33+AD33+AE33+AF33+AG33+AH33+AI33)</f>
        <v>#REF!</v>
      </c>
      <c r="AJ37" s="46" t="e">
        <f>+(O29+#REF!+#REF!+#REF!+#REF!+#REF!+#REF!+V29+W29+X29+Y29+Z29+AA29+AB29+AC29+AD29+AE29+AF29+AG29+AH29+AI29+AJ29)/(O33+#REF!+#REF!+#REF!+#REF!+#REF!+#REF!+V33+W33+X33+Y33+Z33+AA33+AB33+AC33+AD33+AE33+AF33+AG33+AH33+AI33+AJ33)</f>
        <v>#REF!</v>
      </c>
      <c r="AK37" s="65"/>
    </row>
    <row r="38" spans="8:37" ht="30" hidden="1" customHeight="1" x14ac:dyDescent="0.35">
      <c r="H38" s="24"/>
      <c r="I38" s="373" t="s">
        <v>145</v>
      </c>
      <c r="J38" s="373"/>
      <c r="K38" s="47"/>
      <c r="L38" s="47"/>
      <c r="M38" s="47"/>
      <c r="N38" s="47"/>
      <c r="O38" s="47" t="e">
        <f>+O29/$F$29</f>
        <v>#DIV/0!</v>
      </c>
      <c r="P38" s="47"/>
      <c r="Q38" s="47"/>
      <c r="R38" s="47"/>
      <c r="S38" s="47"/>
      <c r="T38" s="47"/>
      <c r="U38" s="47"/>
      <c r="V38" s="47" t="e">
        <f>+(O29+#REF!+#REF!+#REF!+#REF!+#REF!+#REF!+V29)/$F$29</f>
        <v>#REF!</v>
      </c>
      <c r="W38" s="49" t="e">
        <f>+(O29+#REF!+#REF!+#REF!+#REF!+#REF!+#REF!+V29+W29)/$F$29</f>
        <v>#REF!</v>
      </c>
      <c r="X38" s="47" t="e">
        <f>+(O29+#REF!+#REF!+#REF!+#REF!+#REF!+#REF!+V29+W29+X29)/$F$29</f>
        <v>#REF!</v>
      </c>
      <c r="Y38" s="47" t="e">
        <f>+(O29+#REF!+#REF!+#REF!+#REF!+#REF!+#REF!+V29+W29+X29+Y29)/$F$29</f>
        <v>#REF!</v>
      </c>
      <c r="Z38" s="47" t="e">
        <f>+(O29+#REF!+#REF!+#REF!+#REF!+#REF!+#REF!+V29+W29+X29+Y29+Z29)/$F$29</f>
        <v>#REF!</v>
      </c>
      <c r="AA38" s="47" t="e">
        <f>+(O29+#REF!+#REF!+#REF!+#REF!+#REF!+#REF!+V29+W29+X29+Y29+Z29+AA29)/$F$29</f>
        <v>#REF!</v>
      </c>
      <c r="AB38" s="47" t="e">
        <f>+(O29+#REF!+#REF!+#REF!+#REF!+#REF!+#REF!+V29+W29+X29+Y29+Z29+AA29+AB29)/$F$29</f>
        <v>#REF!</v>
      </c>
      <c r="AC38" s="47" t="e">
        <f>+(O29+#REF!+#REF!+#REF!+#REF!+#REF!+#REF!+V29+W29+X29+Y29+Z29+AA29+AB29+AC29)/$F$29</f>
        <v>#REF!</v>
      </c>
      <c r="AD38" s="47" t="e">
        <f>+(O29+#REF!+#REF!+#REF!+#REF!+#REF!+#REF!+V29+W29+X29+Y29+Z29+AA29+AB29+AC29+AD29)/$F$29</f>
        <v>#REF!</v>
      </c>
      <c r="AE38" s="47" t="e">
        <f>+(O29+#REF!+#REF!+#REF!+#REF!+#REF!+#REF!+V29+W29+X29+Y29+Z29+AA29+AB29+AC29+AD29+AE29)/$F$29</f>
        <v>#REF!</v>
      </c>
      <c r="AF38" s="47" t="e">
        <f>+(O29+#REF!+#REF!+#REF!+#REF!+#REF!+#REF!+V29+W29+X29+Y29+Z29+AA29+AB29+AC29+AD29+AE29+AF29)/$F$29</f>
        <v>#REF!</v>
      </c>
      <c r="AG38" s="47" t="e">
        <f>+(O29+#REF!+#REF!+#REF!+#REF!+#REF!+#REF!+V29+W29+X29+Y29+Z29+AA29+AB29+AC29+AD29+AE29+AF29+AG29)/$F$29</f>
        <v>#REF!</v>
      </c>
      <c r="AH38" s="47" t="e">
        <f>+(O29+#REF!+#REF!+#REF!+#REF!+#REF!+#REF!+V29+W29+X29+Y29+Z29+AA29+AB29+AC29+AD29+AE29+AF29+AG29+AH29)/$F$29</f>
        <v>#REF!</v>
      </c>
      <c r="AI38" s="49" t="e">
        <f>+(O29+#REF!+#REF!+#REF!+#REF!+#REF!+#REF!+V29+W29+X29+Y29+Z29+AA29+AB29+AC29+AD29+AE29+AF29+AG29+AH29+AI29)/$F$29</f>
        <v>#REF!</v>
      </c>
      <c r="AJ38" s="47" t="e">
        <f>+(O29+#REF!+#REF!+#REF!+#REF!+#REF!+#REF!+V29+W29+X29+Y29+Z29+AA29+AB29+AC29+AD29+AE29+AF29+AG29+AH29+AI29+AJ29)/$F$29</f>
        <v>#REF!</v>
      </c>
      <c r="AK38" s="66"/>
    </row>
    <row r="39" spans="8:37" ht="30" hidden="1" customHeight="1" x14ac:dyDescent="0.35">
      <c r="I39" s="372" t="s">
        <v>146</v>
      </c>
      <c r="J39" s="372"/>
      <c r="K39" s="50"/>
      <c r="L39" s="50"/>
      <c r="M39" s="50"/>
      <c r="N39" s="50"/>
      <c r="O39" s="50"/>
      <c r="P39" s="50"/>
      <c r="Q39" s="50"/>
      <c r="R39" s="50"/>
      <c r="S39" s="50"/>
      <c r="T39" s="50"/>
      <c r="U39" s="50"/>
      <c r="V39" s="47" t="e">
        <f>+V30/V34</f>
        <v>#REF!</v>
      </c>
      <c r="W39" s="51"/>
      <c r="X39" s="50"/>
      <c r="Y39" s="50"/>
      <c r="Z39" s="47" t="e">
        <f>+Z30/Z34</f>
        <v>#REF!</v>
      </c>
      <c r="AA39" s="50"/>
      <c r="AB39" s="50"/>
      <c r="AC39" s="50"/>
      <c r="AD39" s="47" t="e">
        <f>+AD30/AD34</f>
        <v>#REF!</v>
      </c>
      <c r="AE39" s="50"/>
      <c r="AF39" s="50"/>
      <c r="AG39" s="50"/>
      <c r="AH39" s="47" t="e">
        <f>+AH30/AH34</f>
        <v>#REF!</v>
      </c>
      <c r="AI39" s="51"/>
      <c r="AJ39" s="50"/>
      <c r="AK39" s="67"/>
    </row>
    <row r="40" spans="8:37" ht="30" hidden="1" customHeight="1" x14ac:dyDescent="0.35">
      <c r="I40" s="373" t="s">
        <v>147</v>
      </c>
      <c r="J40" s="373"/>
      <c r="K40" s="50"/>
      <c r="L40" s="50"/>
      <c r="M40" s="50"/>
      <c r="N40" s="50"/>
      <c r="O40" s="50"/>
      <c r="P40" s="50"/>
      <c r="Q40" s="50"/>
      <c r="R40" s="50"/>
      <c r="S40" s="50"/>
      <c r="T40" s="50"/>
      <c r="U40" s="50"/>
      <c r="V40" s="47" t="e">
        <f>+(#REF!+V30)/$F$29</f>
        <v>#REF!</v>
      </c>
      <c r="W40" s="51"/>
      <c r="X40" s="50"/>
      <c r="Y40" s="50"/>
      <c r="Z40" s="47" t="e">
        <f>+(#REF!+V30+Z30)/$F$29</f>
        <v>#REF!</v>
      </c>
      <c r="AA40" s="50"/>
      <c r="AB40" s="50"/>
      <c r="AC40" s="50"/>
      <c r="AD40" s="47" t="e">
        <f>+(#REF!+V30+Z30+AD30)/$F$29</f>
        <v>#REF!</v>
      </c>
      <c r="AE40" s="50"/>
      <c r="AF40" s="50"/>
      <c r="AG40" s="50"/>
      <c r="AH40" s="47" t="e">
        <f>+(#REF!+V30+Z30+AD30+AH30)/$F$29</f>
        <v>#REF!</v>
      </c>
      <c r="AI40" s="51"/>
      <c r="AJ40" s="50"/>
      <c r="AK40" s="67"/>
    </row>
    <row r="41" spans="8:37" ht="30" hidden="1" customHeight="1" x14ac:dyDescent="0.35">
      <c r="I41" s="372" t="s">
        <v>148</v>
      </c>
      <c r="J41" s="372"/>
      <c r="K41" s="50"/>
      <c r="L41" s="50"/>
      <c r="M41" s="50"/>
      <c r="N41" s="50"/>
      <c r="O41" s="50"/>
      <c r="P41" s="50"/>
      <c r="Q41" s="50"/>
      <c r="R41" s="50"/>
      <c r="S41" s="50"/>
      <c r="T41" s="50"/>
      <c r="U41" s="50"/>
      <c r="V41" s="47" t="e">
        <f>+(#REF!+V30)/(#REF!+V34)</f>
        <v>#REF!</v>
      </c>
      <c r="W41" s="51"/>
      <c r="X41" s="50"/>
      <c r="Y41" s="50"/>
      <c r="Z41" s="50"/>
      <c r="AA41" s="50"/>
      <c r="AB41" s="50"/>
      <c r="AC41" s="50"/>
      <c r="AD41" s="50"/>
      <c r="AE41" s="50"/>
      <c r="AF41" s="50"/>
      <c r="AG41" s="50"/>
      <c r="AH41" s="47" t="e">
        <f>+(#REF!+V30+Z30+AD30+AH30)/(#REF!+V34+Z34+AD34+AH34)</f>
        <v>#REF!</v>
      </c>
      <c r="AI41" s="51"/>
      <c r="AJ41" s="50"/>
      <c r="AK41" s="67"/>
    </row>
    <row r="42" spans="8:37" ht="30" hidden="1" customHeight="1" x14ac:dyDescent="0.35">
      <c r="I42" s="372" t="s">
        <v>149</v>
      </c>
      <c r="J42" s="372"/>
      <c r="K42" s="50"/>
      <c r="L42" s="50"/>
      <c r="M42" s="50"/>
      <c r="N42" s="50"/>
      <c r="O42" s="50"/>
      <c r="P42" s="50"/>
      <c r="Q42" s="50"/>
      <c r="R42" s="50"/>
      <c r="S42" s="50"/>
      <c r="T42" s="50"/>
      <c r="U42" s="50"/>
      <c r="V42" s="47" t="e">
        <f>+(#REF!+V30)/$F$29</f>
        <v>#REF!</v>
      </c>
      <c r="W42" s="51"/>
      <c r="X42" s="50"/>
      <c r="Y42" s="50"/>
      <c r="Z42" s="50"/>
      <c r="AA42" s="50"/>
      <c r="AB42" s="50"/>
      <c r="AC42" s="50"/>
      <c r="AD42" s="50"/>
      <c r="AE42" s="50"/>
      <c r="AF42" s="50"/>
      <c r="AG42" s="50"/>
      <c r="AH42" s="47" t="e">
        <f>+(+#REF!+V30+Z30+AD30+AH30)/$F$29</f>
        <v>#REF!</v>
      </c>
      <c r="AI42" s="51"/>
      <c r="AJ42" s="50"/>
      <c r="AK42" s="67"/>
    </row>
    <row r="43" spans="8:37" ht="15" hidden="1" customHeight="1" x14ac:dyDescent="0.35"/>
    <row r="44" spans="8:37" ht="35.15" hidden="1" customHeight="1" x14ac:dyDescent="0.35">
      <c r="H44" s="432" t="s">
        <v>150</v>
      </c>
      <c r="I44" s="432"/>
      <c r="J44" s="30" t="e">
        <f>+#REF!</f>
        <v>#REF!</v>
      </c>
      <c r="K44" s="32"/>
      <c r="L44" s="32"/>
      <c r="M44" s="32"/>
      <c r="N44" s="32"/>
      <c r="O44" s="32"/>
      <c r="P44" s="32"/>
      <c r="Q44" s="32"/>
      <c r="R44" s="32"/>
      <c r="S44" s="32"/>
      <c r="T44" s="32"/>
      <c r="U44" s="32"/>
    </row>
    <row r="45" spans="8:37" ht="35.15" hidden="1" customHeight="1" x14ac:dyDescent="0.35">
      <c r="H45" s="432" t="s">
        <v>151</v>
      </c>
      <c r="I45" s="432"/>
      <c r="J45" s="25">
        <f>+F29</f>
        <v>0</v>
      </c>
      <c r="K45" s="32"/>
      <c r="L45" s="32"/>
      <c r="M45" s="32"/>
      <c r="N45" s="32"/>
      <c r="O45" s="32"/>
      <c r="P45" s="32"/>
      <c r="Q45" s="32"/>
      <c r="R45" s="32"/>
      <c r="S45" s="32"/>
      <c r="T45" s="32"/>
      <c r="U45" s="32"/>
    </row>
    <row r="46" spans="8:37" ht="35.15" hidden="1" customHeight="1" x14ac:dyDescent="0.35">
      <c r="H46" s="432" t="s">
        <v>152</v>
      </c>
      <c r="I46" s="432"/>
      <c r="J46" s="31" t="e">
        <f>+J44/J45</f>
        <v>#REF!</v>
      </c>
      <c r="K46" s="32"/>
      <c r="L46" s="32"/>
      <c r="M46" s="32"/>
      <c r="N46" s="32"/>
      <c r="O46" s="32"/>
      <c r="P46" s="32"/>
      <c r="Q46" s="32"/>
      <c r="R46" s="32"/>
      <c r="S46" s="32"/>
      <c r="T46" s="32"/>
      <c r="U46" s="32"/>
    </row>
    <row r="47" spans="8:37" ht="15" customHeight="1" x14ac:dyDescent="0.35">
      <c r="K47" s="32"/>
      <c r="L47" s="32"/>
      <c r="M47" s="32"/>
      <c r="N47" s="32"/>
      <c r="O47" s="32"/>
      <c r="P47" s="32"/>
      <c r="Q47" s="32"/>
      <c r="R47" s="32"/>
      <c r="S47" s="32"/>
      <c r="T47" s="32"/>
      <c r="U47" s="32"/>
    </row>
    <row r="48" spans="8:37" ht="15" customHeight="1" x14ac:dyDescent="0.35">
      <c r="K48" s="32"/>
      <c r="L48" s="32"/>
      <c r="M48" s="32"/>
      <c r="N48" s="32"/>
      <c r="O48" s="32"/>
      <c r="P48" s="32"/>
      <c r="Q48" s="32"/>
      <c r="R48" s="32"/>
      <c r="S48" s="32"/>
      <c r="T48" s="32"/>
      <c r="U48" s="32"/>
    </row>
    <row r="49" spans="2:21" ht="15" hidden="1" customHeight="1" x14ac:dyDescent="0.35">
      <c r="B49" s="368" t="s">
        <v>53</v>
      </c>
      <c r="C49" s="368" t="s">
        <v>54</v>
      </c>
      <c r="D49" s="368" t="s">
        <v>55</v>
      </c>
      <c r="E49" s="368" t="s">
        <v>56</v>
      </c>
      <c r="F49" s="368" t="s">
        <v>31</v>
      </c>
      <c r="G49" s="370" t="s">
        <v>57</v>
      </c>
      <c r="M49" s="370" t="s">
        <v>687</v>
      </c>
      <c r="N49" s="32"/>
      <c r="O49" s="32"/>
      <c r="P49" s="32"/>
      <c r="Q49" s="32"/>
      <c r="R49" s="32"/>
      <c r="S49" s="32"/>
      <c r="T49" s="32"/>
      <c r="U49" s="32"/>
    </row>
    <row r="50" spans="2:21" ht="15" hidden="1" customHeight="1" x14ac:dyDescent="0.35">
      <c r="B50" s="369"/>
      <c r="C50" s="369"/>
      <c r="D50" s="369"/>
      <c r="E50" s="369"/>
      <c r="F50" s="369"/>
      <c r="G50" s="369"/>
      <c r="M50" s="369"/>
    </row>
    <row r="51" spans="2:21" ht="15" hidden="1" customHeight="1" x14ac:dyDescent="0.35">
      <c r="B51" s="1" t="s">
        <v>688</v>
      </c>
      <c r="C51" s="1" t="s">
        <v>689</v>
      </c>
      <c r="D51" s="1" t="s">
        <v>121</v>
      </c>
      <c r="E51" s="1" t="s">
        <v>122</v>
      </c>
      <c r="F51" s="1" t="s">
        <v>690</v>
      </c>
      <c r="G51" s="1" t="s">
        <v>691</v>
      </c>
      <c r="M51" s="13" t="s">
        <v>692</v>
      </c>
    </row>
    <row r="52" spans="2:21" ht="15" hidden="1" customHeight="1" x14ac:dyDescent="0.35">
      <c r="B52" s="1" t="s">
        <v>693</v>
      </c>
      <c r="C52" s="1" t="s">
        <v>694</v>
      </c>
      <c r="D52" s="1" t="s">
        <v>300</v>
      </c>
      <c r="E52" s="1" t="s">
        <v>695</v>
      </c>
      <c r="F52" s="1" t="s">
        <v>696</v>
      </c>
      <c r="G52" s="1" t="s">
        <v>697</v>
      </c>
      <c r="M52" s="13" t="s">
        <v>698</v>
      </c>
    </row>
    <row r="53" spans="2:21" ht="15" hidden="1" customHeight="1" x14ac:dyDescent="0.35">
      <c r="B53" s="1" t="s">
        <v>699</v>
      </c>
      <c r="C53" s="1" t="s">
        <v>700</v>
      </c>
      <c r="D53" s="1" t="s">
        <v>86</v>
      </c>
      <c r="E53" s="1" t="s">
        <v>301</v>
      </c>
      <c r="F53" s="1" t="s">
        <v>701</v>
      </c>
      <c r="G53" s="1" t="s">
        <v>702</v>
      </c>
      <c r="M53" s="13" t="s">
        <v>703</v>
      </c>
    </row>
    <row r="54" spans="2:21" ht="15" hidden="1" customHeight="1" x14ac:dyDescent="0.35">
      <c r="B54" s="1" t="s">
        <v>704</v>
      </c>
      <c r="C54" s="1" t="s">
        <v>705</v>
      </c>
      <c r="D54" s="1" t="s">
        <v>168</v>
      </c>
      <c r="E54" s="1" t="s">
        <v>706</v>
      </c>
      <c r="F54" s="1" t="s">
        <v>707</v>
      </c>
      <c r="G54" s="1" t="s">
        <v>708</v>
      </c>
    </row>
    <row r="55" spans="2:21" ht="15" hidden="1" customHeight="1" x14ac:dyDescent="0.35">
      <c r="B55" s="1" t="s">
        <v>709</v>
      </c>
      <c r="C55" s="1" t="s">
        <v>710</v>
      </c>
      <c r="D55" s="1" t="s">
        <v>711</v>
      </c>
      <c r="E55" s="1" t="s">
        <v>712</v>
      </c>
      <c r="F55" s="1" t="s">
        <v>713</v>
      </c>
      <c r="G55" s="1" t="s">
        <v>714</v>
      </c>
    </row>
    <row r="56" spans="2:21" ht="15" hidden="1" customHeight="1" x14ac:dyDescent="0.35">
      <c r="B56" s="1" t="s">
        <v>715</v>
      </c>
      <c r="C56" s="1" t="s">
        <v>716</v>
      </c>
      <c r="D56" s="1" t="s">
        <v>717</v>
      </c>
      <c r="E56" s="1" t="s">
        <v>154</v>
      </c>
      <c r="F56" s="1" t="s">
        <v>290</v>
      </c>
      <c r="G56" s="1" t="s">
        <v>463</v>
      </c>
    </row>
    <row r="57" spans="2:21" ht="15" hidden="1" customHeight="1" x14ac:dyDescent="0.35">
      <c r="B57" s="1" t="s">
        <v>718</v>
      </c>
      <c r="C57" s="1" t="s">
        <v>719</v>
      </c>
      <c r="D57" s="1" t="s">
        <v>720</v>
      </c>
      <c r="E57" s="1" t="s">
        <v>115</v>
      </c>
      <c r="F57" s="1" t="s">
        <v>721</v>
      </c>
      <c r="G57" s="1" t="s">
        <v>722</v>
      </c>
    </row>
    <row r="58" spans="2:21" ht="15" hidden="1" customHeight="1" x14ac:dyDescent="0.35">
      <c r="B58" s="1" t="s">
        <v>723</v>
      </c>
      <c r="C58" s="1" t="s">
        <v>724</v>
      </c>
      <c r="E58" s="1" t="s">
        <v>627</v>
      </c>
      <c r="F58" s="1" t="s">
        <v>725</v>
      </c>
      <c r="G58" s="1" t="s">
        <v>571</v>
      </c>
    </row>
    <row r="59" spans="2:21" ht="15" hidden="1" customHeight="1" x14ac:dyDescent="0.35">
      <c r="C59" s="1" t="s">
        <v>726</v>
      </c>
      <c r="E59" s="1" t="s">
        <v>126</v>
      </c>
      <c r="F59" s="1" t="s">
        <v>727</v>
      </c>
      <c r="G59" s="1" t="s">
        <v>100</v>
      </c>
    </row>
    <row r="60" spans="2:21" ht="15" hidden="1" customHeight="1" x14ac:dyDescent="0.35">
      <c r="C60" s="1" t="s">
        <v>728</v>
      </c>
      <c r="E60" s="1" t="s">
        <v>729</v>
      </c>
      <c r="F60" s="1" t="s">
        <v>730</v>
      </c>
      <c r="G60" s="1" t="s">
        <v>123</v>
      </c>
    </row>
    <row r="61" spans="2:21" ht="15" hidden="1" customHeight="1" x14ac:dyDescent="0.35">
      <c r="E61" s="1" t="s">
        <v>87</v>
      </c>
      <c r="F61" s="1" t="s">
        <v>731</v>
      </c>
      <c r="G61" s="1" t="s">
        <v>111</v>
      </c>
    </row>
    <row r="62" spans="2:21" ht="15" hidden="1" customHeight="1" x14ac:dyDescent="0.35">
      <c r="E62" s="1" t="s">
        <v>732</v>
      </c>
      <c r="F62" s="1" t="s">
        <v>733</v>
      </c>
      <c r="G62" s="1" t="s">
        <v>734</v>
      </c>
    </row>
    <row r="63" spans="2:21" ht="15" hidden="1" customHeight="1" x14ac:dyDescent="0.35">
      <c r="E63" s="1" t="s">
        <v>163</v>
      </c>
      <c r="G63" s="1" t="s">
        <v>735</v>
      </c>
    </row>
    <row r="64" spans="2:21" ht="15" hidden="1" customHeight="1" x14ac:dyDescent="0.35">
      <c r="E64" s="1" t="s">
        <v>736</v>
      </c>
      <c r="G64" s="1" t="s">
        <v>737</v>
      </c>
    </row>
    <row r="65" spans="5:7" ht="15" hidden="1" customHeight="1" x14ac:dyDescent="0.35">
      <c r="E65" s="1" t="s">
        <v>738</v>
      </c>
      <c r="G65" s="1" t="s">
        <v>739</v>
      </c>
    </row>
    <row r="66" spans="5:7" ht="15" hidden="1" customHeight="1" x14ac:dyDescent="0.35">
      <c r="E66" s="1" t="s">
        <v>110</v>
      </c>
      <c r="G66" s="1" t="s">
        <v>740</v>
      </c>
    </row>
    <row r="67" spans="5:7" ht="15" hidden="1" customHeight="1" x14ac:dyDescent="0.35">
      <c r="E67" s="1" t="s">
        <v>741</v>
      </c>
      <c r="G67" s="1" t="s">
        <v>742</v>
      </c>
    </row>
    <row r="68" spans="5:7" ht="15" hidden="1" customHeight="1" x14ac:dyDescent="0.35">
      <c r="E68" s="1" t="s">
        <v>743</v>
      </c>
      <c r="G68" s="1" t="s">
        <v>744</v>
      </c>
    </row>
    <row r="69" spans="5:7" ht="15" hidden="1" customHeight="1" x14ac:dyDescent="0.35">
      <c r="E69" s="1" t="s">
        <v>745</v>
      </c>
      <c r="G69" s="1" t="s">
        <v>746</v>
      </c>
    </row>
    <row r="70" spans="5:7" ht="15" hidden="1" customHeight="1" x14ac:dyDescent="0.35">
      <c r="G70" s="1" t="s">
        <v>747</v>
      </c>
    </row>
    <row r="71" spans="5:7" ht="15" hidden="1" customHeight="1" x14ac:dyDescent="0.35">
      <c r="G71" s="1" t="s">
        <v>748</v>
      </c>
    </row>
    <row r="72" spans="5:7" ht="15" hidden="1" customHeight="1" x14ac:dyDescent="0.35">
      <c r="G72" s="1" t="s">
        <v>749</v>
      </c>
    </row>
    <row r="73" spans="5:7" ht="15" hidden="1" customHeight="1" x14ac:dyDescent="0.35">
      <c r="G73" s="1" t="s">
        <v>750</v>
      </c>
    </row>
    <row r="74" spans="5:7" ht="15" hidden="1" customHeight="1" x14ac:dyDescent="0.35">
      <c r="G74" s="1" t="s">
        <v>751</v>
      </c>
    </row>
    <row r="75" spans="5:7" ht="15" hidden="1" customHeight="1" x14ac:dyDescent="0.35">
      <c r="G75" s="1" t="s">
        <v>752</v>
      </c>
    </row>
    <row r="76" spans="5:7" ht="15" hidden="1" customHeight="1" x14ac:dyDescent="0.35">
      <c r="G76" s="1" t="s">
        <v>753</v>
      </c>
    </row>
    <row r="77" spans="5:7" ht="15" hidden="1" customHeight="1" x14ac:dyDescent="0.35">
      <c r="G77" s="1" t="s">
        <v>754</v>
      </c>
    </row>
    <row r="78" spans="5:7" ht="15" hidden="1" customHeight="1" x14ac:dyDescent="0.35">
      <c r="G78" s="1" t="s">
        <v>755</v>
      </c>
    </row>
    <row r="79" spans="5:7" ht="15" hidden="1" customHeight="1" x14ac:dyDescent="0.35">
      <c r="G79" s="1" t="s">
        <v>756</v>
      </c>
    </row>
    <row r="80" spans="5:7" ht="15" hidden="1" customHeight="1" x14ac:dyDescent="0.35">
      <c r="G80" s="1" t="s">
        <v>757</v>
      </c>
    </row>
    <row r="81" spans="7:7" ht="15" hidden="1" customHeight="1" x14ac:dyDescent="0.35">
      <c r="G81" s="1" t="s">
        <v>758</v>
      </c>
    </row>
    <row r="82" spans="7:7" ht="15" hidden="1" customHeight="1" x14ac:dyDescent="0.35">
      <c r="G82" s="1" t="s">
        <v>759</v>
      </c>
    </row>
    <row r="83" spans="7:7" ht="15" hidden="1" customHeight="1" x14ac:dyDescent="0.35">
      <c r="G83" s="1" t="s">
        <v>760</v>
      </c>
    </row>
    <row r="84" spans="7:7" ht="15" hidden="1" customHeight="1" x14ac:dyDescent="0.35">
      <c r="G84" s="1" t="s">
        <v>127</v>
      </c>
    </row>
    <row r="85" spans="7:7" ht="15" hidden="1" customHeight="1" x14ac:dyDescent="0.35">
      <c r="G85" s="1" t="s">
        <v>761</v>
      </c>
    </row>
    <row r="86" spans="7:7" ht="15" hidden="1" customHeight="1" x14ac:dyDescent="0.35">
      <c r="G86" s="1" t="s">
        <v>762</v>
      </c>
    </row>
    <row r="87" spans="7:7" ht="15" hidden="1" customHeight="1" x14ac:dyDescent="0.35">
      <c r="G87" s="1" t="s">
        <v>763</v>
      </c>
    </row>
    <row r="88" spans="7:7" ht="15" hidden="1" customHeight="1" x14ac:dyDescent="0.35">
      <c r="G88" s="1" t="s">
        <v>764</v>
      </c>
    </row>
    <row r="89" spans="7:7" ht="15" hidden="1" customHeight="1" x14ac:dyDescent="0.35">
      <c r="G89" s="1" t="s">
        <v>89</v>
      </c>
    </row>
    <row r="90" spans="7:7" ht="15" hidden="1" customHeight="1" x14ac:dyDescent="0.35">
      <c r="G90" s="1" t="s">
        <v>765</v>
      </c>
    </row>
    <row r="91" spans="7:7" ht="15" hidden="1" customHeight="1" x14ac:dyDescent="0.35">
      <c r="G91" s="1" t="s">
        <v>766</v>
      </c>
    </row>
    <row r="92" spans="7:7" ht="15" hidden="1" customHeight="1" x14ac:dyDescent="0.35">
      <c r="G92" s="1" t="s">
        <v>307</v>
      </c>
    </row>
    <row r="93" spans="7:7" ht="15" hidden="1" customHeight="1" x14ac:dyDescent="0.35">
      <c r="G93" s="1" t="s">
        <v>767</v>
      </c>
    </row>
    <row r="94" spans="7:7" ht="15" hidden="1" customHeight="1" x14ac:dyDescent="0.35">
      <c r="G94" s="1" t="s">
        <v>768</v>
      </c>
    </row>
    <row r="95" spans="7:7" ht="15" hidden="1" customHeight="1" x14ac:dyDescent="0.35">
      <c r="G95" s="1" t="s">
        <v>769</v>
      </c>
    </row>
    <row r="96" spans="7:7" ht="15" hidden="1" customHeight="1" x14ac:dyDescent="0.35">
      <c r="G96" s="1" t="s">
        <v>770</v>
      </c>
    </row>
    <row r="97" spans="7:7" ht="15" hidden="1" customHeight="1" x14ac:dyDescent="0.35">
      <c r="G97" s="1" t="s">
        <v>771</v>
      </c>
    </row>
    <row r="98" spans="7:7" ht="15" hidden="1" customHeight="1" x14ac:dyDescent="0.35">
      <c r="G98" s="1" t="s">
        <v>772</v>
      </c>
    </row>
    <row r="99" spans="7:7" ht="15" hidden="1" customHeight="1" x14ac:dyDescent="0.35">
      <c r="G99" s="1" t="s">
        <v>773</v>
      </c>
    </row>
    <row r="100" spans="7:7" ht="15" hidden="1" customHeight="1" x14ac:dyDescent="0.35">
      <c r="G100" s="1" t="s">
        <v>774</v>
      </c>
    </row>
    <row r="101" spans="7:7" ht="15" hidden="1" customHeight="1" x14ac:dyDescent="0.35">
      <c r="G101" s="1" t="s">
        <v>775</v>
      </c>
    </row>
    <row r="102" spans="7:7" ht="15" hidden="1" customHeight="1" x14ac:dyDescent="0.35">
      <c r="G102" s="1" t="s">
        <v>305</v>
      </c>
    </row>
    <row r="103" spans="7:7" ht="15" hidden="1" customHeight="1" x14ac:dyDescent="0.35">
      <c r="G103" s="1" t="s">
        <v>40</v>
      </c>
    </row>
    <row r="104" spans="7:7" ht="15" hidden="1" customHeight="1" x14ac:dyDescent="0.35">
      <c r="G104" s="1" t="s">
        <v>157</v>
      </c>
    </row>
    <row r="105" spans="7:7" ht="15" hidden="1" customHeight="1" x14ac:dyDescent="0.35">
      <c r="G105" s="1" t="s">
        <v>776</v>
      </c>
    </row>
    <row r="106" spans="7:7" ht="15" hidden="1" customHeight="1" x14ac:dyDescent="0.35">
      <c r="G106" s="1" t="s">
        <v>777</v>
      </c>
    </row>
    <row r="107" spans="7:7" ht="15" hidden="1" customHeight="1" x14ac:dyDescent="0.35">
      <c r="G107" s="1" t="s">
        <v>778</v>
      </c>
    </row>
    <row r="108" spans="7:7" ht="15" hidden="1" customHeight="1" x14ac:dyDescent="0.35">
      <c r="G108" s="1" t="s">
        <v>779</v>
      </c>
    </row>
    <row r="109" spans="7:7" ht="15" hidden="1" customHeight="1" x14ac:dyDescent="0.35">
      <c r="G109" s="1" t="s">
        <v>780</v>
      </c>
    </row>
    <row r="110" spans="7:7" ht="15" hidden="1" customHeight="1" x14ac:dyDescent="0.35">
      <c r="G110" s="1" t="s">
        <v>781</v>
      </c>
    </row>
  </sheetData>
  <sheetProtection algorithmName="SHA-512" hashValue="T0ess+vCMaa+iEuef1OdBE8iG3+/o4DrHFmdaXlOO9gbI2XgpLehhguN9fazwNGZ6uJrmfMWrAfLNCdZe9ObEg==" saltValue="2fkJrKFtVV6P64cZAjvZNA==" spinCount="100000" sheet="1" formatCells="0" formatColumns="0" formatRows="0" insertColumns="0" insertRows="0" insertHyperlinks="0" deleteColumns="0" deleteRows="0" sort="0" autoFilter="0" pivotTables="0"/>
  <autoFilter ref="A13:AO13" xr:uid="{29F1F01A-C809-40FB-87B9-E571BFA038B5}"/>
  <mergeCells count="281">
    <mergeCell ref="B49:B50"/>
    <mergeCell ref="C49:C50"/>
    <mergeCell ref="D49:D50"/>
    <mergeCell ref="E49:E50"/>
    <mergeCell ref="F49:F50"/>
    <mergeCell ref="G49:G50"/>
    <mergeCell ref="M49:M50"/>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 ref="A1:C3"/>
    <mergeCell ref="D1:AO3"/>
    <mergeCell ref="A4:A5"/>
    <mergeCell ref="G4:G5"/>
    <mergeCell ref="A6:B10"/>
    <mergeCell ref="C6:D10"/>
    <mergeCell ref="E6:F10"/>
    <mergeCell ref="G6:G10"/>
    <mergeCell ref="H6:I10"/>
    <mergeCell ref="X6:AO10"/>
    <mergeCell ref="J6:J10"/>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E12:AE13"/>
    <mergeCell ref="AF12:AF13"/>
    <mergeCell ref="AG12:AG13"/>
    <mergeCell ref="AH12:AH13"/>
    <mergeCell ref="Y12:Y13"/>
    <mergeCell ref="Z12:Z13"/>
    <mergeCell ref="AA12:AA13"/>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F22:F23"/>
    <mergeCell ref="G22:G23"/>
    <mergeCell ref="H22:H23"/>
    <mergeCell ref="I22:I23"/>
    <mergeCell ref="J22:J23"/>
    <mergeCell ref="K22:K23"/>
    <mergeCell ref="O20:O21"/>
    <mergeCell ref="AL20:AL21"/>
    <mergeCell ref="AM20:AM21"/>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A26:A27"/>
    <mergeCell ref="B26:B27"/>
    <mergeCell ref="C26:C27"/>
    <mergeCell ref="D26:D27"/>
    <mergeCell ref="E26:E27"/>
    <mergeCell ref="I24:I25"/>
    <mergeCell ref="J24:J25"/>
    <mergeCell ref="K24:K25"/>
    <mergeCell ref="L24:L25"/>
    <mergeCell ref="A24:A25"/>
    <mergeCell ref="B24:B25"/>
    <mergeCell ref="C24:C25"/>
    <mergeCell ref="D24:D25"/>
    <mergeCell ref="E24:E25"/>
    <mergeCell ref="F24:F25"/>
    <mergeCell ref="G24:G25"/>
    <mergeCell ref="H24:H25"/>
    <mergeCell ref="F26:F27"/>
    <mergeCell ref="G26:G27"/>
    <mergeCell ref="H26:H27"/>
    <mergeCell ref="I26:I27"/>
    <mergeCell ref="J26:J27"/>
    <mergeCell ref="K26:K27"/>
    <mergeCell ref="O24:O25"/>
    <mergeCell ref="AL24:AL25"/>
    <mergeCell ref="AM24:AM25"/>
    <mergeCell ref="M24:M25"/>
    <mergeCell ref="N24:N25"/>
    <mergeCell ref="K28:K29"/>
    <mergeCell ref="L28:L29"/>
    <mergeCell ref="L26:L27"/>
    <mergeCell ref="M26:M27"/>
    <mergeCell ref="N26:N27"/>
    <mergeCell ref="O26:O27"/>
    <mergeCell ref="AL26:AL27"/>
    <mergeCell ref="AM26:AM27"/>
    <mergeCell ref="P26:P27"/>
    <mergeCell ref="Q26:Q27"/>
    <mergeCell ref="R26:R27"/>
    <mergeCell ref="S26:S27"/>
    <mergeCell ref="T26:T27"/>
    <mergeCell ref="U26:U27"/>
    <mergeCell ref="P28:P29"/>
    <mergeCell ref="Q28:Q29"/>
    <mergeCell ref="R28:R29"/>
    <mergeCell ref="S28:S29"/>
    <mergeCell ref="T28:T29"/>
    <mergeCell ref="H44:I44"/>
    <mergeCell ref="H45:I45"/>
    <mergeCell ref="H46:I46"/>
    <mergeCell ref="A28:A29"/>
    <mergeCell ref="B28:B29"/>
    <mergeCell ref="C28:C29"/>
    <mergeCell ref="D28:D29"/>
    <mergeCell ref="E28:E29"/>
    <mergeCell ref="F28:F29"/>
    <mergeCell ref="G28:G29"/>
    <mergeCell ref="I37:J37"/>
    <mergeCell ref="I38:J38"/>
    <mergeCell ref="I39:J39"/>
    <mergeCell ref="I40:J40"/>
    <mergeCell ref="I41:J41"/>
    <mergeCell ref="I42:J42"/>
    <mergeCell ref="D30:E30"/>
    <mergeCell ref="H33:H36"/>
    <mergeCell ref="I28:I29"/>
    <mergeCell ref="J28:J29"/>
    <mergeCell ref="H28:H29"/>
    <mergeCell ref="H30:H31"/>
    <mergeCell ref="AO28:AO29"/>
    <mergeCell ref="P12:P13"/>
    <mergeCell ref="Q12:Q13"/>
    <mergeCell ref="R12:R13"/>
    <mergeCell ref="S12:S13"/>
    <mergeCell ref="T12:T13"/>
    <mergeCell ref="U12:U13"/>
    <mergeCell ref="P14:P15"/>
    <mergeCell ref="M28:M29"/>
    <mergeCell ref="N28:N29"/>
    <mergeCell ref="O28:O29"/>
    <mergeCell ref="AL28:AL29"/>
    <mergeCell ref="AM28:AM29"/>
    <mergeCell ref="AN28:AN29"/>
    <mergeCell ref="AN26:AN27"/>
    <mergeCell ref="AO26:AO27"/>
    <mergeCell ref="AN24:AN25"/>
    <mergeCell ref="AO24:AO25"/>
    <mergeCell ref="AN22:AN23"/>
    <mergeCell ref="AO22:AO23"/>
    <mergeCell ref="AN20:AN21"/>
    <mergeCell ref="AO20:AO21"/>
    <mergeCell ref="AN18:AN19"/>
    <mergeCell ref="AO18:AO19"/>
    <mergeCell ref="P16:P17"/>
    <mergeCell ref="Q16:Q17"/>
    <mergeCell ref="R16:R17"/>
    <mergeCell ref="S16:S17"/>
    <mergeCell ref="T16:T17"/>
    <mergeCell ref="U16:U17"/>
    <mergeCell ref="S6:T10"/>
    <mergeCell ref="U6:W10"/>
    <mergeCell ref="T18:T19"/>
    <mergeCell ref="U18:U19"/>
    <mergeCell ref="P20:P21"/>
    <mergeCell ref="Q20:Q21"/>
    <mergeCell ref="U28:U29"/>
    <mergeCell ref="T22:T23"/>
    <mergeCell ref="U22:U23"/>
    <mergeCell ref="P24:P25"/>
    <mergeCell ref="Q24:Q25"/>
    <mergeCell ref="R24:R25"/>
    <mergeCell ref="S24:S25"/>
    <mergeCell ref="T24:T25"/>
    <mergeCell ref="U24:U25"/>
    <mergeCell ref="U20:U21"/>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29">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37:Z40 AD37:AD40 V37:V42 AH37:AH42 K38:U38 W38:Y38 AA38:AC38 AE38:AG38 AI38:AK38 J46">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26 W24 W28" xr:uid="{B9304C16-77DA-4127-BC59-6191F8ED3579}">
      <formula1>0</formula1>
      <formula2>1</formula2>
    </dataValidation>
    <dataValidation type="decimal" allowBlank="1" showInputMessage="1" showErrorMessage="1" prompt="campo calculado  - indica el % de avance  que aporta la activadad a todo el proyecto" sqref="W23 W21 W19 W15 W17 W27 W25 W29" xr:uid="{52304C28-041D-491F-82DC-6DAF366126DB}">
      <formula1>0</formula1>
      <formula2>1</formula2>
    </dataValidation>
    <dataValidation type="decimal" allowBlank="1" showInputMessage="1" showErrorMessage="1" prompt="% de avance en la actividad - indique el % programado de avance durante esta semana_x000a_" sqref="Y14:AA23 Y25:AA29 AB14:AK29" xr:uid="{CE2FFFDA-F91D-4E14-8947-4ED249C62EA2}">
      <formula1>0</formula1>
      <formula2>1</formula2>
    </dataValidation>
    <dataValidation allowBlank="1" showErrorMessage="1" sqref="X14:X29" xr:uid="{63CB21F1-C858-4BE2-9278-FC48220247D7}"/>
    <dataValidation type="list" allowBlank="1" showInputMessage="1" showErrorMessage="1" sqref="E14:E29" xr:uid="{18006E0B-9FEE-43B3-8010-B415BE819CD4}">
      <formula1>$E$50:$E$68</formula1>
    </dataValidation>
    <dataValidation type="list" allowBlank="1" showInputMessage="1" showErrorMessage="1" sqref="D14:D29" xr:uid="{E3967445-D384-425F-B5E0-EF74CAD0636B}">
      <formula1>$D$50:$D$56</formula1>
    </dataValidation>
    <dataValidation type="list" allowBlank="1" showInputMessage="1" showErrorMessage="1" sqref="C14:C29" xr:uid="{B1277CF1-A501-4F9C-B0B5-4A0748CC0DCD}">
      <formula1>$C$50:$C$59</formula1>
    </dataValidation>
    <dataValidation type="list" allowBlank="1" showInputMessage="1" showErrorMessage="1" sqref="B14:B29" xr:uid="{3B989DBF-7185-4136-A448-9C63109DC843}">
      <formula1>$B$50:$B$57</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7" ma:contentTypeDescription="Crear nuevo documento." ma:contentTypeScope="" ma:versionID="0984d22420d0ffe286666c0938a44761">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874e34f794ae785297270ed16b6074e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943B97-CD7A-42ED-8C75-1A37F9160914}">
  <ds:schemaRefs>
    <ds:schemaRef ds:uri="http://schemas.microsoft.com/office/2006/documentManagement/types"/>
    <ds:schemaRef ds:uri="http://schemas.microsoft.com/office/2006/metadata/properties"/>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e6cd777c-5c62-468f-8590-df061bf39fc1"/>
    <ds:schemaRef ds:uri="c8f692e2-7f23-4b51-918d-31b649eae9bb"/>
    <ds:schemaRef ds:uri="http://purl.org/dc/dcmitype/"/>
  </ds:schemaRefs>
</ds:datastoreItem>
</file>

<file path=customXml/itemProps2.xml><?xml version="1.0" encoding="utf-8"?>
<ds:datastoreItem xmlns:ds="http://schemas.openxmlformats.org/officeDocument/2006/customXml" ds:itemID="{B3B8FA49-51A8-42AC-87CA-AC49EC7403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7C027B-CA08-4A2D-9F02-677C7EA941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15</vt:i4>
      </vt:variant>
    </vt:vector>
  </HeadingPairs>
  <TitlesOfParts>
    <vt:vector size="31" baseType="lpstr">
      <vt:lpstr>INICIO</vt:lpstr>
      <vt:lpstr>EJECUCIÓN</vt:lpstr>
      <vt:lpstr>TABLERO DE CONTROL</vt:lpstr>
      <vt:lpstr>01. SECTORIAL</vt:lpstr>
      <vt:lpstr>01. INSTITUCIONAL</vt:lpstr>
      <vt:lpstr>02. PINAR</vt:lpstr>
      <vt:lpstr>03. PAA</vt:lpstr>
      <vt:lpstr>06. PETH</vt:lpstr>
      <vt:lpstr>07. PIC</vt:lpstr>
      <vt:lpstr>08. PII</vt:lpstr>
      <vt:lpstr>09. PSST</vt:lpstr>
      <vt:lpstr>10 PAAC</vt:lpstr>
      <vt:lpstr>11.PETI</vt:lpstr>
      <vt:lpstr>12. PTRSPI</vt:lpstr>
      <vt:lpstr>Hoja1</vt:lpstr>
      <vt:lpstr>13.PSPI</vt:lpstr>
      <vt:lpstr>'01. INSTITUCIONAL'!Área_de_impresión</vt:lpstr>
      <vt:lpstr>'01. SECTORIAL'!Área_de_impresión</vt:lpstr>
      <vt:lpstr>'02. PINAR'!Área_de_impresión</vt:lpstr>
      <vt:lpstr>'03. PAA'!Área_de_impresión</vt:lpstr>
      <vt:lpstr>'06. PETH'!Área_de_impresión</vt:lpstr>
      <vt:lpstr>'07. PIC'!Área_de_impresión</vt:lpstr>
      <vt:lpstr>'08. PII'!Área_de_impresión</vt:lpstr>
      <vt:lpstr>'09. PSST'!Área_de_impresión</vt:lpstr>
      <vt:lpstr>'10 PAAC'!Área_de_impresión</vt:lpstr>
      <vt:lpstr>'11.PETI'!Área_de_impresión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2024-01-25T15:15:32Z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