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xl/tables/table2.xml" ContentType="application/vnd.openxmlformats-officedocument.spreadsheetml.table+xml"/>
  <Override PartName="/xl/namedSheetViews/namedSheetView2.xml" ContentType="application/vnd.ms-excel.namedsheetviews+xml"/>
  <Override PartName="/xl/tables/table3.xml" ContentType="application/vnd.openxmlformats-officedocument.spreadsheetml.table+xml"/>
  <Override PartName="/xl/namedSheetViews/namedSheetView3.xml" ContentType="application/vnd.ms-excel.namedsheetviews+xml"/>
  <Override PartName="/xl/tables/table4.xml" ContentType="application/vnd.openxmlformats-officedocument.spreadsheetml.table+xml"/>
  <Override PartName="/xl/namedSheetViews/namedSheetView4.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hidePivotFieldList="1" defaultThemeVersion="166925"/>
  <mc:AlternateContent xmlns:mc="http://schemas.openxmlformats.org/markup-compatibility/2006">
    <mc:Choice Requires="x15">
      <x15ac:absPath xmlns:x15ac="http://schemas.microsoft.com/office/spreadsheetml/2010/11/ac" url="https://laprevisora-my.sharepoint.com/personal/sandraj_ramirez_previsora_gov_co/Documents/sandra ramirez D/G. CONTRATACION/Reportes/Contratos vigentes Pagina web/"/>
    </mc:Choice>
  </mc:AlternateContent>
  <xr:revisionPtr revIDLastSave="551" documentId="8_{2D0A2DC3-FE1B-411A-9F89-B01A9C72A041}" xr6:coauthVersionLast="47" xr6:coauthVersionMax="47" xr10:uidLastSave="{250FCF7B-2F65-445D-8303-1DC33BFC09FA}"/>
  <bookViews>
    <workbookView xWindow="-110" yWindow="-110" windowWidth="19420" windowHeight="11500" firstSheet="1" activeTab="2" xr2:uid="{EBD74A91-513B-4DFB-9DB6-C96D8A071193}"/>
  </bookViews>
  <sheets>
    <sheet name="Hoja1" sheetId="13" state="hidden" r:id="rId1"/>
    <sheet name="CASA MATRIZ 2025 " sheetId="23" r:id="rId2"/>
    <sheet name="SUCURSALES 2025 " sheetId="30" r:id="rId3"/>
    <sheet name="Vig. anteriores Casa Matriz" sheetId="31" r:id="rId4"/>
    <sheet name="Vig. anteriores Sucursales " sheetId="32" r:id="rId5"/>
    <sheet name="Referencias" sheetId="2" state="hidden" r:id="rId6"/>
  </sheets>
  <definedNames>
    <definedName name="_xlnm._FilterDatabase" localSheetId="1" hidden="1">'CASA MATRIZ 2025 '!#REF!</definedName>
    <definedName name="_xlnm._FilterDatabase" localSheetId="2" hidden="1">'SUCURSALES 2025 '!$L$251:$L$251</definedName>
    <definedName name="_xlnm._FilterDatabase" localSheetId="3" hidden="1">'Vig. anteriores Casa Matriz'!$A$1:$A$1</definedName>
    <definedName name="_xlnm._FilterDatabase" localSheetId="4" hidden="1">'Vig. anteriores Sucursales '!$M$33:$M$33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32" l="1"/>
  <c r="AE25" i="32" l="1"/>
  <c r="Z25" i="32"/>
  <c r="Y25" i="32"/>
  <c r="X25" i="32"/>
  <c r="W25" i="32"/>
  <c r="V25" i="32"/>
  <c r="U25" i="32"/>
  <c r="S25" i="32"/>
  <c r="Q25" i="32"/>
  <c r="M25" i="32"/>
  <c r="K25" i="32"/>
  <c r="J25" i="32"/>
  <c r="I25" i="32"/>
  <c r="H25" i="32"/>
  <c r="G25" i="32"/>
  <c r="F25" i="32"/>
  <c r="E25" i="32"/>
  <c r="D25" i="32"/>
  <c r="C25" i="32"/>
  <c r="B25" i="32"/>
  <c r="A25" i="32"/>
  <c r="AC23" i="32"/>
  <c r="AC25" i="32" s="1"/>
  <c r="AB23" i="32"/>
  <c r="AB25" i="32" s="1"/>
  <c r="AA23" i="32"/>
  <c r="AA25" i="32" s="1"/>
  <c r="L12" i="32"/>
  <c r="L25" i="32" s="1"/>
  <c r="AJ308" i="31"/>
  <c r="AI308" i="31"/>
  <c r="AG308" i="31"/>
  <c r="AE308" i="31"/>
  <c r="AD308" i="31"/>
  <c r="AC308" i="31"/>
  <c r="AB308" i="31"/>
  <c r="AA308" i="31"/>
  <c r="Z308" i="31"/>
  <c r="Y308" i="31"/>
  <c r="W308" i="31"/>
  <c r="U308" i="31"/>
  <c r="Q308" i="31"/>
  <c r="P308" i="31"/>
  <c r="O308" i="31"/>
  <c r="N308" i="31"/>
  <c r="M308" i="31"/>
  <c r="L308" i="31"/>
  <c r="K308" i="31"/>
  <c r="J308" i="31"/>
  <c r="I308" i="31"/>
  <c r="H308" i="31"/>
  <c r="G308" i="31"/>
  <c r="F308" i="31"/>
  <c r="E308" i="31"/>
  <c r="D308" i="31"/>
  <c r="C308" i="31"/>
  <c r="B308" i="31"/>
  <c r="A308" i="31"/>
  <c r="S307" i="31"/>
  <c r="S306" i="31"/>
  <c r="V305" i="31"/>
  <c r="T305" i="31"/>
  <c r="S305" i="31"/>
  <c r="V304" i="31"/>
  <c r="S304" i="31"/>
  <c r="S303" i="31"/>
  <c r="S302" i="31"/>
  <c r="S301" i="31"/>
  <c r="S300" i="31"/>
  <c r="S299" i="31"/>
  <c r="S298" i="31"/>
  <c r="V297" i="31"/>
  <c r="S297" i="31"/>
  <c r="S296" i="31"/>
  <c r="S295" i="31"/>
  <c r="S294" i="31"/>
  <c r="V293" i="31"/>
  <c r="S293" i="31"/>
  <c r="V292" i="31"/>
  <c r="S292" i="31"/>
  <c r="S291" i="31"/>
  <c r="S290" i="31"/>
  <c r="S289" i="31"/>
  <c r="S288" i="31"/>
  <c r="S287" i="31"/>
  <c r="S286" i="31"/>
  <c r="R285" i="31"/>
  <c r="S285" i="31" s="1"/>
  <c r="S284" i="31"/>
  <c r="S283" i="31"/>
  <c r="S282" i="31"/>
  <c r="S281" i="31"/>
  <c r="S280" i="31"/>
  <c r="S279" i="31"/>
  <c r="S278" i="31"/>
  <c r="V277" i="31"/>
  <c r="S277" i="31"/>
  <c r="V276" i="31"/>
  <c r="S276" i="31"/>
  <c r="S275" i="31"/>
  <c r="S274" i="31"/>
  <c r="S273" i="31"/>
  <c r="S272" i="31"/>
  <c r="S271" i="31"/>
  <c r="S270" i="31"/>
  <c r="S269" i="31"/>
  <c r="S268" i="31"/>
  <c r="S267" i="31"/>
  <c r="S266" i="31"/>
  <c r="S265" i="31"/>
  <c r="S264" i="31"/>
  <c r="S263" i="31"/>
  <c r="V262" i="31"/>
  <c r="S262" i="31"/>
  <c r="V261" i="31"/>
  <c r="S261" i="31"/>
  <c r="S260" i="31"/>
  <c r="S259" i="31"/>
  <c r="S258" i="31"/>
  <c r="S257" i="31"/>
  <c r="S256" i="31"/>
  <c r="S255" i="31"/>
  <c r="S254" i="31"/>
  <c r="S253" i="31"/>
  <c r="S252" i="31"/>
  <c r="S251" i="31"/>
  <c r="S250" i="31"/>
  <c r="V249" i="31"/>
  <c r="S249" i="31"/>
  <c r="S248" i="31"/>
  <c r="S247" i="31"/>
  <c r="S246" i="31"/>
  <c r="S245" i="31"/>
  <c r="S244" i="31"/>
  <c r="S243" i="31"/>
  <c r="S242" i="31"/>
  <c r="S241" i="31"/>
  <c r="S240" i="31"/>
  <c r="S239" i="31"/>
  <c r="S238" i="31"/>
  <c r="S237" i="31"/>
  <c r="V236" i="31"/>
  <c r="S236" i="31"/>
  <c r="S235" i="31"/>
  <c r="S234" i="31"/>
  <c r="S233" i="31"/>
  <c r="S232" i="31"/>
  <c r="S231" i="31"/>
  <c r="S230" i="31"/>
  <c r="S229" i="31"/>
  <c r="S228" i="31"/>
  <c r="V227" i="31"/>
  <c r="S227" i="31"/>
  <c r="V226" i="31"/>
  <c r="S226" i="31"/>
  <c r="S225" i="31"/>
  <c r="S224" i="31"/>
  <c r="S223" i="31"/>
  <c r="S222" i="31"/>
  <c r="S221" i="31"/>
  <c r="S220" i="31"/>
  <c r="S219" i="31"/>
  <c r="S218" i="31"/>
  <c r="S217" i="31"/>
  <c r="S216" i="31"/>
  <c r="V215" i="31"/>
  <c r="T215"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V182" i="31"/>
  <c r="S182" i="31"/>
  <c r="S181" i="31"/>
  <c r="S180" i="31"/>
  <c r="S179" i="31"/>
  <c r="S178" i="31"/>
  <c r="S177" i="31"/>
  <c r="S176" i="31"/>
  <c r="S175" i="31"/>
  <c r="S174" i="31"/>
  <c r="V173" i="31"/>
  <c r="S173" i="31"/>
  <c r="S172" i="31"/>
  <c r="S171" i="31"/>
  <c r="S170" i="31"/>
  <c r="S169" i="31"/>
  <c r="S168" i="31"/>
  <c r="S167" i="31"/>
  <c r="S166" i="31"/>
  <c r="S165" i="31"/>
  <c r="S164" i="31"/>
  <c r="S163" i="31"/>
  <c r="S162" i="31"/>
  <c r="S161" i="31"/>
  <c r="S160" i="31"/>
  <c r="S159" i="31"/>
  <c r="S158" i="31"/>
  <c r="S157" i="31"/>
  <c r="AF157" i="31" s="1"/>
  <c r="S156" i="31"/>
  <c r="S155" i="31"/>
  <c r="S154" i="31"/>
  <c r="S153" i="31"/>
  <c r="V152" i="31"/>
  <c r="R152" i="31"/>
  <c r="S152" i="31" s="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V125" i="31"/>
  <c r="S125" i="31"/>
  <c r="S124" i="31"/>
  <c r="S123" i="31"/>
  <c r="S122" i="31"/>
  <c r="S121" i="31"/>
  <c r="S120" i="31"/>
  <c r="S119" i="31"/>
  <c r="S118" i="31"/>
  <c r="V117" i="31"/>
  <c r="R117" i="31"/>
  <c r="S117" i="31" s="1"/>
  <c r="V116" i="31"/>
  <c r="S116" i="31"/>
  <c r="V115" i="31"/>
  <c r="S115" i="31"/>
  <c r="S114" i="31"/>
  <c r="V113" i="31"/>
  <c r="S113" i="31"/>
  <c r="V112" i="31"/>
  <c r="S112" i="31"/>
  <c r="S111" i="31"/>
  <c r="V110" i="31"/>
  <c r="S110" i="31"/>
  <c r="V109" i="31"/>
  <c r="S109" i="31"/>
  <c r="S108" i="31"/>
  <c r="S107" i="31"/>
  <c r="V106" i="31"/>
  <c r="S106" i="31"/>
  <c r="V105" i="31"/>
  <c r="S105" i="31"/>
  <c r="V104" i="31"/>
  <c r="S104" i="31"/>
  <c r="V103" i="31"/>
  <c r="S103" i="31"/>
  <c r="V102" i="31"/>
  <c r="S102" i="31"/>
  <c r="V101" i="31"/>
  <c r="S101" i="31"/>
  <c r="V100" i="31"/>
  <c r="S100" i="31"/>
  <c r="V99" i="31"/>
  <c r="S99" i="31"/>
  <c r="V98" i="31"/>
  <c r="S98" i="31"/>
  <c r="S97" i="31"/>
  <c r="V96" i="31"/>
  <c r="S96" i="31"/>
  <c r="V95" i="31"/>
  <c r="S95" i="31"/>
  <c r="S94" i="31"/>
  <c r="S93" i="31"/>
  <c r="S92" i="31"/>
  <c r="S91" i="31"/>
  <c r="V90" i="31"/>
  <c r="S90" i="31"/>
  <c r="V89" i="31"/>
  <c r="S89" i="31"/>
  <c r="S88" i="31"/>
  <c r="S87" i="31"/>
  <c r="S86" i="31"/>
  <c r="S85" i="31"/>
  <c r="S84" i="31"/>
  <c r="S83" i="31"/>
  <c r="S82" i="31"/>
  <c r="S81" i="31"/>
  <c r="S80" i="31"/>
  <c r="S79" i="31"/>
  <c r="S78" i="31"/>
  <c r="S77" i="31"/>
  <c r="V76" i="31"/>
  <c r="S76" i="31"/>
  <c r="AF76" i="31" s="1"/>
  <c r="V75" i="31"/>
  <c r="S75" i="31"/>
  <c r="S74" i="31"/>
  <c r="V73" i="31"/>
  <c r="S73" i="31"/>
  <c r="V72" i="31"/>
  <c r="S72" i="31"/>
  <c r="S71" i="31"/>
  <c r="S70" i="31"/>
  <c r="S69" i="31"/>
  <c r="S68" i="31"/>
  <c r="V67" i="31"/>
  <c r="S67" i="31"/>
  <c r="V66" i="31"/>
  <c r="S66" i="31"/>
  <c r="S65" i="31"/>
  <c r="S64" i="31"/>
  <c r="S63" i="31"/>
  <c r="S62" i="31"/>
  <c r="V61" i="31"/>
  <c r="S61" i="31"/>
  <c r="S60" i="31"/>
  <c r="V59" i="31"/>
  <c r="S59" i="31"/>
  <c r="S58" i="31"/>
  <c r="S57" i="31"/>
  <c r="V56" i="31"/>
  <c r="T56" i="31"/>
  <c r="S56" i="31"/>
  <c r="S55" i="31"/>
  <c r="S54" i="31"/>
  <c r="S53" i="31"/>
  <c r="S52" i="31"/>
  <c r="V51" i="31"/>
  <c r="S51" i="31"/>
  <c r="S50" i="31"/>
  <c r="S49" i="31"/>
  <c r="S48" i="31"/>
  <c r="S47" i="31"/>
  <c r="S46" i="31"/>
  <c r="S45" i="31"/>
  <c r="S44" i="31"/>
  <c r="S43" i="31"/>
  <c r="S42" i="31"/>
  <c r="S41" i="31"/>
  <c r="S40" i="31"/>
  <c r="V39" i="31"/>
  <c r="S39" i="31"/>
  <c r="S38" i="31"/>
  <c r="V37" i="31"/>
  <c r="S37" i="31"/>
  <c r="S36" i="31"/>
  <c r="S35" i="31"/>
  <c r="V34" i="31"/>
  <c r="S34" i="31"/>
  <c r="S33" i="31"/>
  <c r="V32" i="31"/>
  <c r="S32" i="31"/>
  <c r="S31" i="31"/>
  <c r="S30" i="31"/>
  <c r="S29" i="31"/>
  <c r="AF29" i="31" s="1"/>
  <c r="S28" i="31"/>
  <c r="S27" i="31"/>
  <c r="V26" i="31"/>
  <c r="S26" i="31"/>
  <c r="S25" i="31"/>
  <c r="V24" i="31"/>
  <c r="S24" i="31"/>
  <c r="S23" i="31"/>
  <c r="V22" i="31"/>
  <c r="S22" i="31"/>
  <c r="S21" i="31"/>
  <c r="S20" i="31"/>
  <c r="S19" i="31"/>
  <c r="V18" i="31"/>
  <c r="S18" i="31"/>
  <c r="S17" i="31"/>
  <c r="S16" i="31"/>
  <c r="V15" i="31"/>
  <c r="S15" i="31"/>
  <c r="S14" i="31"/>
  <c r="V13" i="31"/>
  <c r="S13" i="31"/>
  <c r="S12" i="31"/>
  <c r="AF12" i="31" s="1"/>
  <c r="V11" i="31"/>
  <c r="S11" i="31"/>
  <c r="V10" i="31"/>
  <c r="T10" i="31"/>
  <c r="S10" i="31"/>
  <c r="V9" i="31"/>
  <c r="T9" i="31"/>
  <c r="S9" i="31"/>
  <c r="V8" i="31"/>
  <c r="T8" i="31"/>
  <c r="S8" i="31"/>
  <c r="V7" i="31"/>
  <c r="T7" i="31"/>
  <c r="S7" i="31"/>
  <c r="V6" i="31"/>
  <c r="T6" i="31"/>
  <c r="S6" i="31"/>
  <c r="V5" i="31"/>
  <c r="T5" i="31"/>
  <c r="S5" i="31"/>
  <c r="V4" i="31"/>
  <c r="AF308" i="31" l="1"/>
  <c r="R308" i="31"/>
  <c r="T308" i="31"/>
  <c r="V308" i="31"/>
  <c r="N25" i="32"/>
  <c r="R25" i="32"/>
  <c r="P25" i="32"/>
  <c r="O25" i="32"/>
  <c r="S4" i="31"/>
  <c r="S308" i="31" s="1"/>
  <c r="A286" i="23" l="1"/>
  <c r="B286" i="23"/>
  <c r="C286" i="23"/>
  <c r="D286" i="23"/>
  <c r="E286" i="23"/>
  <c r="F286" i="23"/>
  <c r="G286" i="23"/>
  <c r="H286" i="23"/>
  <c r="I286" i="23"/>
  <c r="J286" i="23"/>
  <c r="K286" i="23"/>
  <c r="L286" i="23"/>
  <c r="M286" i="23"/>
  <c r="N286" i="23"/>
  <c r="O286" i="23"/>
  <c r="R286" i="23"/>
  <c r="T286" i="23"/>
  <c r="V286" i="23"/>
  <c r="W286" i="23"/>
  <c r="X286" i="23"/>
  <c r="Y286" i="23"/>
  <c r="Z286" i="23"/>
  <c r="AA286" i="23"/>
  <c r="AB286" i="23"/>
  <c r="AD286" i="23"/>
  <c r="AE286" i="23"/>
  <c r="M243" i="30"/>
  <c r="A243" i="30"/>
  <c r="B243" i="30"/>
  <c r="C243" i="30"/>
  <c r="D243" i="30"/>
  <c r="E243" i="30"/>
  <c r="F243" i="30"/>
  <c r="G243" i="30"/>
  <c r="H243" i="30"/>
  <c r="I243" i="30"/>
  <c r="J243" i="30"/>
  <c r="K243" i="30"/>
  <c r="L243" i="30"/>
  <c r="P243" i="30"/>
  <c r="R243" i="30"/>
  <c r="T243" i="30"/>
  <c r="U243" i="30"/>
  <c r="V243" i="30"/>
  <c r="W243" i="30"/>
  <c r="X243" i="30"/>
  <c r="Y243" i="30"/>
  <c r="AB243" i="30"/>
  <c r="O242" i="30"/>
  <c r="N242" i="30"/>
  <c r="O241" i="30"/>
  <c r="N241" i="30"/>
  <c r="O240" i="30"/>
  <c r="N240" i="30"/>
  <c r="O239" i="30"/>
  <c r="N239" i="30"/>
  <c r="O238" i="30"/>
  <c r="N238" i="30"/>
  <c r="O237" i="30"/>
  <c r="N237" i="30"/>
  <c r="O236" i="30"/>
  <c r="N236" i="30"/>
  <c r="O235" i="30"/>
  <c r="N235" i="30"/>
  <c r="O234" i="30"/>
  <c r="N234" i="30"/>
  <c r="O233" i="30"/>
  <c r="N233" i="30"/>
  <c r="O232" i="30"/>
  <c r="N232" i="30"/>
  <c r="O231" i="30"/>
  <c r="N231" i="30"/>
  <c r="O230" i="30"/>
  <c r="N230" i="30"/>
  <c r="O229" i="30"/>
  <c r="N229" i="30"/>
  <c r="O228" i="30"/>
  <c r="N228" i="30"/>
  <c r="O227" i="30"/>
  <c r="N227" i="30"/>
  <c r="O226" i="30"/>
  <c r="N226" i="30"/>
  <c r="O225" i="30"/>
  <c r="N225" i="30"/>
  <c r="O224" i="30"/>
  <c r="N224" i="30"/>
  <c r="O223" i="30"/>
  <c r="N223" i="30"/>
  <c r="O222" i="30"/>
  <c r="N222" i="30"/>
  <c r="O221" i="30"/>
  <c r="N221" i="30"/>
  <c r="O220" i="30"/>
  <c r="N220" i="30"/>
  <c r="O219" i="30"/>
  <c r="N219" i="30"/>
  <c r="O218" i="30"/>
  <c r="N218" i="30"/>
  <c r="O217" i="30"/>
  <c r="N217" i="30"/>
  <c r="O216" i="30"/>
  <c r="N216" i="30"/>
  <c r="N215" i="30"/>
  <c r="O214" i="30"/>
  <c r="N214" i="30"/>
  <c r="O213" i="30"/>
  <c r="N213" i="30"/>
  <c r="O212" i="30"/>
  <c r="N212" i="30"/>
  <c r="O211" i="30"/>
  <c r="N211" i="30"/>
  <c r="O210" i="30"/>
  <c r="N210" i="30"/>
  <c r="O209" i="30"/>
  <c r="N209" i="30"/>
  <c r="O208" i="30"/>
  <c r="N208" i="30"/>
  <c r="O207" i="30"/>
  <c r="N207" i="30"/>
  <c r="O206" i="30"/>
  <c r="N206" i="30"/>
  <c r="O205" i="30"/>
  <c r="N205" i="30"/>
  <c r="O204" i="30"/>
  <c r="N204" i="30"/>
  <c r="O203" i="30"/>
  <c r="N203" i="30"/>
  <c r="O202" i="30"/>
  <c r="N202" i="30"/>
  <c r="O201" i="30"/>
  <c r="N201" i="30"/>
  <c r="O200" i="30"/>
  <c r="N200" i="30"/>
  <c r="O199" i="30"/>
  <c r="N199" i="30"/>
  <c r="O198" i="30"/>
  <c r="N198" i="30"/>
  <c r="O197" i="30"/>
  <c r="N197" i="30"/>
  <c r="O196" i="30"/>
  <c r="N196" i="30"/>
  <c r="O195" i="30"/>
  <c r="N195" i="30"/>
  <c r="O194" i="30"/>
  <c r="N194" i="30"/>
  <c r="N193" i="30"/>
  <c r="O192" i="30"/>
  <c r="N192" i="30"/>
  <c r="O191" i="30"/>
  <c r="N191" i="30"/>
  <c r="O190" i="30"/>
  <c r="N190" i="30"/>
  <c r="O189" i="30"/>
  <c r="N189" i="30"/>
  <c r="O188" i="30"/>
  <c r="N188" i="30"/>
  <c r="O187" i="30"/>
  <c r="N187" i="30"/>
  <c r="O186" i="30"/>
  <c r="N186" i="30"/>
  <c r="O185" i="30"/>
  <c r="N185" i="30"/>
  <c r="O184" i="30"/>
  <c r="N184" i="30"/>
  <c r="O183" i="30"/>
  <c r="N183" i="30"/>
  <c r="O182" i="30"/>
  <c r="N182" i="30"/>
  <c r="O181" i="30"/>
  <c r="N181" i="30"/>
  <c r="O180" i="30"/>
  <c r="N180" i="30"/>
  <c r="O179" i="30"/>
  <c r="N179" i="30"/>
  <c r="O178" i="30"/>
  <c r="N178" i="30"/>
  <c r="O177" i="30"/>
  <c r="N177" i="30"/>
  <c r="O176" i="30"/>
  <c r="N176" i="30"/>
  <c r="O175" i="30"/>
  <c r="N175" i="30"/>
  <c r="O174" i="30"/>
  <c r="N174" i="30"/>
  <c r="O173" i="30"/>
  <c r="N173" i="30"/>
  <c r="O172" i="30"/>
  <c r="N172" i="30"/>
  <c r="O171" i="30"/>
  <c r="N171" i="30"/>
  <c r="O170" i="30"/>
  <c r="N170" i="30"/>
  <c r="O169" i="30"/>
  <c r="N169" i="30"/>
  <c r="O168" i="30"/>
  <c r="N168" i="30"/>
  <c r="O167" i="30"/>
  <c r="N167" i="30"/>
  <c r="O166" i="30"/>
  <c r="N166" i="30"/>
  <c r="O165" i="30"/>
  <c r="N165" i="30"/>
  <c r="O164" i="30"/>
  <c r="N164" i="30"/>
  <c r="Q163" i="30"/>
  <c r="O163" i="30"/>
  <c r="N163" i="30"/>
  <c r="O162" i="30"/>
  <c r="N162" i="30"/>
  <c r="O161" i="30"/>
  <c r="N161" i="30"/>
  <c r="O160" i="30"/>
  <c r="N160" i="30"/>
  <c r="O159" i="30"/>
  <c r="N159" i="30"/>
  <c r="O158" i="30"/>
  <c r="N158" i="30"/>
  <c r="O157" i="30"/>
  <c r="N157" i="30"/>
  <c r="O156" i="30"/>
  <c r="N156" i="30"/>
  <c r="O155" i="30"/>
  <c r="N155" i="30"/>
  <c r="O154" i="30"/>
  <c r="N154" i="30"/>
  <c r="O153" i="30"/>
  <c r="N153" i="30"/>
  <c r="Z152" i="30"/>
  <c r="AA152" i="30" s="1"/>
  <c r="O152" i="30"/>
  <c r="N152" i="30"/>
  <c r="O151" i="30"/>
  <c r="N151" i="30"/>
  <c r="O150" i="30"/>
  <c r="N150" i="30"/>
  <c r="O149" i="30"/>
  <c r="N149" i="30"/>
  <c r="O148" i="30"/>
  <c r="N148" i="30"/>
  <c r="O147" i="30"/>
  <c r="N147" i="30"/>
  <c r="O146" i="30"/>
  <c r="N146" i="30"/>
  <c r="Z145" i="30"/>
  <c r="O145" i="30"/>
  <c r="N145" i="30"/>
  <c r="O144" i="30"/>
  <c r="N144" i="30"/>
  <c r="O143" i="30"/>
  <c r="N143" i="30"/>
  <c r="O142" i="30"/>
  <c r="N142" i="30"/>
  <c r="O141" i="30"/>
  <c r="N141" i="30"/>
  <c r="N140" i="30"/>
  <c r="O139" i="30"/>
  <c r="N139" i="30"/>
  <c r="O138" i="30"/>
  <c r="N138" i="30"/>
  <c r="O137" i="30"/>
  <c r="N137" i="30"/>
  <c r="O136" i="30"/>
  <c r="N136" i="30"/>
  <c r="O135" i="30"/>
  <c r="N135" i="30"/>
  <c r="O134" i="30"/>
  <c r="N134" i="30"/>
  <c r="O133" i="30"/>
  <c r="N133" i="30"/>
  <c r="O132" i="30"/>
  <c r="N132" i="30"/>
  <c r="O131" i="30"/>
  <c r="N131" i="30"/>
  <c r="O130" i="30"/>
  <c r="N130" i="30"/>
  <c r="N129" i="30"/>
  <c r="O128" i="30"/>
  <c r="N128" i="30"/>
  <c r="O127" i="30"/>
  <c r="N127" i="30"/>
  <c r="O126" i="30"/>
  <c r="N126" i="30"/>
  <c r="O125" i="30"/>
  <c r="N125" i="30"/>
  <c r="O124" i="30"/>
  <c r="N124" i="30"/>
  <c r="O123" i="30"/>
  <c r="N123" i="30"/>
  <c r="O122" i="30"/>
  <c r="N122" i="30"/>
  <c r="O121" i="30"/>
  <c r="N121" i="30"/>
  <c r="O120" i="30"/>
  <c r="N120" i="30"/>
  <c r="O119" i="30"/>
  <c r="N119" i="30"/>
  <c r="O118" i="30"/>
  <c r="N118" i="30"/>
  <c r="O117" i="30"/>
  <c r="N117" i="30"/>
  <c r="O116" i="30"/>
  <c r="N116" i="30"/>
  <c r="O115" i="30"/>
  <c r="N115" i="30"/>
  <c r="O114" i="30"/>
  <c r="N114" i="30"/>
  <c r="O113" i="30"/>
  <c r="N113" i="30"/>
  <c r="O112" i="30"/>
  <c r="N112" i="30"/>
  <c r="O111" i="30"/>
  <c r="N111" i="30"/>
  <c r="O110" i="30"/>
  <c r="N110" i="30"/>
  <c r="O109" i="30"/>
  <c r="N109" i="30"/>
  <c r="O108" i="30"/>
  <c r="N108" i="30"/>
  <c r="O107" i="30"/>
  <c r="N107" i="30"/>
  <c r="O106" i="30"/>
  <c r="O105" i="30"/>
  <c r="N105" i="30"/>
  <c r="O104" i="30"/>
  <c r="N104" i="30"/>
  <c r="O103" i="30"/>
  <c r="N103" i="30"/>
  <c r="O102" i="30"/>
  <c r="N102" i="30"/>
  <c r="O101" i="30"/>
  <c r="N101" i="30"/>
  <c r="O100" i="30"/>
  <c r="N100" i="30"/>
  <c r="O99" i="30"/>
  <c r="N99" i="30"/>
  <c r="N98" i="30"/>
  <c r="O97" i="30"/>
  <c r="N97" i="30"/>
  <c r="O96" i="30"/>
  <c r="N96" i="30"/>
  <c r="O95" i="30"/>
  <c r="N95" i="30"/>
  <c r="O94" i="30"/>
  <c r="Q93" i="30"/>
  <c r="O93" i="30"/>
  <c r="N93" i="30"/>
  <c r="O92" i="30"/>
  <c r="N92" i="30"/>
  <c r="O91" i="30"/>
  <c r="N91" i="30"/>
  <c r="O90" i="30"/>
  <c r="N90" i="30"/>
  <c r="O89" i="30"/>
  <c r="N89" i="30"/>
  <c r="O88" i="30"/>
  <c r="N88" i="30"/>
  <c r="O87" i="30"/>
  <c r="N87" i="30"/>
  <c r="O86" i="30"/>
  <c r="N86" i="30"/>
  <c r="O85" i="30"/>
  <c r="N85" i="30"/>
  <c r="O84" i="30"/>
  <c r="N84" i="30"/>
  <c r="O83" i="30"/>
  <c r="N83" i="30"/>
  <c r="O82" i="30"/>
  <c r="N82" i="30"/>
  <c r="O81" i="30"/>
  <c r="N81" i="30"/>
  <c r="O80" i="30"/>
  <c r="N80" i="30"/>
  <c r="O79" i="30"/>
  <c r="N79" i="30"/>
  <c r="O78" i="30"/>
  <c r="N78" i="30"/>
  <c r="O77" i="30"/>
  <c r="N77" i="30"/>
  <c r="O76" i="30"/>
  <c r="O75" i="30"/>
  <c r="N75" i="30"/>
  <c r="O74" i="30"/>
  <c r="N74" i="30"/>
  <c r="O73" i="30"/>
  <c r="O72" i="30"/>
  <c r="N72" i="30"/>
  <c r="Q71" i="30"/>
  <c r="O71" i="30"/>
  <c r="N71" i="30"/>
  <c r="O70" i="30"/>
  <c r="N70" i="30"/>
  <c r="O69" i="30"/>
  <c r="N69" i="30"/>
  <c r="O68" i="30"/>
  <c r="N68" i="30"/>
  <c r="O67" i="30"/>
  <c r="N67" i="30"/>
  <c r="O66" i="30"/>
  <c r="N66" i="30"/>
  <c r="O65" i="30"/>
  <c r="N65" i="30"/>
  <c r="O64" i="30"/>
  <c r="N64" i="30"/>
  <c r="O63" i="30"/>
  <c r="N63" i="30"/>
  <c r="O62" i="30"/>
  <c r="N62" i="30"/>
  <c r="O61" i="30"/>
  <c r="N61" i="30"/>
  <c r="O60" i="30"/>
  <c r="N60" i="30"/>
  <c r="O59" i="30"/>
  <c r="N59" i="30"/>
  <c r="O58" i="30"/>
  <c r="N58" i="30"/>
  <c r="O57" i="30"/>
  <c r="N57" i="30"/>
  <c r="O56" i="30"/>
  <c r="N56" i="30"/>
  <c r="O55" i="30"/>
  <c r="N55" i="30"/>
  <c r="O54" i="30"/>
  <c r="N54" i="30"/>
  <c r="O53" i="30"/>
  <c r="N53" i="30"/>
  <c r="O52" i="30"/>
  <c r="N52" i="30"/>
  <c r="O51" i="30"/>
  <c r="N51" i="30"/>
  <c r="O50" i="30"/>
  <c r="N50" i="30"/>
  <c r="O49" i="30"/>
  <c r="N49" i="30"/>
  <c r="O48" i="30"/>
  <c r="N48" i="30"/>
  <c r="O47" i="30"/>
  <c r="N47" i="30"/>
  <c r="O46" i="30"/>
  <c r="N46" i="30"/>
  <c r="N45" i="30"/>
  <c r="O44" i="30"/>
  <c r="N44" i="30"/>
  <c r="O43" i="30"/>
  <c r="N43" i="30"/>
  <c r="O42" i="30"/>
  <c r="N42" i="30"/>
  <c r="O41" i="30"/>
  <c r="N41" i="30"/>
  <c r="O40" i="30"/>
  <c r="N40" i="30"/>
  <c r="O39" i="30"/>
  <c r="N39" i="30"/>
  <c r="O38" i="30"/>
  <c r="N38" i="30"/>
  <c r="O37" i="30"/>
  <c r="N37" i="30"/>
  <c r="O36" i="30"/>
  <c r="N36" i="30"/>
  <c r="O35" i="30"/>
  <c r="N35" i="30"/>
  <c r="O34" i="30"/>
  <c r="N34" i="30"/>
  <c r="O33" i="30"/>
  <c r="N33" i="30"/>
  <c r="O32" i="30"/>
  <c r="N32" i="30"/>
  <c r="O31" i="30"/>
  <c r="N31" i="30"/>
  <c r="O30" i="30"/>
  <c r="N30" i="30"/>
  <c r="O29" i="30"/>
  <c r="N29" i="30"/>
  <c r="O28" i="30"/>
  <c r="N28" i="30"/>
  <c r="O27" i="30"/>
  <c r="N27" i="30"/>
  <c r="O26" i="30"/>
  <c r="N26" i="30"/>
  <c r="O25" i="30"/>
  <c r="N25" i="30"/>
  <c r="O24" i="30"/>
  <c r="N24" i="30"/>
  <c r="O23" i="30"/>
  <c r="N23" i="30"/>
  <c r="O22" i="30"/>
  <c r="N22" i="30"/>
  <c r="O21" i="30"/>
  <c r="N21" i="30"/>
  <c r="O20" i="30"/>
  <c r="N20" i="30"/>
  <c r="O19" i="30"/>
  <c r="N19" i="30"/>
  <c r="O18" i="30"/>
  <c r="N18" i="30"/>
  <c r="O17" i="30"/>
  <c r="N17" i="30"/>
  <c r="O16" i="30"/>
  <c r="N16" i="30"/>
  <c r="O15" i="30"/>
  <c r="N15" i="30"/>
  <c r="O14" i="30"/>
  <c r="N14" i="30"/>
  <c r="O13" i="30"/>
  <c r="N13" i="30"/>
  <c r="O12" i="30"/>
  <c r="N12" i="30"/>
  <c r="O11" i="30"/>
  <c r="N11" i="30"/>
  <c r="O10" i="30"/>
  <c r="N10" i="30"/>
  <c r="O9" i="30"/>
  <c r="N9" i="30"/>
  <c r="O8" i="30"/>
  <c r="N8" i="30"/>
  <c r="O7" i="30"/>
  <c r="N7" i="30"/>
  <c r="O6" i="30"/>
  <c r="N6" i="30"/>
  <c r="O243" i="30" l="1"/>
  <c r="Q243" i="30"/>
  <c r="Z243" i="30"/>
  <c r="AA243" i="30"/>
  <c r="N243" i="30"/>
  <c r="U245" i="23" l="1"/>
  <c r="U286" i="23" s="1"/>
  <c r="P277" i="23" l="1"/>
  <c r="P278" i="23"/>
  <c r="P283" i="23"/>
  <c r="P274" i="23"/>
  <c r="P271" i="23"/>
  <c r="P272" i="23"/>
  <c r="P281" i="23"/>
  <c r="P275" i="23"/>
  <c r="P270" i="23"/>
  <c r="P276" i="23"/>
  <c r="P273" i="23"/>
  <c r="P268" i="23"/>
  <c r="P280" i="23"/>
  <c r="P269" i="23"/>
  <c r="P284" i="23"/>
  <c r="P267" i="23"/>
  <c r="P262" i="23"/>
  <c r="P263" i="23"/>
  <c r="P264" i="23"/>
  <c r="P265" i="23"/>
  <c r="P254" i="23"/>
  <c r="P255" i="23"/>
  <c r="P256" i="23"/>
  <c r="P257" i="23"/>
  <c r="P258" i="23"/>
  <c r="P259" i="23"/>
  <c r="P260" i="23"/>
  <c r="P261" i="23"/>
  <c r="P266" i="23"/>
  <c r="P282" i="23"/>
  <c r="P279" i="23"/>
  <c r="P285" i="23"/>
  <c r="P252" i="23"/>
  <c r="P250" i="23"/>
  <c r="P251" i="23"/>
  <c r="P244" i="23" l="1"/>
  <c r="P239" i="23"/>
  <c r="P240" i="23"/>
  <c r="P241" i="23"/>
  <c r="P248" i="23"/>
  <c r="P247" i="23"/>
  <c r="P245" i="23"/>
  <c r="P243" i="23"/>
  <c r="P246" i="23"/>
  <c r="P242" i="23"/>
  <c r="P249" i="23"/>
  <c r="P253" i="23"/>
  <c r="P223" i="23" l="1"/>
  <c r="P225" i="23"/>
  <c r="P226" i="23"/>
  <c r="P232" i="23"/>
  <c r="P224" i="23"/>
  <c r="P227" i="23"/>
  <c r="P228" i="23"/>
  <c r="P237" i="23"/>
  <c r="P233" i="23"/>
  <c r="P231" i="23"/>
  <c r="P230" i="23"/>
  <c r="P229" i="23"/>
  <c r="P235" i="23"/>
  <c r="P236" i="23"/>
  <c r="P234" i="23"/>
  <c r="P238" i="23"/>
  <c r="P221" i="23" l="1"/>
  <c r="P222" i="23"/>
  <c r="P215" i="23" l="1"/>
  <c r="P216" i="23"/>
  <c r="P217" i="23"/>
  <c r="P193" i="23"/>
  <c r="P182" i="23"/>
  <c r="P209" i="23"/>
  <c r="P210" i="23"/>
  <c r="P211" i="23"/>
  <c r="P212" i="23"/>
  <c r="P213" i="23"/>
  <c r="P208" i="23"/>
  <c r="P214" i="23"/>
  <c r="P218" i="23"/>
  <c r="P219" i="23"/>
  <c r="P220" i="23"/>
  <c r="P207" i="23" l="1"/>
  <c r="P206" i="23"/>
  <c r="P203" i="23"/>
  <c r="P204" i="23"/>
  <c r="P202" i="23"/>
  <c r="P205" i="23"/>
  <c r="P199" i="23" l="1"/>
  <c r="P200" i="23"/>
  <c r="P198" i="23"/>
  <c r="P194" i="23"/>
  <c r="P191" i="23"/>
  <c r="P192" i="23"/>
  <c r="P187" i="23"/>
  <c r="P186" i="23"/>
  <c r="P184" i="23"/>
  <c r="P183" i="23"/>
  <c r="P180" i="23"/>
  <c r="P173" i="23"/>
  <c r="P189" i="23" l="1"/>
  <c r="P185" i="23"/>
  <c r="P190" i="23"/>
  <c r="P197" i="23"/>
  <c r="P188" i="23"/>
  <c r="P196" i="23"/>
  <c r="P195" i="23"/>
  <c r="P201" i="23"/>
  <c r="P176" i="23" l="1"/>
  <c r="P177" i="23"/>
  <c r="P174" i="23"/>
  <c r="P175" i="23"/>
  <c r="P168" i="23"/>
  <c r="P169" i="23"/>
  <c r="P170" i="23"/>
  <c r="P171" i="23"/>
  <c r="P172" i="23"/>
  <c r="P165" i="23" l="1"/>
  <c r="P166" i="23"/>
  <c r="P162" i="23"/>
  <c r="P163" i="23"/>
  <c r="P160" i="23"/>
  <c r="P159" i="23"/>
  <c r="P157" i="23"/>
  <c r="P178" i="23"/>
  <c r="P181" i="23"/>
  <c r="P179" i="23"/>
  <c r="S286" i="23" l="1"/>
  <c r="P167" i="23"/>
  <c r="P164" i="23"/>
  <c r="P161" i="23"/>
  <c r="P142" i="23"/>
  <c r="P130" i="23"/>
  <c r="P128" i="23"/>
  <c r="P126" i="23"/>
  <c r="P125" i="23"/>
  <c r="P120" i="23"/>
  <c r="P110" i="23"/>
  <c r="P111" i="23"/>
  <c r="P112" i="23"/>
  <c r="P144" i="23"/>
  <c r="P145" i="23"/>
  <c r="P146" i="23"/>
  <c r="P147" i="23"/>
  <c r="P148" i="23"/>
  <c r="P149" i="23"/>
  <c r="P150" i="23"/>
  <c r="P151" i="23"/>
  <c r="P152" i="23"/>
  <c r="P153" i="23"/>
  <c r="P154" i="23"/>
  <c r="P155" i="23"/>
  <c r="P156" i="23"/>
  <c r="P158" i="23"/>
  <c r="P131" i="23" l="1"/>
  <c r="P95" i="23"/>
  <c r="P96" i="23"/>
  <c r="P132" i="23"/>
  <c r="P98" i="23"/>
  <c r="P123" i="23"/>
  <c r="P138" i="23"/>
  <c r="P135" i="23"/>
  <c r="P107" i="23"/>
  <c r="P124" i="23"/>
  <c r="P134" i="23"/>
  <c r="P127" i="23"/>
  <c r="P129" i="23"/>
  <c r="P140" i="23"/>
  <c r="P108" i="23"/>
  <c r="P109" i="23"/>
  <c r="P106" i="23"/>
  <c r="P99" i="23"/>
  <c r="P104" i="23"/>
  <c r="P122" i="23"/>
  <c r="P119" i="23"/>
  <c r="P115" i="23"/>
  <c r="P121" i="23"/>
  <c r="P141" i="23"/>
  <c r="P133" i="23"/>
  <c r="P136" i="23"/>
  <c r="P139" i="23"/>
  <c r="P114" i="23"/>
  <c r="P116" i="23"/>
  <c r="P117" i="23"/>
  <c r="P118" i="23"/>
  <c r="P103" i="23"/>
  <c r="P105" i="23"/>
  <c r="P113" i="23"/>
  <c r="P137" i="23"/>
  <c r="P143" i="23"/>
  <c r="P25" i="23" l="1"/>
  <c r="P101" i="23" l="1"/>
  <c r="P102" i="23"/>
  <c r="P89" i="23"/>
  <c r="P90" i="23"/>
  <c r="P91" i="23"/>
  <c r="P92" i="23"/>
  <c r="P93" i="23"/>
  <c r="P94" i="23"/>
  <c r="P75" i="23" l="1"/>
  <c r="P76" i="23"/>
  <c r="P77" i="23"/>
  <c r="P78" i="23"/>
  <c r="P79" i="23"/>
  <c r="P80" i="23"/>
  <c r="P81" i="23"/>
  <c r="P73" i="23"/>
  <c r="P74" i="23"/>
  <c r="P82" i="23"/>
  <c r="P83" i="23"/>
  <c r="P84" i="23"/>
  <c r="P85" i="23"/>
  <c r="P86" i="23"/>
  <c r="P87" i="23"/>
  <c r="P88" i="23"/>
  <c r="P97" i="23"/>
  <c r="P100" i="23"/>
  <c r="P68" i="23" l="1"/>
  <c r="P51" i="23"/>
  <c r="P40" i="23"/>
  <c r="P71" i="23"/>
  <c r="P70" i="23"/>
  <c r="P61" i="23"/>
  <c r="P62" i="23"/>
  <c r="P63" i="23"/>
  <c r="P64" i="23"/>
  <c r="P65" i="23"/>
  <c r="P66" i="23"/>
  <c r="P57" i="23"/>
  <c r="P58" i="23"/>
  <c r="P59" i="23"/>
  <c r="P60" i="23"/>
  <c r="P67" i="23"/>
  <c r="P69" i="23"/>
  <c r="P48" i="23" l="1"/>
  <c r="P49" i="23"/>
  <c r="P50" i="23"/>
  <c r="P52" i="23"/>
  <c r="P53" i="23"/>
  <c r="P54" i="23"/>
  <c r="P55" i="23"/>
  <c r="P56" i="23"/>
  <c r="Q286" i="23" l="1"/>
  <c r="P38" i="23"/>
  <c r="P39" i="23"/>
  <c r="P41" i="23"/>
  <c r="P42" i="23"/>
  <c r="P43" i="23"/>
  <c r="P44" i="23"/>
  <c r="P33" i="23"/>
  <c r="P31" i="23"/>
  <c r="P32" i="23"/>
  <c r="AC32" i="23" s="1"/>
  <c r="P28" i="23"/>
  <c r="P26" i="23"/>
  <c r="P27" i="23"/>
  <c r="P29" i="23"/>
  <c r="P30" i="23"/>
  <c r="P34" i="23"/>
  <c r="P35" i="23"/>
  <c r="P36" i="23"/>
  <c r="P37" i="23"/>
  <c r="P19" i="23"/>
  <c r="P20" i="23"/>
  <c r="P21" i="23"/>
  <c r="AC21" i="23" s="1"/>
  <c r="P22" i="23"/>
  <c r="P23" i="23"/>
  <c r="P24" i="23"/>
  <c r="P45" i="23"/>
  <c r="P46" i="23"/>
  <c r="P47" i="23"/>
  <c r="P6" i="23"/>
  <c r="P10" i="23"/>
  <c r="P11" i="23"/>
  <c r="P12" i="23"/>
  <c r="P13" i="23"/>
  <c r="P14" i="23"/>
  <c r="P15" i="23"/>
  <c r="AC286" i="23" l="1"/>
  <c r="P7" i="23"/>
  <c r="P8" i="23"/>
  <c r="P9" i="23"/>
  <c r="P16" i="23"/>
  <c r="P72" i="23"/>
  <c r="P18" i="23"/>
  <c r="P17" i="23"/>
  <c r="P286" i="23" l="1"/>
</calcChain>
</file>

<file path=xl/sharedStrings.xml><?xml version="1.0" encoding="utf-8"?>
<sst xmlns="http://schemas.openxmlformats.org/spreadsheetml/2006/main" count="13075" uniqueCount="4066">
  <si>
    <t>presidencia_</t>
  </si>
  <si>
    <t>VICE</t>
  </si>
  <si>
    <t>ÁREA</t>
  </si>
  <si>
    <t>secretaria_general</t>
  </si>
  <si>
    <t>Presidencia_</t>
  </si>
  <si>
    <t>Gerencia de Riesgo</t>
  </si>
  <si>
    <t>vicepresidencia_comercial_</t>
  </si>
  <si>
    <t>Oficina de Control Interno</t>
  </si>
  <si>
    <t>vicepresidencia_desarrollo_corporativo</t>
  </si>
  <si>
    <t>Presidencia</t>
  </si>
  <si>
    <t>vicepresidencia_financiera</t>
  </si>
  <si>
    <t>Secretaría_General</t>
  </si>
  <si>
    <t>Gerencia de Talento Humano</t>
  </si>
  <si>
    <t>vicepresidencia_indemnizaciones</t>
  </si>
  <si>
    <t>Oficina de Control Interno Disciplinario</t>
  </si>
  <si>
    <t>vicepresidencia_juridica</t>
  </si>
  <si>
    <t>Secretaria General</t>
  </si>
  <si>
    <t>vicepresidencia_tecnica</t>
  </si>
  <si>
    <t>Subgerencia Administración de Personal</t>
  </si>
  <si>
    <t xml:space="preserve">Subgerencia de Recursos Físicos </t>
  </si>
  <si>
    <t>Subgerencia Desarrollo de Talento Humano</t>
  </si>
  <si>
    <t>Vicepresidencia_Comercial_</t>
  </si>
  <si>
    <t xml:space="preserve">Gerencia Comercial </t>
  </si>
  <si>
    <t xml:space="preserve">Gerencia De Canales </t>
  </si>
  <si>
    <t xml:space="preserve">Gerencia De Negocios Estatales </t>
  </si>
  <si>
    <t>Gerencia de Servicio</t>
  </si>
  <si>
    <t>Gerencia de Sucursales</t>
  </si>
  <si>
    <t xml:space="preserve">Oficina de Mercadeo Y Publicidad </t>
  </si>
  <si>
    <t>Subgerencia De Inteligencia De Mercados</t>
  </si>
  <si>
    <t>Subgerencia De Licitaciones</t>
  </si>
  <si>
    <t>Vicepresidencia Comercial</t>
  </si>
  <si>
    <t>Vicepresidencia_Desarrollo_Corporativo</t>
  </si>
  <si>
    <t>Arquitectura Empresarial</t>
  </si>
  <si>
    <t xml:space="preserve">Gerencia De Innovación Y Procesos </t>
  </si>
  <si>
    <t>Gerencia De Planeación</t>
  </si>
  <si>
    <t>Gerencia De Tecnología De La Información</t>
  </si>
  <si>
    <t>Subgerencia De Infraestructura Y Servicios De Ti</t>
  </si>
  <si>
    <t>Subgerencia De Mantenimiento De Sistemas De Información</t>
  </si>
  <si>
    <t xml:space="preserve">Subgerencia De Mejoramiento De Procesos </t>
  </si>
  <si>
    <t>Subgerencia De Planeación Y Proyectos De Ti</t>
  </si>
  <si>
    <t>Subgerencia De Transformación Digital</t>
  </si>
  <si>
    <t xml:space="preserve">Vicepresidencia De Desarrollo Corporativo </t>
  </si>
  <si>
    <t>Actuario Responsable</t>
  </si>
  <si>
    <t>Gerencia Contable Y Tributaria</t>
  </si>
  <si>
    <t xml:space="preserve">Gerencia De Cartera </t>
  </si>
  <si>
    <t xml:space="preserve">Gerencia De Inversiones </t>
  </si>
  <si>
    <t>Gerencia De Planeacion Financiera</t>
  </si>
  <si>
    <t>Oficina de Contabilidad e Impuestos</t>
  </si>
  <si>
    <t>Subgerencia de Impuestos</t>
  </si>
  <si>
    <t xml:space="preserve">Subgerencia De Presupuesto </t>
  </si>
  <si>
    <t>Vicepresidencia Financiera</t>
  </si>
  <si>
    <t>Gerencia De Indemnizaciones Automóviles</t>
  </si>
  <si>
    <t xml:space="preserve">Gerencia De Indemnizaciones Seguros Generales Y Patrimoniales </t>
  </si>
  <si>
    <t>Gerencia De Indemnizaciones Soat, Vida Y Ap</t>
  </si>
  <si>
    <t>Oficina De Indemnizaciones Zona Centro</t>
  </si>
  <si>
    <t xml:space="preserve">Oficina De Indemnizaciones Zona Norte </t>
  </si>
  <si>
    <t>Oficina De Indemnizaciones Zona Occidente</t>
  </si>
  <si>
    <t xml:space="preserve">Subgerencia De Indemnizaciones Soat, Vida Y Ap </t>
  </si>
  <si>
    <t>Subgerencia Recobros y Salvamentos</t>
  </si>
  <si>
    <t>Vicepresidencia De Indemnizaciones</t>
  </si>
  <si>
    <t>Gerencia de Contratacion</t>
  </si>
  <si>
    <t xml:space="preserve">Subgerencia De Procesos Judiciales </t>
  </si>
  <si>
    <t xml:space="preserve">Gerencia Jurídica </t>
  </si>
  <si>
    <t>Gerencia De Litigios</t>
  </si>
  <si>
    <t>Subgerencia De Procesos De Responsabilidad Fiscal Y Administrativos</t>
  </si>
  <si>
    <t xml:space="preserve">Vicepresidencia Jurídica </t>
  </si>
  <si>
    <t>Gerencia De Actuaría</t>
  </si>
  <si>
    <t xml:space="preserve">Gerencia De Reaseguros Y Coaseguros </t>
  </si>
  <si>
    <t>Gerencia Técnica De Automóviles</t>
  </si>
  <si>
    <t>Gerencia Técnica De Seguros Generales E Ingenierias</t>
  </si>
  <si>
    <t>Gerencia Técnica De Seguros Patrimoniales Y Vida</t>
  </si>
  <si>
    <t>Gerencia Técnica De Soat</t>
  </si>
  <si>
    <t>Oficina De Cumplimiento Y Líneas Financieras</t>
  </si>
  <si>
    <t>Oficina De Incendio Y Líneas Aliadas</t>
  </si>
  <si>
    <t xml:space="preserve">Oficina De Prevención De Riesgos </t>
  </si>
  <si>
    <t xml:space="preserve">Oficina De Ramos Técnicos </t>
  </si>
  <si>
    <t>Oficina De Responsabilidad Civil</t>
  </si>
  <si>
    <t>Oficina De Transportes</t>
  </si>
  <si>
    <t>Oficina De Vida Grupo Y Accidentes Personales</t>
  </si>
  <si>
    <t>Subgerencia De Coaseguros</t>
  </si>
  <si>
    <t xml:space="preserve">Vicepresidencia Técnica </t>
  </si>
  <si>
    <t>1 PRIMER VEZ</t>
  </si>
  <si>
    <t>1 AGENCIA</t>
  </si>
  <si>
    <t>1 PERSONA NATURAL</t>
  </si>
  <si>
    <t>1 NIT</t>
  </si>
  <si>
    <t>1 DV 0</t>
  </si>
  <si>
    <t>1 ADICIÓN EN VALOR (DIFERENTE A PRÓRROGAS)</t>
  </si>
  <si>
    <t>2 DOS VECES</t>
  </si>
  <si>
    <t>2 ARRENDAMIENTO y/o ADQUISICIÓN DE INMUEBLES</t>
  </si>
  <si>
    <t>2 PERSONA JURÍDICA</t>
  </si>
  <si>
    <t>2 RUT - REGISTRO ÚNICO TRIBUTARIO</t>
  </si>
  <si>
    <t>2 DV 1</t>
  </si>
  <si>
    <t>2 ADICIÓN EN TIEMPO (PRÓRROGAS)</t>
  </si>
  <si>
    <t>3 TRES VECES</t>
  </si>
  <si>
    <t>3 CESIÓN DE CRÉDITOS</t>
  </si>
  <si>
    <t>3 P JURÍDICA - UNIÓN TEMPORAL o CONSORCIO</t>
  </si>
  <si>
    <t>3 CÉDULA DE CIUDADANÍA</t>
  </si>
  <si>
    <t>3 DV 2</t>
  </si>
  <si>
    <t>3 ADICIÓN EN VALOR y EN TIEMPO</t>
  </si>
  <si>
    <t>4 CUATRO VECES</t>
  </si>
  <si>
    <t>4 COMISION</t>
  </si>
  <si>
    <t>4 NO SE DILIGENCIA INFORMACIÓN PARA ESTE FORMULARIO EN ESTE PERÍODO DE REPORTE</t>
  </si>
  <si>
    <t>4 CÉDULA DE EXTRANJERÍA</t>
  </si>
  <si>
    <t>4 DV 3</t>
  </si>
  <si>
    <t>4 NO SE HA ADICIONADO NI EN VALOR y EN TIEMPO</t>
  </si>
  <si>
    <t>5 CINCO VECES</t>
  </si>
  <si>
    <t>5 COMODATO</t>
  </si>
  <si>
    <t>5 NO SE DILIGENCIA INFORMACIÓN PARA ESTE FORMULARIO EN ESTE PERÍODO DE REPORTE</t>
  </si>
  <si>
    <t>5 DV 4</t>
  </si>
  <si>
    <t>6 SEIS VECES</t>
  </si>
  <si>
    <t>6 COMPRAVENTA MERCANTIL</t>
  </si>
  <si>
    <t>6 DV 5</t>
  </si>
  <si>
    <t>7 SIETE VECES</t>
  </si>
  <si>
    <t>7 COMPRAVENTA y/o SUMINISTRO</t>
  </si>
  <si>
    <t>7 DV 6</t>
  </si>
  <si>
    <t>8 OCHO VECES</t>
  </si>
  <si>
    <t>8 CONCESIÓN</t>
  </si>
  <si>
    <t>8 DV 7</t>
  </si>
  <si>
    <t>9 NUEVE VECES</t>
  </si>
  <si>
    <t>9 CONSULTORÍA</t>
  </si>
  <si>
    <t>9 DV 8</t>
  </si>
  <si>
    <t>10 DIEZ VECES</t>
  </si>
  <si>
    <t>10 CONTRATOS DE ACTIVIDAD CIENTÍFICA Y TECNOLÓGICA</t>
  </si>
  <si>
    <t>10 DV 9</t>
  </si>
  <si>
    <t>11 ONCE VECES</t>
  </si>
  <si>
    <t>11 CONTRATOS DE ESTABILIDAD JURÍDICA</t>
  </si>
  <si>
    <t>11 NO SE DILIGENCIA INFORMACIÓN PARA ESTE FORMULARIO EN ESTE PERÍODO DE REPORTE</t>
  </si>
  <si>
    <t>12 DOCE VECES</t>
  </si>
  <si>
    <t>12 DEPÓSITO</t>
  </si>
  <si>
    <t>13 TRECE VECES</t>
  </si>
  <si>
    <t>13 FACTORING</t>
  </si>
  <si>
    <t>14 CATORCE VECES</t>
  </si>
  <si>
    <t>14 FIDUCIA y/o ENCARGO FIDUCIARIO</t>
  </si>
  <si>
    <t>15 QUINCE VECES</t>
  </si>
  <si>
    <t>15 FLETAMENTO</t>
  </si>
  <si>
    <t>16 DIEZ Y SEIS VECES</t>
  </si>
  <si>
    <t>16 FRANQUICIA</t>
  </si>
  <si>
    <t>17 DIEZ Y SIETE VECES</t>
  </si>
  <si>
    <t>17 INTERVENTORÍA</t>
  </si>
  <si>
    <t>18 DIEZ Y OCHO VECES</t>
  </si>
  <si>
    <t>18 LEASING</t>
  </si>
  <si>
    <t>19 DIEZ Y NUEVE VECES</t>
  </si>
  <si>
    <t>19 MANTENIMIENTO y/o REPARACIÓN</t>
  </si>
  <si>
    <t>20 VEINTE VECES</t>
  </si>
  <si>
    <t>20 MEDIACIÓN o MANDATO</t>
  </si>
  <si>
    <t>21 VEINTIÚN VECES</t>
  </si>
  <si>
    <t>21 OBRA PÚBLICA</t>
  </si>
  <si>
    <t>22 VEINTIDÓS VECES</t>
  </si>
  <si>
    <t>22 PERMUTA</t>
  </si>
  <si>
    <t>23 VEINTITRÉS VECES</t>
  </si>
  <si>
    <t>23 PRESTACIÓN DE SERVICIOS</t>
  </si>
  <si>
    <t>24 VEINTICUATRO VECES</t>
  </si>
  <si>
    <t>24 PRESTACIÓN DE SERVICIOS DE SALUD</t>
  </si>
  <si>
    <t>25 VEINTICINCO VECES</t>
  </si>
  <si>
    <t>25 PRÉSTAMO o MUTUO</t>
  </si>
  <si>
    <t>26 VEINTISÉIS VECES</t>
  </si>
  <si>
    <t>26 PUBLICIDAD</t>
  </si>
  <si>
    <t>27 VEINTISIETE VECES</t>
  </si>
  <si>
    <t>27 RENTING</t>
  </si>
  <si>
    <t>28 VEINTIOCHO VECES</t>
  </si>
  <si>
    <t>28 SEGUROS</t>
  </si>
  <si>
    <t>29 VEINTINUEVE VECES</t>
  </si>
  <si>
    <t>29 TRANSPORTE</t>
  </si>
  <si>
    <t>30 TREINTA VECES</t>
  </si>
  <si>
    <t>30 OTROS</t>
  </si>
  <si>
    <t>31 TREINTA Y UN VECES</t>
  </si>
  <si>
    <t>32 TREINTA Y DOS VECES</t>
  </si>
  <si>
    <t>33 TREINTA Y TRES VECES</t>
  </si>
  <si>
    <t>34 TREINTA Y CUATRO VECES</t>
  </si>
  <si>
    <t>35 TREINTA Y CINCO VECES</t>
  </si>
  <si>
    <t>36 TREINTA Y SEIS VECES</t>
  </si>
  <si>
    <t>37 TREINTA Y SIETE VECES</t>
  </si>
  <si>
    <t>38 TREINTA Y OCHO VECES</t>
  </si>
  <si>
    <t>39 TREINTA Y NUEVE VECES</t>
  </si>
  <si>
    <t>40 CUARENTA VECES</t>
  </si>
  <si>
    <t>41 CUARENTA Y UN VECES</t>
  </si>
  <si>
    <t>42 CUARENTA Y DOS VECES</t>
  </si>
  <si>
    <t>43 CUARENTA Y TRES VECES</t>
  </si>
  <si>
    <t>44 CUARENTA Y CUATRO VECES</t>
  </si>
  <si>
    <t>45 CUARENTA Y CINCO VECES</t>
  </si>
  <si>
    <t>46 CUARENTA Y SEIS VECES</t>
  </si>
  <si>
    <t>47 CUARENTA Y SIETE VECES</t>
  </si>
  <si>
    <t>48 CUARENTA Y OCHO VECES</t>
  </si>
  <si>
    <t>49 CUARENTA Y NUEVE VECES</t>
  </si>
  <si>
    <t>50 CINCUENTA VECES</t>
  </si>
  <si>
    <t>51 NO SE DILIGENCIA INFORMACIÓN PARA ESTE FORMULARIO EN ESTE PERÍODO DE REPORTE</t>
  </si>
  <si>
    <t>CELINA</t>
  </si>
  <si>
    <t>LEYDI</t>
  </si>
  <si>
    <t>tomo los procesos de natalia</t>
  </si>
  <si>
    <t>SANDRA</t>
  </si>
  <si>
    <t>VALENTINA CHINCHILLA</t>
  </si>
  <si>
    <t>5882, 5895</t>
  </si>
  <si>
    <t>Vale ya no se le asigna. Me dijo sandra 21/07/2023</t>
  </si>
  <si>
    <t>CONTRATO SUCURSALES</t>
  </si>
  <si>
    <t>CONTRATO AREAS</t>
  </si>
  <si>
    <t>VALENTINA RODRIGUEZ</t>
  </si>
  <si>
    <t>est.103</t>
  </si>
  <si>
    <t>300-2023-0001</t>
  </si>
  <si>
    <t>001-2023</t>
  </si>
  <si>
    <t>300-2023-0002</t>
  </si>
  <si>
    <t>002-2023</t>
  </si>
  <si>
    <t>300-2023-0003</t>
  </si>
  <si>
    <t>003-2023</t>
  </si>
  <si>
    <t>300-2023-0004</t>
  </si>
  <si>
    <t>004-2023</t>
  </si>
  <si>
    <t>dpto LITIGIOS sin CDP</t>
  </si>
  <si>
    <t>300-2023-0005</t>
  </si>
  <si>
    <t>005-2023</t>
  </si>
  <si>
    <t>300-2023-0006</t>
  </si>
  <si>
    <t>006-2023</t>
  </si>
  <si>
    <t xml:space="preserve">ESTUDIOS </t>
  </si>
  <si>
    <t>300-2023-0007</t>
  </si>
  <si>
    <t>007-2023</t>
  </si>
  <si>
    <t>300-2023-0008</t>
  </si>
  <si>
    <t>008-2023</t>
  </si>
  <si>
    <t>300-2023-0009</t>
  </si>
  <si>
    <t>009-2023</t>
  </si>
  <si>
    <t>VALENTINA R. -4</t>
  </si>
  <si>
    <t>300-2023-0010</t>
  </si>
  <si>
    <t>010-2023</t>
  </si>
  <si>
    <t>CELINA -5</t>
  </si>
  <si>
    <t>114, 118, 127, 132</t>
  </si>
  <si>
    <t>300-2023-0011</t>
  </si>
  <si>
    <t>011-2023</t>
  </si>
  <si>
    <t>SANDRA -1</t>
  </si>
  <si>
    <t>113, 117, 121, 126,128, 133</t>
  </si>
  <si>
    <t>300-2023-0012</t>
  </si>
  <si>
    <t>012-2023</t>
  </si>
  <si>
    <t>LEYDI - 3</t>
  </si>
  <si>
    <t>125, 130, 134</t>
  </si>
  <si>
    <t>300-2023-0013</t>
  </si>
  <si>
    <t>013-2023</t>
  </si>
  <si>
    <t>VALENTINA CH.</t>
  </si>
  <si>
    <t>112, 116, 122, 124</t>
  </si>
  <si>
    <t>300-2023-0014</t>
  </si>
  <si>
    <t>014-2023</t>
  </si>
  <si>
    <t>300-2023-0015</t>
  </si>
  <si>
    <t>015-2023</t>
  </si>
  <si>
    <t>NATALIA - 2</t>
  </si>
  <si>
    <t>115, 119, 120, 123, 129</t>
  </si>
  <si>
    <t>300-2023-0016</t>
  </si>
  <si>
    <t>016-2023</t>
  </si>
  <si>
    <t>300-2023-0017</t>
  </si>
  <si>
    <t>017-2023</t>
  </si>
  <si>
    <t>300-2023-0018</t>
  </si>
  <si>
    <t>018-2023</t>
  </si>
  <si>
    <t>300-2023-0019</t>
  </si>
  <si>
    <t>019-2023</t>
  </si>
  <si>
    <t>300-2023-0020</t>
  </si>
  <si>
    <t>020-2023</t>
  </si>
  <si>
    <t>300-2023-0021</t>
  </si>
  <si>
    <t>021-2023</t>
  </si>
  <si>
    <t>300-2023-0022</t>
  </si>
  <si>
    <t>022-2023</t>
  </si>
  <si>
    <t>300-2023-0023</t>
  </si>
  <si>
    <t>023-2023</t>
  </si>
  <si>
    <t>300-2023-0024</t>
  </si>
  <si>
    <t>024-2023</t>
  </si>
  <si>
    <t>300-2023-0025</t>
  </si>
  <si>
    <t>025-2023</t>
  </si>
  <si>
    <t>300-2023-0026</t>
  </si>
  <si>
    <t>026-2023</t>
  </si>
  <si>
    <t>300-2023-0027</t>
  </si>
  <si>
    <t>027-2023</t>
  </si>
  <si>
    <t>300-2023-0028</t>
  </si>
  <si>
    <t>028-2023</t>
  </si>
  <si>
    <t>300-2023-0029</t>
  </si>
  <si>
    <t>029-2023</t>
  </si>
  <si>
    <t>300-2023-0030</t>
  </si>
  <si>
    <t>030-2023</t>
  </si>
  <si>
    <t>300-2023-0031</t>
  </si>
  <si>
    <t>031-2023</t>
  </si>
  <si>
    <t>300-2023-0032</t>
  </si>
  <si>
    <t>300-2023-0033</t>
  </si>
  <si>
    <t>300-2023-0034</t>
  </si>
  <si>
    <t>300-2023-0035</t>
  </si>
  <si>
    <t>300-2023-0036</t>
  </si>
  <si>
    <t>300-2023-0037</t>
  </si>
  <si>
    <t>300-2023-0038</t>
  </si>
  <si>
    <t>300-2023-0039</t>
  </si>
  <si>
    <t>CM / SUC.</t>
  </si>
  <si>
    <t>VICEPRESIDENCIA</t>
  </si>
  <si>
    <t xml:space="preserve">ÁREA QUE CONTRATA </t>
  </si>
  <si>
    <t>MODALIDAD CONTRATACIÓN</t>
  </si>
  <si>
    <t>N° DE CONTRATO</t>
  </si>
  <si>
    <t>CLASE DE CONTRATO</t>
  </si>
  <si>
    <t>OBJETO DEL CONTRATO</t>
  </si>
  <si>
    <t>CONTRATISTA NATURALEZA</t>
  </si>
  <si>
    <t>TIPO DE IDENTIFICACIÓN CONTRATISTA</t>
  </si>
  <si>
    <t>ADICIONES
(SI / NO)</t>
  </si>
  <si>
    <t>PRÓRROGA
(SI / NO)</t>
  </si>
  <si>
    <t>ADICIONES: NÚMERO DE DÍAS</t>
  </si>
  <si>
    <t>SUSPENSIÓN (SI/NO)</t>
  </si>
  <si>
    <t>FECHA INICIO CONTRATO</t>
  </si>
  <si>
    <t>ESTADO DEL CONTRATO (EN EJECUCIÓN EN LIQUIDACIÓN POR LIQUIDAR NO SE LIQUIDA)</t>
  </si>
  <si>
    <t>FECHA LIQUIDACIÓN DEL CONTRATO</t>
  </si>
  <si>
    <t>CAUSAL DE TERMINACIÓN</t>
  </si>
  <si>
    <t>AÑO SUSCRIPCIÓN</t>
  </si>
  <si>
    <t>Vicepresidencia_Comercial</t>
  </si>
  <si>
    <t>Sucursal Arauca</t>
  </si>
  <si>
    <t>INVITACIÓN DIRECTA</t>
  </si>
  <si>
    <t>SI</t>
  </si>
  <si>
    <t>NO</t>
  </si>
  <si>
    <t>En ejecución</t>
  </si>
  <si>
    <t>Sucursal Ibagué</t>
  </si>
  <si>
    <t>Sucursal Monteria</t>
  </si>
  <si>
    <t>Casa Matriz</t>
  </si>
  <si>
    <t>Sucursal Pereira</t>
  </si>
  <si>
    <t>Sucursal Villavicencio</t>
  </si>
  <si>
    <t>Sucursal Cartagena</t>
  </si>
  <si>
    <t>Sucursal Medellin</t>
  </si>
  <si>
    <t>Sucursal Neiva</t>
  </si>
  <si>
    <t>INVITACIÓN CERRADA</t>
  </si>
  <si>
    <t xml:space="preserve">Centro Empresarial Corporativo </t>
  </si>
  <si>
    <t>Sucursal Bucaramanga</t>
  </si>
  <si>
    <t>Sucursal Sincelejo</t>
  </si>
  <si>
    <t>Sucursal Manizales</t>
  </si>
  <si>
    <t>Sucursal Cali</t>
  </si>
  <si>
    <t>Sucursal Buenaventura</t>
  </si>
  <si>
    <t>Sucursal Mocoa</t>
  </si>
  <si>
    <t>No se Liquida</t>
  </si>
  <si>
    <t>CUMPLIMIENTO DEL PLAZO</t>
  </si>
  <si>
    <t>Vicepresidencia_Técnica</t>
  </si>
  <si>
    <t>Liquidado</t>
  </si>
  <si>
    <t>INVITACIÓN ABIERTA</t>
  </si>
  <si>
    <t>Por Liquidar</t>
  </si>
  <si>
    <t>30 OTROS / OUTSOURCING IMPRESIÓN</t>
  </si>
  <si>
    <t>Vicepresidencia_Financiera</t>
  </si>
  <si>
    <t>Sucursal Cúcuta</t>
  </si>
  <si>
    <t>Vicepresidencia_De_Indemnizaciones</t>
  </si>
  <si>
    <t>TRANSFIRIENDO S.A.</t>
  </si>
  <si>
    <t>CAJA DE COMPENSACIÓN FAMILIAR COMPENSAR</t>
  </si>
  <si>
    <t>INGENIERIA DE PROYECTOS INTEGRALES S.A.S.</t>
  </si>
  <si>
    <t>Vicepresidencia_Jurídica</t>
  </si>
  <si>
    <t>30 OTROS / OUTSOURCING VIGILANCIA</t>
  </si>
  <si>
    <t>Secretaría General</t>
  </si>
  <si>
    <t>Subgerencia de Transformación Digital</t>
  </si>
  <si>
    <t>BISION CONSULTING S.A.S.</t>
  </si>
  <si>
    <t>NECSYS S.A.S.</t>
  </si>
  <si>
    <t>EXTINTORES FIREXT S.A.S.</t>
  </si>
  <si>
    <t>CONTROLES EMPRESARIALES S.A.S.</t>
  </si>
  <si>
    <t>Sucursal Estatal</t>
  </si>
  <si>
    <t>En Liquidación</t>
  </si>
  <si>
    <t xml:space="preserve">J.W. PROJECT HOUSE S.A.S. </t>
  </si>
  <si>
    <t>COLOMBIA SOFTWARE LTDA</t>
  </si>
  <si>
    <t>AMERICAN ALARM ELECTRONICS SAS</t>
  </si>
  <si>
    <t>UNIVERSIDAD DE LA SABANA</t>
  </si>
  <si>
    <t>ACOMEDIOS PUBLICIDAD Y MERCADEO S.A.S.</t>
  </si>
  <si>
    <t>30 OTROS / OUTSOURCING MENSAJERÍA</t>
  </si>
  <si>
    <t>PRI ASSOCIATION</t>
  </si>
  <si>
    <t>BLOOMBERG L.P.</t>
  </si>
  <si>
    <t>LUIS HUMBERTO USTARIZ GONZALEZ</t>
  </si>
  <si>
    <t>Gerencia de Riesgos</t>
  </si>
  <si>
    <t>AUDATEX COLOMBIA S.A.S.</t>
  </si>
  <si>
    <t>DYNAMIC CORPORATION LTDA</t>
  </si>
  <si>
    <t>INVERFAS S.A.</t>
  </si>
  <si>
    <t>YOSI ESTEBAN BARRIOS GARCIA</t>
  </si>
  <si>
    <t>Sucursal Florencia</t>
  </si>
  <si>
    <t>INFOLAFT SAS</t>
  </si>
  <si>
    <t>LADY MARCELA ROMERO ZARTA</t>
  </si>
  <si>
    <t>SEPA PUBLICIDAD S.A.S.</t>
  </si>
  <si>
    <t>GIGA COLOMBIA SAS</t>
  </si>
  <si>
    <t>SBS SEGUROS COLOMBIA S.A.</t>
  </si>
  <si>
    <t>ALLIANZ SEGUROS DE VIDA S A</t>
  </si>
  <si>
    <t>TERMINACIÓN ANTICIPADA</t>
  </si>
  <si>
    <t>SIMPLIFICADA</t>
  </si>
  <si>
    <t>POLITECNICO GRANCOLOMBIANO</t>
  </si>
  <si>
    <t>NESTOR MORA Y ASOCIADOS CONSULTORES DE RIESGOS LTDA</t>
  </si>
  <si>
    <t>GRUPO OET S.A.S.</t>
  </si>
  <si>
    <t>HIC RISK CONTROL SAS</t>
  </si>
  <si>
    <t>FUNDACION INSTITUTO NACIONAL DE SEGUROS</t>
  </si>
  <si>
    <t>EDITORIAL JURIDICA CONTRATACION EN LINEA SAS</t>
  </si>
  <si>
    <t>UNIVERSIDAD DE LOS ANDES</t>
  </si>
  <si>
    <t>SIGNAL MARKETING S.A.S.</t>
  </si>
  <si>
    <t>PEOPLE´S VOICE SAS</t>
  </si>
  <si>
    <t>ANDREI SANCHEZ MORENO</t>
  </si>
  <si>
    <t>ASOCIACION COLOMBIANA DE CORREDORES DE SEGUROS</t>
  </si>
  <si>
    <t xml:space="preserve">NELSON ENRIQUE CHALA CASTILLO </t>
  </si>
  <si>
    <t>CESVI COLOMBIA S.A.</t>
  </si>
  <si>
    <t>FIDEM SOLUTIONS SAS</t>
  </si>
  <si>
    <t>AM CONSULTORIAS Y ASESORIAS S.A.S.</t>
  </si>
  <si>
    <t>SOTO LUNA ABOGADOS S.A.S.</t>
  </si>
  <si>
    <t>COLONNA ASESORES SAS</t>
  </si>
  <si>
    <t>SANTOYO &amp; CONTRERAS ABOGADOS S.A.S</t>
  </si>
  <si>
    <t>TRUJILLO POLANIA &amp; ASOCIADOS S.A.S</t>
  </si>
  <si>
    <t>ALVARO LUNA CONDE - ABOGADOS ESPECIALIZADOS S.A.S</t>
  </si>
  <si>
    <t>FIRMA DE ABOGADOS JACQUELINE ROMERO ESTRADA S.A.S.</t>
  </si>
  <si>
    <t>DIANA LESLIE BLANCO ESTUDIO JURÍDICO S.A.S.</t>
  </si>
  <si>
    <t>VILLEGAS &amp; VILLEGAS ABOGADOS S.A.S.</t>
  </si>
  <si>
    <t>GIL ROA ABOGADOS S.A.S.</t>
  </si>
  <si>
    <t>WILCHES ABOGADOS S.A.S.</t>
  </si>
  <si>
    <t>LUMAROH ABOGADOS S.A.S.</t>
  </si>
  <si>
    <t>SOCIEDAD IBH INGENIERIOS EN BOMBAS HIDRAULICAS S.A.S</t>
  </si>
  <si>
    <t>BENEFIT - ESTUDIOS ACTUARIALES S.A.S</t>
  </si>
  <si>
    <t>TRANSEQUIPOS S.A.</t>
  </si>
  <si>
    <t>SERVICIOS JURIDICOS GLOBALES S.A.S.</t>
  </si>
  <si>
    <t>MERLANO ABOGADOS S.A.S.</t>
  </si>
  <si>
    <t>NADDIE SAS</t>
  </si>
  <si>
    <t>TORRES NIETO LEGAL S.A.S.</t>
  </si>
  <si>
    <t>YOSI ESTEBAN BARRIOS GARCÍA</t>
  </si>
  <si>
    <t>2NV S.A.S.</t>
  </si>
  <si>
    <t>CIENCIA DIVERTIDA COLOMBIA S.A.S</t>
  </si>
  <si>
    <t>KENNEDYS COLOMBIA SAS</t>
  </si>
  <si>
    <t>GARCIA HARKER ABOGADOS S.A.S.</t>
  </si>
  <si>
    <t>NEIRA &amp; GOMEZ ABOGADOS SAS</t>
  </si>
  <si>
    <t>INSTITUTO COLOMBIANO DE NORMAS TECNICAS Y CERTIFICACION ICONTEC</t>
  </si>
  <si>
    <t>Gerencia De Indemnizaciones Soat, Vida Y AP</t>
  </si>
  <si>
    <t xml:space="preserve">Prestar los servicios de apoyo técnico operativo al proceso de indemnizaciones de los ramos SOAT y Accidentes personales. </t>
  </si>
  <si>
    <t>NICOL TATIANA MENDOZA VARELA</t>
  </si>
  <si>
    <t>MIGUEL ANGEL POLANCO RAMOS</t>
  </si>
  <si>
    <t>OSCAR IVAN ORDOÑEZ JIMENEZ</t>
  </si>
  <si>
    <t>MABEL ELIANA CAMELO PARDO</t>
  </si>
  <si>
    <t>ETEK INTERNATIONAL CORPORATION SUCURSAL COLOMBIA</t>
  </si>
  <si>
    <t>HERAS ABOGADOS S.A.S.</t>
  </si>
  <si>
    <t>YUDY ANGELICA CELIS MORALES</t>
  </si>
  <si>
    <t>VERONICA CAVIEDES RAMIREZ</t>
  </si>
  <si>
    <t>Subgerencia de Planeación Comercial</t>
  </si>
  <si>
    <t>PAOLA MARCELA AARON COVELLI</t>
  </si>
  <si>
    <t>Gerencia de Desarrollo Comercial</t>
  </si>
  <si>
    <t>INSTITUTO DE AUDITORES INTERNOS DE COLOMBIA</t>
  </si>
  <si>
    <t>PROYECTO ITACA S.A.S.</t>
  </si>
  <si>
    <t>ECONOMIA DERECHO Y SOCIEDAD S A S</t>
  </si>
  <si>
    <t>LINESAFE TODOEMERGENCIAS S.A.S.</t>
  </si>
  <si>
    <t xml:space="preserve">Representar en calidad tanto activa como pasiva a LA PREVISORA S.A. en los procesos judiciales, pre-judiciales, de responsabilidad fiscal, procedimientos administrativos, arbitramentos y en general en todo tipo de litigio o procedimiento encomendado, dentro del marco de las actividades relacionadas con la vicepresidencia jurídica. </t>
  </si>
  <si>
    <t>Subgerencia De Infraestructura Y Servicios de Ti</t>
  </si>
  <si>
    <t>ARANDA SOFTWARE ANDINA S A S</t>
  </si>
  <si>
    <t>ORGANIZACION LEVIN DE COLOMBIA S.A.S.</t>
  </si>
  <si>
    <t>FILFER SOCIEDAD DE INVERSIONES S.A.S.</t>
  </si>
  <si>
    <t>COLEGIO DE ABOGADOS ESPECIALIZADOS EN DERECHO DEL TRABAJO Y SEGURIDAD SOCIAL DE COLOMBIA</t>
  </si>
  <si>
    <t>NEWRONA SAS</t>
  </si>
  <si>
    <t>https://community.secop.gov.co/Public/Tendering/ContractNoticePhases/View?PPI=CO1.PPI.37063711&amp;isFromPublicArea=True&amp;isModal=False</t>
  </si>
  <si>
    <t>https://community.secop.gov.co/Public/Tendering/ContractNoticePhases/View?PPI=CO1.PPI.37770353&amp;isFromPublicArea=True&amp;isModal=False</t>
  </si>
  <si>
    <t>https://community.secop.gov.co/Public/Tendering/ContractNoticePhases/View?PPI=CO1.PPI.37773521&amp;isFromPublicArea=True&amp;isModal=False</t>
  </si>
  <si>
    <t>CARLOS HUMBERTO JURADO TORRES</t>
  </si>
  <si>
    <t>Realizar los mantenimientos preventivos cada mes y correctivos cada que se requiera al sistema de aire acondicionado de la sucursal Medellin.</t>
  </si>
  <si>
    <t>Sucursal Tunja</t>
  </si>
  <si>
    <t>Sucursal Armenia</t>
  </si>
  <si>
    <t>TERMOSISTEMAS S.A.S</t>
  </si>
  <si>
    <t>Sucursal Yopal</t>
  </si>
  <si>
    <t>EQUIPOS ESPECIALES DE REFRIGERACION LTDA</t>
  </si>
  <si>
    <t>GRUPO HEROICA S.A.S</t>
  </si>
  <si>
    <t>Sucursal Pasto</t>
  </si>
  <si>
    <t>ECOCLIMA S. A. S.</t>
  </si>
  <si>
    <t>PINTUDECOR RAFAEL ROJAS S.A.S</t>
  </si>
  <si>
    <t>Sucursal Riohacha</t>
  </si>
  <si>
    <t>ELVIS FERNANDO TOLEDO ESTRELLA</t>
  </si>
  <si>
    <t>REFRIELECTRICOS INGENIERIAS SAS</t>
  </si>
  <si>
    <t>GLORIA MERY CABRERA ALVAREZ</t>
  </si>
  <si>
    <t>HOTELES DE BALATA SAS</t>
  </si>
  <si>
    <t>CORPORACION CLUB COLOMBIA</t>
  </si>
  <si>
    <t>MARCO TULIO GOMEZ GIRALDO S.A.S.</t>
  </si>
  <si>
    <t>SIX CONTINENTS HOTELS DE COLOMBIA S.A.</t>
  </si>
  <si>
    <t>JAV SERVICIOS COMERCIALES LTDA</t>
  </si>
  <si>
    <t>GRUPO DIVITAE SAS</t>
  </si>
  <si>
    <t>KILOTE RESTAURANTE BAR S.A.S.</t>
  </si>
  <si>
    <t>MONTAJES Y MANTENIMIENTOS ELGUIN DORIA S.A.S</t>
  </si>
  <si>
    <t>MISAEL BARBOSA BARBOSA</t>
  </si>
  <si>
    <t>REFRILITORAL CASASBUENAS CORTES &amp; COMPAÑIA SAS</t>
  </si>
  <si>
    <t>SERVICIOS FRIOS DEL CHOCO SERVIFRIC Y CIA LTDA</t>
  </si>
  <si>
    <t>EUROWINDOOR SOCIEDAD POR ACCIONES SIMPLIFICADA</t>
  </si>
  <si>
    <t>INPUT DESIGN SAS</t>
  </si>
  <si>
    <t>TECNO MOBILIARIO SAS</t>
  </si>
  <si>
    <t>GRUPO AE SAS</t>
  </si>
  <si>
    <t>HERIBERTO DIAZ LUGO</t>
  </si>
  <si>
    <t>TANIA MARIA CALDERON SORACA</t>
  </si>
  <si>
    <t>CASA METTLER SAS</t>
  </si>
  <si>
    <t>YOLANDA GUTIERREZ SERRANO</t>
  </si>
  <si>
    <t>G &amp; B INVERSIONES S.A.S.</t>
  </si>
  <si>
    <t>SERVISOLUCIONES Y SUMINISTROS S.A.S.</t>
  </si>
  <si>
    <t>PATIÑO Y CONTRERAS CIA S.A.S</t>
  </si>
  <si>
    <t>NATALIA RODRIGUEZ GONZALEZ</t>
  </si>
  <si>
    <t>CAJA SANTANDEREANA DE SUBSIDIO FAMILIAR CAJASAN</t>
  </si>
  <si>
    <t>SARA RESTREPO ANGEL</t>
  </si>
  <si>
    <t>ELECTRO CEAL INGENIERIA SAS</t>
  </si>
  <si>
    <t>LIDA MARIA MORALES LOZADA</t>
  </si>
  <si>
    <t>CARLOS MANUEL RIVERA DURAN</t>
  </si>
  <si>
    <t>JORGE HERNAN CERON GONZALEZ</t>
  </si>
  <si>
    <t>NEVADO Y CAFE TURISMO S.A.S.</t>
  </si>
  <si>
    <t>OSCAR JULIAN RUEDA ENCISO</t>
  </si>
  <si>
    <t>ROBERTO CARLOS PEREZ MORALES</t>
  </si>
  <si>
    <t>CAJA DE COMPENSACION FAMILIAR DEL CHOCO</t>
  </si>
  <si>
    <t>002-2025</t>
  </si>
  <si>
    <t>003-2025</t>
  </si>
  <si>
    <t>Servicio de mantenimiento preventivo y correctivo a los vehículos de propiedad de LA PREVISORA S.A. y que EL PROVEEDOR esté en capacidad de ofrecer el servicio.</t>
  </si>
  <si>
    <t>PERIAUTOS S.A.S.</t>
  </si>
  <si>
    <t>INFOLAFT S.A.S.</t>
  </si>
  <si>
    <t>Adquirir los servicios especializados de INFOLAFT en el ámbito de SARLAFT (Sistema de Administración de Riesgos para la Prevención del Lavado de Activos y Financiamiento del Terrorismo), con un enfoque específico en el manejo de Listas de Personas Expuestas Políticamente (PEP).</t>
  </si>
  <si>
    <t>https://community.secop.gov.co/Public/Tendering/ContractNoticePhases/View?PPI=CO1.PPI.37065982&amp;isFromPublicArea=True&amp;isModal=False</t>
  </si>
  <si>
    <t>004-2025</t>
  </si>
  <si>
    <t>005-2025</t>
  </si>
  <si>
    <t>El proveedor se compromete con LA PREVISORA S.A., a prestar los servicios de exámenes médicos ocupacionales, post incapacidad, optometría y/o cualquier otro servicio de salud ocupacional que LA PREVISORA S.A. requiera para sus trabajadores.</t>
  </si>
  <si>
    <t>DICLO LTDA</t>
  </si>
  <si>
    <t>SALUD OCUPACIONAL SANITAS</t>
  </si>
  <si>
    <t>006-2025</t>
  </si>
  <si>
    <t>007-2025</t>
  </si>
  <si>
    <t xml:space="preserve">DIANA CAROLINA BARRETO POLANIA </t>
  </si>
  <si>
    <t>008-2025</t>
  </si>
  <si>
    <t>009-2025</t>
  </si>
  <si>
    <t>Prestar los servicios especializados de seguridad informática y SOC Nivel 2 para la protección, monitoreo, detección y contención de las amenazas que se presenten en contra de la infraestructura y los activos tecnológicos que soportan los procesos de LA PREVISORA S.A.</t>
  </si>
  <si>
    <t>Prestar los servicios de apoyo técnico operativo al proceso de indemnizaciones de los ramos SOAT y Accidentes personales.</t>
  </si>
  <si>
    <t>CONSORCIO SOC-2024
(IVAALTECH SAS 901712629-6
2SECURE SAS 900372621-4
SKG TECNOLOGIA SAS 900711074-0)</t>
  </si>
  <si>
    <t>BRANDON MOLINA GALEANO</t>
  </si>
  <si>
    <t>010-2025</t>
  </si>
  <si>
    <t>011-2025</t>
  </si>
  <si>
    <t>012-2025</t>
  </si>
  <si>
    <t>Realizar los trámites de registro y renovación de propiedad intelectual ante los entes respectivos, así como la asesoría jurídica relacionada con propiedad intelectual.</t>
  </si>
  <si>
    <t>013-2025</t>
  </si>
  <si>
    <t>EDISON ADRIAN URREGO CASTRO</t>
  </si>
  <si>
    <t>014-2025</t>
  </si>
  <si>
    <t>INGRID JULIETH POLANCO RAMOS</t>
  </si>
  <si>
    <t>015-2025</t>
  </si>
  <si>
    <t>LEIDI YOHANA CESPEDES AYALA</t>
  </si>
  <si>
    <t>016-2025</t>
  </si>
  <si>
    <t>017-2025</t>
  </si>
  <si>
    <t>018-2025</t>
  </si>
  <si>
    <t>019-2025</t>
  </si>
  <si>
    <t>JOSE ALEXANDER CHAVEZ BUITRAGO</t>
  </si>
  <si>
    <t>CAMILO ANDRES GONZALEZ GUTIERREZ</t>
  </si>
  <si>
    <t>020-2025</t>
  </si>
  <si>
    <t>021-2025</t>
  </si>
  <si>
    <t>Contratar el programa de seguros de LA PREVISORA S.A. requerido para la adecuada protección de los bienes e intereses patrimoniales asegurables.</t>
  </si>
  <si>
    <t>Realizar la inscripción de los funcionarios que requiera la PREVISORA S.A., para la participación de los funcionarios que designe, en los diferentes cursos, congresos, foros y seminarios que realiza la ASOCIACIÓN BANCARIA Y DE ENTIDADES FINANCIERAS DE COLOMBIA – ASOBANCARIA.</t>
  </si>
  <si>
    <t>ASOCIACIÓN BANCARIA Y DE ENTIDADES FIANCIERAS DE COLOMBIA - ASOBANCARIA</t>
  </si>
  <si>
    <t>022-2025</t>
  </si>
  <si>
    <t>Prestar el servicio de colaboración tecnológica y operativa para la operación integral de créditos al personal.</t>
  </si>
  <si>
    <t>024-2025</t>
  </si>
  <si>
    <t xml:space="preserve">Prestación de servicios de outsourcing para la administración de impresión y escaneo de los diversos documentos requeridos para todas las sedes. </t>
  </si>
  <si>
    <t>UNIÓN TEMPORAL UT OUTSOURCING PS -IMPRESIÓN
(PEAR SOLUTIONS S.A.S. NIT 900148177-6
COMPU IMPRESIÓN S.A.S. NIT 900235157-1)</t>
  </si>
  <si>
    <t>025-2025</t>
  </si>
  <si>
    <t>029-2025</t>
  </si>
  <si>
    <t>Consultoría para apoyar y acompañar el proceso de contratación del ERP institucional.</t>
  </si>
  <si>
    <t>INGENIUM COLOMBIA S.A.S.</t>
  </si>
  <si>
    <t>Prestar el servicio logístico prestado en los puertos, aeropuertos y en los diversos lugares donde se realice una operación de movilización de carga que permite establecer cantidad, sistema de descargue, despacho, manipulación, análisis de empaques, estado con el objetivo de aplicar medidas preventivas que conlleven a disminuir riesgos de avería.</t>
  </si>
  <si>
    <t>PROFESIONALES EN SERVICIOS PROTUARIOS PROSERPUERTOS LTDA</t>
  </si>
  <si>
    <t>001-2025</t>
  </si>
  <si>
    <t>Gerencia de Inversiones
Gerencia de Riesgos</t>
  </si>
  <si>
    <t xml:space="preserve">PRECIA PROVEEDOR DE PRECIOS PARA VALORACIÓN S.A. </t>
  </si>
  <si>
    <t>Prestación del servicio de suministro de información para la valoración de las inversiones de LA PREVISORA S.A., de acuerdo con las metodologías de valoración realizadas y aplicadas por EL PROVEEDOR, incluyendo las no objetadas por la Superintendencia Financiera de Colombia.</t>
  </si>
  <si>
    <t>023-2025</t>
  </si>
  <si>
    <t>Prestar los servicios de inspección de los bienes asegurables y/o asegurados y/o de administración de riesgos y control de pérdidas de riesgos en curso y/o por suscribir asignados por LA PREVISORA S.A. en las sucursales que LA PREVISORA S.A. disponga.</t>
  </si>
  <si>
    <t>INGENIERIA Y ADMINISTRACION DE RIESGOS IAR LTDA</t>
  </si>
  <si>
    <t>026-2025</t>
  </si>
  <si>
    <t>027-2025</t>
  </si>
  <si>
    <t>suministrar una plataforma tecnológica que permita a través de los usuarios de acceso la captura de todos y cada uno de los despachos que realicen los clientes asegurados por LA PREVISORA S.A. en los diferentes productos del ramo de transportes.</t>
  </si>
  <si>
    <t>Prestación del servicio de uso y administración de plataforma virtual para pruebas de conocimientos de ingreso a LA PREVISORA S.A., diseño y aplicación de pruebas de conocimiento para los cargos que esta requiera y el alquiler de salones y equipos de cómputo.</t>
  </si>
  <si>
    <t>028-2025</t>
  </si>
  <si>
    <t>INMERSYS SAS</t>
  </si>
  <si>
    <t>Proveer el software de administración de litigios bajo la modalidad de arrendamiento de licencia mediante un esquema Cloud Computing, para la gestión integral de los Procesos Judiciales, Procedimientos Administrativos, Juicios Fiscales y Recobros de LA PREVISORA S.A.</t>
  </si>
  <si>
    <t>030-2025</t>
  </si>
  <si>
    <t>031-2025</t>
  </si>
  <si>
    <t>INGENIERIA DE PROYECTOS INTEGRALES SAS</t>
  </si>
  <si>
    <t>Prestar servicios profesionales de asesoría y acompañamiento legal especializado en el diseño, implementación y ejecución de políticas de protección de datos personales.</t>
  </si>
  <si>
    <t>Servicio de mantenimiento preventivo y correctivo a la planta eléctrica de emergencia marca FG WILSON p425e de propiedad de LA PREVISORA S.A., lo que incluye igualmente el suministro de combustible.</t>
  </si>
  <si>
    <t>032-2025</t>
  </si>
  <si>
    <t>Prestar sus servicios profesionales de manera personal, de apoyo al direccionamiento de procesos asociados al fortalecimiento de una cultura de Sostenibilidad y Responsabilidad Social Empresarial (RSE), mediante la defnición y realización de estrategias y acciones dirigidas a los ejes de Pacto Global de Naciones Unidas: Derechos Humanos, Ambiente, Estándares Laborales y Anticorrupción y la implementación de nuevos estándares que permitan que La Previsora S.A.
sea un referente en estas materias ante la comunidad en general, entre otras actividades que contribuyan al desarrollo sostenible y al cumplimiento de los compromisos del Gobierno Nacional.</t>
  </si>
  <si>
    <t>033-2025</t>
  </si>
  <si>
    <t>034-2025</t>
  </si>
  <si>
    <t>Servicios de mantenimiento preventivo y correctivo del equipo de bombeo en el edificio de Casa Matriz de LA PREVISORA S.A. ubicado en la Calle 57 N° 9-07 en la ciudad de Bogotá D.C.</t>
  </si>
  <si>
    <t>Prestar los servicios de administración de riesgos, control de pérdidas y procedimientos especializados para los diferentes riesgos amparados en negocios nuevos o vigentes del ramo de automóviles.</t>
  </si>
  <si>
    <t>036-2025</t>
  </si>
  <si>
    <t>Implementar la encuesta de valoración del ambiente laboral e intervenciones requeridas en la organización de acuerdo con los resultados y bajo la metodología del Great Place to work.</t>
  </si>
  <si>
    <t>037-2025</t>
  </si>
  <si>
    <t>Prestación de los servicios de mejora, administración y mantenimiento de la página www.saberseguro.com, junto con la plataforma Moodle de cursos virtuales, acorde al Programa de Educación Financiera “Saber Seguro”.</t>
  </si>
  <si>
    <t>038-2025</t>
  </si>
  <si>
    <t>039-2025</t>
  </si>
  <si>
    <t>POWER QUALITY SOLUTIONS DE COLOMBIA S A</t>
  </si>
  <si>
    <t>LOSS CONTROL &amp; FIRE RISK S A S</t>
  </si>
  <si>
    <t>Prestar el servicio de mantenimiento preventivo, correctivo, soporte técnico, servicio especializado de adecuaciones eléctricas y suministro de baterías y repuestos para los sistemas de corriente ininterrumpida (UPS) marca Mitsubishi de propiedad de LA PREVISORA S.A.</t>
  </si>
  <si>
    <t>040-2025</t>
  </si>
  <si>
    <t>041-2025</t>
  </si>
  <si>
    <t>DELIANA MARÍA VERTEL MORANTE</t>
  </si>
  <si>
    <t>LOSSGROUP CRITERIA LCC SAS</t>
  </si>
  <si>
    <t>Prestar servicios profesionales de manera personal, de generación, análisis, consolidación, preparación y validación de la información relacionada con los formatos de medios magnéticos asignados y exigidos por la DIAN, en cumplimiento de la Resolución N° 000162 de 2023 (modificada por la Resolución N° 000188 de 2024).</t>
  </si>
  <si>
    <t>042-2025</t>
  </si>
  <si>
    <t>043-2025</t>
  </si>
  <si>
    <t>Realizar todas las gestiones para la publicación de avisos de prensa en diarios de amplia circulación nacional, referente a temas como Asambleas Ordinarias y Extraordinarias, publicación de fallecimientos de pensionados o personal activo de la compañía, reclamaciones de acreencias laborales, cierres y aperturas de sucursales, entre otros avisos relacionados con la gestión administrativa de la compañía.</t>
  </si>
  <si>
    <t>044-2025</t>
  </si>
  <si>
    <t>045-2025</t>
  </si>
  <si>
    <t>L &amp; M INGENIEROS CONSULTORES LTDA.</t>
  </si>
  <si>
    <t>EL CONTRATISTA de manera independiente, sin subordinación alguna, utilizando sus propios medios y elementos de trabajo, prestará servicios profesionales de abogado, en el análisis y proyección de las decisiones de segunda instancia de los procesos disciplinarios que se adelanten en LA PREVISORA S.A. y en la emisión de los conceptos que en materia disciplinaria le solicite LA PREVISORA S.A.</t>
  </si>
  <si>
    <t>FERNANDO ÁLVAREZ ROJAS</t>
  </si>
  <si>
    <t>047-2025</t>
  </si>
  <si>
    <t>048-2025</t>
  </si>
  <si>
    <t>Prestar servicios profesionales para la generación, análisis y consolidación, preparación y validación de la información relacionada con los formatos de medios magnéticos asignados y exigidos por la DIAN, en cumplimiento de la Resolución No 000162 de 2023 (modificada por la Resolución No 000188 de 2024).</t>
  </si>
  <si>
    <t>Prestar el servicio de mantenimiento preventivo y correctivo para las puertas de seguridad y avisos luminosos en el edificio de Casa Matriz y en las diferentes sedes de la compañía ubicadas en la ciudad de Bogotá.</t>
  </si>
  <si>
    <t>049-2025</t>
  </si>
  <si>
    <t>050-2025</t>
  </si>
  <si>
    <t xml:space="preserve">Prestar los servicios de inspección de los bienes asegurables y/o asegurados de administración de riesgos y control de perdidas de riesgos en curso y/o suscribir asignados en las sucursale que Previsora disponga. </t>
  </si>
  <si>
    <t>Prestar sus servicios profesionales de manera personal, de generación, análisis, consolidación, preparación y validación de la información relacionada con los formatos de medios magnéticos asignados y exigidos por la DIAN, en cumplimiento de la Resolución N° 000162 de 2023 (modificada por la Resolución N° 000188 de 2024).</t>
  </si>
  <si>
    <t>051-2025</t>
  </si>
  <si>
    <t>Participación de los funcionarios designados por La Previsora en los diferente cursos, congresos, foros y seminarios que realice el Instituto Nacional de Seguros INS.</t>
  </si>
  <si>
    <t>052-2025</t>
  </si>
  <si>
    <t>JOSE A CACERES Y CIA LTDA</t>
  </si>
  <si>
    <t>053-2025</t>
  </si>
  <si>
    <t>Prestar el servicio de análisis dieléctrico, fisicoquímico, cromatográfico de gases, furanos y PCB´s a los transformadores eléctricos y monitoreo en línea para determinar parámetros de calidad de energía de asegurados asignados por LA PREVISORA S.A.</t>
  </si>
  <si>
    <t>054-2025</t>
  </si>
  <si>
    <t>Prestar el servicio de Administración de Riesgos de Responsabilidad Civil Profesional de Clínicas y Hospitales para las instituciones Hospitalarias asignados por la Oficina de Responsabilidad Civil y la Oficina de Prevención de Riesgos</t>
  </si>
  <si>
    <t>GENERAL CLAIMS AND RISK CONSULTING LTDA</t>
  </si>
  <si>
    <t>055-2025</t>
  </si>
  <si>
    <t>Inscripción y participación de un (1) funcionario en el curso Certificación en Fondos de Capital Privado.</t>
  </si>
  <si>
    <t>UNIVERSIDAD EAFIT</t>
  </si>
  <si>
    <t>056-2025</t>
  </si>
  <si>
    <t xml:space="preserve">CARLOS ALFREDO NIÑO PEREZ </t>
  </si>
  <si>
    <t>Servicios profesionales especializados para apoyar y asesorar a la Presidencia, vicepresidencia técnica, vicepresidencia de indemnizaciones y vicepresidencia comercial de la Compañía en los diferentes temas que tienen a cargo.</t>
  </si>
  <si>
    <t>057-2025</t>
  </si>
  <si>
    <t xml:space="preserve">Prestar los servicios de apoyo profesional para la Gerencia de Litigios, con el fin de contribuir al fortalecimiento en la gestión y seguimiento de los Procesos Judiciales, Procedimientos Administrativos y Juicios Fiscales a nivel Nacional. </t>
  </si>
  <si>
    <t>058-2025</t>
  </si>
  <si>
    <t>FEDERACIÓN DE ASEGURADORES COLOMBIANOS FASECOLDA</t>
  </si>
  <si>
    <t>Participación de los funcionarios que designe la Compañía en los diferentes cursos, congresos, foros y seminarios que realiza la FEDERACION DE ASEGURADORES COLOMBIANOS FASECOLDA.</t>
  </si>
  <si>
    <t>059-2025</t>
  </si>
  <si>
    <t>060-2025</t>
  </si>
  <si>
    <t>Suministro de una nevera de 394 litros.</t>
  </si>
  <si>
    <t>SUMICORP LTDA</t>
  </si>
  <si>
    <t>Prestar el servicio de cálculo actuarial de pensiones bajo las normas NIIF y norma local colombiana, realizar el cálculo de beneficios post empleo, diligenciamiento de la proforma respectiva de la SFC.</t>
  </si>
  <si>
    <t>061-2025</t>
  </si>
  <si>
    <t>062-2025</t>
  </si>
  <si>
    <t>Prestar los servicios de apoyo operativo asistencial para la Gerencia de Litigios, con el fin de contribuir al registro de solicitudes de pago, trámite de facturas y completitud de campos de data relacionada con los Procesos Judiciales, Procedimientos Administrativos y Juicios Fiscales a nivel Nacional.</t>
  </si>
  <si>
    <t>BRIGITTE STEPHANNY RODRIGUEZ ABRIL</t>
  </si>
  <si>
    <t xml:space="preserve">Prestar sus servicios personales como entrenador para los equipos de fútbol femenino y masculino de LA PREVISORA S.A., con el fin de lograr una preparación técnica. </t>
  </si>
  <si>
    <t>JUAN ANDRES LOPEZ DEANTONIO</t>
  </si>
  <si>
    <t>064-2025</t>
  </si>
  <si>
    <t>063-2025</t>
  </si>
  <si>
    <t xml:space="preserve">Servicios de apoyo profesional para la Gerencia de Litigios, con el fin de contribuir al fortalecimiento en la gestión y seguimiento de los procesos judiciales, administrativos y juicios fiscales a nivel nacional.  </t>
  </si>
  <si>
    <t>JUAN DAVID BEDOYA SILVA</t>
  </si>
  <si>
    <t>Prestar sus servicios de manera personal, de apoyo técnico para la Gerencia de Litigios, con el fin de contribuir al fortalecimiento en la gestión y seguimiento de los Procesos Judiciales, Procedimientos Administrativos y Juicios Fiscales a nivel Nacional</t>
  </si>
  <si>
    <t>065-2025</t>
  </si>
  <si>
    <t>Prestación de servicios de formación y capacitación para el desarrollo de habilidades en tecnologías de la información, ofimática y analítica de datos, por medio de plataformas de ambientes colaborativos para los funcionarios de la Entidad.</t>
  </si>
  <si>
    <t>EDUCO - EDUCACION Y CONSULTORIA SAS</t>
  </si>
  <si>
    <t>066-2025</t>
  </si>
  <si>
    <t>067-2025</t>
  </si>
  <si>
    <t>Desarrollar las actividades programadas en el Plan de Bienestar, proveer para las actividades de capacitación la logística tales como auditorios, ayudas audiovisuales, refrigerios y reconocimiento dirigidas a los funcionarios de la Compañía, así como servicios asociados al Sistema de Gestión de Seguridad y salud en el trabajo.</t>
  </si>
  <si>
    <t>CAJA DE COMPENSACION FAMILIAR COMPENSAR</t>
  </si>
  <si>
    <t>ADRIAN ARTURO MOLERO CHOURIO</t>
  </si>
  <si>
    <t>Prestar sus servicios como entrenador y dirección del equipo de voleibol de LA PREVISORA S.A.</t>
  </si>
  <si>
    <t>035-2025</t>
  </si>
  <si>
    <t>Suscripción al servicio de información jurídica www.contratacionenlinea.co</t>
  </si>
  <si>
    <t>046-2025</t>
  </si>
  <si>
    <t>EL PROVEEDOR se obliga con LA PREVISORA S.A. a trasladar el repetidor de incendio que se encuentra ubicado en el piso 3 del Edificio en la Calle 57 N° 9-07 de Bogotá, en el cual funciona la oficina de la Subgerencia  de Administración de Personal, el cual deberá ser instalado en la central de monitoreo en el primer piso del mismo edificio.</t>
  </si>
  <si>
    <t>Suministro de bebidas hidratantes para los visitantes y funcionarios de Casa Matriz, de acuerdo con las condiciones ofertadas dentro de la propuesta presentada, la cual hace parte integral del presente contrato.</t>
  </si>
  <si>
    <t>068-2025</t>
  </si>
  <si>
    <t>LA CONTRATISTA se compromete a prestar sus servicios como técnico para la Subgerencia de Mejoramiento de Procesos con el fin apoyar en las diferentes actividades de carácter operativo asociadas a los frentes de trabajo de la Subgerencia como son: Mantenimiento y Mejora del Sistema de Gestión Integral e Intervenciones de Mejoramiento de Procesos.</t>
  </si>
  <si>
    <t>DANIELA FERNANDA SANTA OSPINA</t>
  </si>
  <si>
    <t>069-2025</t>
  </si>
  <si>
    <t>Renovar la suscripción como signataria de la Asociación PRI (Principles for Responsible Investment), de acuerdo con el valor del portafolio gestionable a diciembre de 2024.</t>
  </si>
  <si>
    <t>070-2025</t>
  </si>
  <si>
    <t>Prestar servicios de apoyo profesional para la Gerencia de Litigios, con el fin de contribuir al control y seguimiento para el proceso de pagos realizados desde la gerencia, garantizando la eficiencia en la gestión del grupo de pagos, así como en la ejecución directa del registro de solicitudes y órdenes de pago de honorarios de defensa, sentencias judiciales, fallos y conciliaciones que le sean entregadas en el marco de las gestiones de la Gerencia de Litigios.</t>
  </si>
  <si>
    <t>KAREN ANDREA LARIOS CADENA</t>
  </si>
  <si>
    <t>071-2025</t>
  </si>
  <si>
    <t>072-2025</t>
  </si>
  <si>
    <t>Prestar los servicios profesionales especializados en asesoría legal, en asuntos relativos a derecho laboral colectivo, derecho laboral individual y derecho laboral administrativo.</t>
  </si>
  <si>
    <t>SCOLA ABOGADOS S.A.S</t>
  </si>
  <si>
    <t>DASMARO ABOGADOS S A S</t>
  </si>
  <si>
    <t>073-2025</t>
  </si>
  <si>
    <t>074-2025</t>
  </si>
  <si>
    <t>075-2025</t>
  </si>
  <si>
    <t>FORERO &amp; GONZALEZ ASESORES S.A.S.</t>
  </si>
  <si>
    <t>076-2025</t>
  </si>
  <si>
    <t>077-2025</t>
  </si>
  <si>
    <t>LEON &amp; JAIME ABOGADOS ESPECIALIZADOS S.A.S</t>
  </si>
  <si>
    <t>078-2025</t>
  </si>
  <si>
    <t>079-2025</t>
  </si>
  <si>
    <t>080-2025</t>
  </si>
  <si>
    <t>081-2025</t>
  </si>
  <si>
    <t>ZONA LEGAL ASOCIADOS S.A.S.</t>
  </si>
  <si>
    <t>082-2025</t>
  </si>
  <si>
    <t>RODRÍGUEZ GONZÁLEZ ABOGADOS SAS</t>
  </si>
  <si>
    <t>083-2025</t>
  </si>
  <si>
    <t>084-2025</t>
  </si>
  <si>
    <t>WECH SAS</t>
  </si>
  <si>
    <t>Contratar la inscripción y participación de un (1) funcionario en el curso de preparación CERTIFIED IN RISK AND INFORMATION SYSTEMS CONTROL CRISC.</t>
  </si>
  <si>
    <t>085-2025</t>
  </si>
  <si>
    <t>086-2025</t>
  </si>
  <si>
    <t>SERVICIOS POSTALES NACIONALES S.A.S.</t>
  </si>
  <si>
    <t>Contratar los servicios de actividades, incluido refrigerios, para ciento veinte (120) funcionarios de LA PREVISORA SEGUROS S.A. mediante la
participación de laboratorios (talleres de innovación) y proyecciones en el centro interactivo de MALOKA, con el fin de crear experiencias significativas para contribuir a la apropiación social de la ciencia, la
tecnología y la innovación.</t>
  </si>
  <si>
    <t>CORPORACION MALOKA DE CIENCIA, TECNOLOGIA E INNOVACIÓN.</t>
  </si>
  <si>
    <t>Prestar el servicio de mensajería y/o correo bajo la modalidad de outsourcing para el manejo, recepción, distribución y entrega de la correspondencia física, licitaciones, comunicaciones oficiales enviadas y recibidas en físico, así como su cargue de acuses de recibo en la herramienta digital establecida por la Previsora S.A., entre otros documentos a nivel nacional.</t>
  </si>
  <si>
    <t>087-2025</t>
  </si>
  <si>
    <t>Suministro de productos corporativos con la marca con el logo de LA PREVISORA S.A. y el plan de educación financiera “Saber Seguro”, con el fin de atender las diferentes actividades desarrolladas por el SAC.</t>
  </si>
  <si>
    <t>088-2025</t>
  </si>
  <si>
    <t>Realizar el proceso de formación para fortalecer las competencias comunicativas en escenarios externos e internos a los miembros de Comité Directivo.</t>
  </si>
  <si>
    <t>THE GLOBAL INFLUENCER COLOMBIA S.A.S.</t>
  </si>
  <si>
    <t>089-2025</t>
  </si>
  <si>
    <t>092-2025</t>
  </si>
  <si>
    <t>Prestar los servicios para la implementación y apoyo en la ejecución del Plan de Capacitación, definido para los trabajadores de planta de la Compañía a nivel nacional, cuyo objetivo es fortalecer las capacidades, habilidades, destrezas, conocimientos y competencias, dando lugar al mejoramiento continuo y prácticas innovadoras en todos los procesos.</t>
  </si>
  <si>
    <t>Suministrar el licenciamiento global para el uso de la plataforma eCert que permita la medición de desempeño por objetivos, la evaluación de competencias, el servicio de hosting y la funcionalidad de evaluación de objetivos de compensación.</t>
  </si>
  <si>
    <t>E LEARNING SOLUTIONS LTDA</t>
  </si>
  <si>
    <t>095-2025</t>
  </si>
  <si>
    <t>096-2025</t>
  </si>
  <si>
    <t xml:space="preserve">EDITORIAL CONTEXTO JURIDICO SAS. </t>
  </si>
  <si>
    <t>GIRALDO DUQUE &amp; PARTNERS S.A.S</t>
  </si>
  <si>
    <t>Contratar la suscripción al libro electrónico Estatuto de la Contratación Estatal en Colombia www.contratacionestatal.com en la modalidad de Licencia de Uso. (2 Edición – ISBN 978-958-98685-1-5) a los funcionarios que designe LA PREVISORA S.A.</t>
  </si>
  <si>
    <t>097-2025</t>
  </si>
  <si>
    <t>ELITE A V SERVICES S.A.S.</t>
  </si>
  <si>
    <t>Entregar e instalar un (1) procesador audio Core 110f v2 Q-SYS y dos (2) licencias QSC para el auditorio de Casa Matriz de Bogotá.</t>
  </si>
  <si>
    <t>https://community.secop.gov.co/Public/Tendering/ContractNoticePhases/View?PPI=CO1.PPI.37589117&amp;isFromPublicArea=True&amp;isModal=False</t>
  </si>
  <si>
    <t>https://community.secop.gov.co/Public/Tendering/ContractNoticePhases/View?PPI=CO1.PPI.37616579&amp;isFromPublicArea=True&amp;isModal=False</t>
  </si>
  <si>
    <t>https://community.secop.gov.co/Public/Tendering/ContractNoticePhases/View?PPI=CO1.PPI.37836350&amp;isFromPublicArea=True&amp;isModal=False</t>
  </si>
  <si>
    <t>https://community.secop.gov.co/Public/Tendering/ContractNoticePhases/View?PPI=CO1.PPI.37798960&amp;isFromPublicArea=True&amp;isModal=False</t>
  </si>
  <si>
    <t>https://community.secop.gov.co/Public/Tendering/ContractNoticePhases/View?PPI=CO1.PPI.37617278&amp;isFromPublicArea=True&amp;isModal=False</t>
  </si>
  <si>
    <t>https://community.secop.gov.co/Public/Tendering/ContractNoticePhases/View?PPI=CO1.PPI.37837085&amp;isFromPublicArea=True&amp;isModal=False</t>
  </si>
  <si>
    <t>https://community.secop.gov.co/Public/Tendering/ContractNoticePhases/View?PPI=CO1.PPI.37619031&amp;isFromPublicArea=True&amp;isModal=False</t>
  </si>
  <si>
    <t>https://community.secop.gov.co/Public/Tendering/ContractNoticePhases/View?PPI=CO1.PPI.37654361&amp;isFromPublicArea=True&amp;isModal=False</t>
  </si>
  <si>
    <t>https://community.secop.gov.co/Public/Tendering/ContractNoticePhases/View?PPI=CO1.PPI.37836392&amp;isFromPublicArea=True&amp;isModal=False</t>
  </si>
  <si>
    <t>https://community.secop.gov.co/Public/Tendering/ContractNoticePhases/View?PPI=CO1.PPI.37794123&amp;isFromPublicArea=True&amp;isModal=False</t>
  </si>
  <si>
    <t>https://community.secop.gov.co/Public/Tendering/ContractNoticePhases/View?PPI=CO1.PPI.37615660&amp;isFromPublicArea=True&amp;isModal=False</t>
  </si>
  <si>
    <t>https://community.secop.gov.co/Public/Tendering/ContractNoticePhases/View?PPI=CO1.PPI.37801112&amp;isFromPublicArea=True&amp;isModal=False</t>
  </si>
  <si>
    <t>https://community.secop.gov.co/Public/Tendering/ContractNoticePhases/View?PPI=CO1.PPI.37788633&amp;isFromPublicArea=True&amp;isModal=False</t>
  </si>
  <si>
    <t>https://community.secop.gov.co/Public/Tendering/ContractNoticePhases/View?PPI=CO1.PPI.38592762&amp;isFromPublicArea=True&amp;isModal=False</t>
  </si>
  <si>
    <t>https://community.secop.gov.co/Public/Tendering/ContractNoticePhases/View?PPI=CO1.PPI.37802127&amp;isFromPublicArea=True&amp;isModal=False</t>
  </si>
  <si>
    <t>https://community.secop.gov.co/Public/Tendering/ContractNoticePhases/View?PPI=CO1.PPI.37800929&amp;isFromPublicArea=True&amp;isModal=False</t>
  </si>
  <si>
    <t>https://community.secop.gov.co/Public/Tendering/ContractNoticePhases/View?PPI=CO1.PPI.37800107&amp;isFromPublicArea=True&amp;isModal=False</t>
  </si>
  <si>
    <t>https://community.secop.gov.co/Public/Tendering/ContractNoticePhases/View?PPI=CO1.PPI.37610891&amp;isFromPublicArea=True&amp;isModal=False</t>
  </si>
  <si>
    <t>https://community.secop.gov.co/Public/Tendering/OpportunityDetail/Index?noticeUID=CO1.NTC.7827163&amp;isFromPublicArea=True&amp;isModal=False</t>
  </si>
  <si>
    <t>https://community.secop.gov.co/Public/Tendering/ContractNoticePhases/View?PPI=CO1.PPI.37614961&amp;isFromPublicArea=True&amp;isModal=False</t>
  </si>
  <si>
    <t>https://community.secop.gov.co/Public/Tendering/ContractNoticePhases/View?PPI=CO1.PPI.38131005&amp;isFromPublicArea=True&amp;isModal=False</t>
  </si>
  <si>
    <t>https://community.secop.gov.co/Public/Tendering/ContractNoticePhases/View?PPI=CO1.PPI.37590826&amp;isFromPublicArea=True&amp;isModal=False</t>
  </si>
  <si>
    <t>https://community.secop.gov.co/Public/Tendering/ContractNoticePhases/View?PPI=CO1.PPI.37802683&amp;isFromPublicArea=True&amp;isModal=False</t>
  </si>
  <si>
    <t>https://community.secop.gov.co/Public/Tendering/ContractNoticePhases/View?PPI=CO1.PPI.38498440&amp;isFromPublicArea=True&amp;isModal=False</t>
  </si>
  <si>
    <t>https://community.secop.gov.co/Public/Tendering/ContractNoticePhases/View?PPI=CO1.PPI.37803169&amp;isFromPublicArea=True&amp;isModal=False</t>
  </si>
  <si>
    <t>https://community.secop.gov.co/Public/Tendering/ContractNoticePhases/View?PPI=CO1.PPI.38616842&amp;isFromPublicArea=True&amp;isModal=False</t>
  </si>
  <si>
    <t>https://community.secop.gov.co/Public/Tendering/ContractNoticePhases/View?</t>
  </si>
  <si>
    <t>https://www.secop.gov.co/CO1BusinessLine/Tendering/ProcedureEdit/View?ProfileName=CCE-11-Procedimiento_Publicidad&amp;PPI=CO1.PPI.38840990&amp;DocUniqueName=Consulta&amp;DocTypeName=NextWay.Entities.Marketplace.Tendering.ProcedureRequest&amp;ProfileVersion=12&amp;DocUniqueIdentifier=CO1.REQ.8116454&amp;prevCtxUrl=https%3a%2f%2fwww.secop.gov.co%2fCO1BusinessLine%2fTendering%2fBuyerWorkArea%2fIndex%3fDocUniqueIdentifier%3dCO1.BDOS.7975761&amp;prevCtxLbl=&amp;Messages=Publicado%20|Success</t>
  </si>
  <si>
    <t>https://community.secop.gov.co/Public/Tendering/ContractNoticePhases/View?PPI=CO1.PPI.38126728&amp;isFromPublicArea=True&amp;isModal=False</t>
  </si>
  <si>
    <t>https://community.secop.gov.co/Public/Tendering/ContractNoticePhases/View?PPI=CO1.PPI.37821188&amp;isFromPublicArea=True&amp;isModal=False</t>
  </si>
  <si>
    <t>https://community.secop.gov.co/Public/Tendering/ContractNoticePhases/View?PPI=CO1.PPI.38321344&amp;isFromPublicArea=True&amp;isModal=False</t>
  </si>
  <si>
    <t>https://community.secop.gov.co/Public/Tendering/ContractNoticePhases/View?PPI=CO1.PPI.38618304&amp;isFromPublicArea=True&amp;isModal=False</t>
  </si>
  <si>
    <t>https://community.secop.gov.co/Public/Tendering/ContractNoticePhases/View?PPI=CO1.PPI.38810449&amp;isFromPublicArea=True&amp;isModal=False</t>
  </si>
  <si>
    <t>https://community.secop.gov.co/Public/Tendering/ContractNoticePhases/View?PPI=CO1.PPI.38441787&amp;isFromPublicArea=True&amp;isModal=False</t>
  </si>
  <si>
    <t>https://community.secop.gov.co/Public/Tendering/ContractNoticePhases/View?PPI=CO1.PPI.38422705&amp;isFromPublicArea=True&amp;isModal=False</t>
  </si>
  <si>
    <t>https://community.secop.gov.co/Public/Tendering/ContractNoticePhases/View?PPI=CO1.PPI.38464180&amp;isFromPublicArea=True&amp;isModal=False</t>
  </si>
  <si>
    <t>https://www.secop.gov.co/CO1BusinessLine/Tendering/ProcedureEdit/View?ProfileName=CCE-11-Procedimiento_Publicidad&amp;PPI=CO1.PPI.38919026&amp;DocUniqueName=Consulta&amp;DocTypeName=NextWay.Entities.Marketplace.Tendering.ProcedureRequest&amp;ProfileVersion=12&amp;DocUniqueIdentifier=CO1.REQ.8134638&amp;prevCtxUrl=https%3a%2f%2fwww.secop.gov.co%2fCO1BusinessLine%2fTendering%2fBuyerWorkArea%2fIndex%3fDocUniqueIdentifier%3dCO1.BDOS.7993709&amp;prevCtxLbl=&amp;Messages=Publicado%20|Success</t>
  </si>
  <si>
    <t>https://community.secop.gov.co/Public/Tendering/ContractNoticePhases/View?PPI=CO1.PPI.38336746&amp;isFromPublicArea=True&amp;isModal=False</t>
  </si>
  <si>
    <t>https://www.secop.gov.co/CO1BusinessLine/Tendering/ProcedureEdit/View?ProfileName=CCE-11-Procedimiento_Publicidad&amp;PPI=CO1.PPI.38842331&amp;DocUniqueName=Consulta&amp;DocTypeName=NextWay.Entities.Marketplace.Tendering.ProcedureRequest&amp;ProfileVersion=12&amp;DocUniqueIdentifier=CO1.REQ.8116938&amp;prevCtxUrl=https%3a%2f%2fwww.secop.gov.co%2fCO1BusinessLine%2fTendering%2fBuyerWorkArea%2fIndex%3fDocUniqueIdentifier%3dCO1.BDOS.7976415&amp;prevCtxLbl=&amp;Messages=Publicado%20|Success</t>
  </si>
  <si>
    <t>https://community.secop.gov.co/Public/Tendering/ContractNoticePhases/View?PPI=CO1.PPI.38892557&amp;isFromPublicArea=True&amp;isModal=False</t>
  </si>
  <si>
    <t>https://community.secop.gov.co/Public/Tendering/ContractNoticePhases/View?PPI=CO1.PPI.38916923&amp;isFromPublicArea=True&amp;isModal=False</t>
  </si>
  <si>
    <t>https://community.secop.gov.co/Public/Tendering/ContractNoticePhases/View?PPI=CO1.PPI.38467027&amp;isFromPublicArea=True&amp;isModal=False</t>
  </si>
  <si>
    <t>https://community.secop.gov.co/Public/Tendering/ContractNoticePhases/View?PPI=CO1.PPI.39401632&amp;isFromPublicArea=True&amp;isModal=False</t>
  </si>
  <si>
    <t>https://community.secop.gov.co/Public/Tendering/ContractNoticePhases/View?PPI=CO1.PPI.38811126&amp;isFromPublicArea=True&amp;isModal=False</t>
  </si>
  <si>
    <t>https://community.secop.gov.co/Public/Tendering/ContractNoticePhases/View?PPI=CO1.PPI.38893412&amp;isFromPublicArea=True&amp;isModal=False</t>
  </si>
  <si>
    <t>126-2025</t>
  </si>
  <si>
    <t>090-2025</t>
  </si>
  <si>
    <t>091-2025</t>
  </si>
  <si>
    <t>127-2025</t>
  </si>
  <si>
    <t>093-2025</t>
  </si>
  <si>
    <t>118-2025</t>
  </si>
  <si>
    <t>133-2025</t>
  </si>
  <si>
    <t>130-2025</t>
  </si>
  <si>
    <t>102-2025</t>
  </si>
  <si>
    <t>119-2025</t>
  </si>
  <si>
    <t>129-2025</t>
  </si>
  <si>
    <t>122-2025</t>
  </si>
  <si>
    <t>124-2025</t>
  </si>
  <si>
    <t>135-2025</t>
  </si>
  <si>
    <t>103-2025</t>
  </si>
  <si>
    <t>104-2025</t>
  </si>
  <si>
    <t>101-2025</t>
  </si>
  <si>
    <t>094-2025</t>
  </si>
  <si>
    <t>099-2025</t>
  </si>
  <si>
    <t>117-2025</t>
  </si>
  <si>
    <t>114-2025</t>
  </si>
  <si>
    <t>110-2025</t>
  </si>
  <si>
    <t>116-2025</t>
  </si>
  <si>
    <t>136-2025</t>
  </si>
  <si>
    <t>128-2025</t>
  </si>
  <si>
    <t>131-2025</t>
  </si>
  <si>
    <t>134-2025</t>
  </si>
  <si>
    <t>109-2025</t>
  </si>
  <si>
    <t>111-2025</t>
  </si>
  <si>
    <t>112-2025</t>
  </si>
  <si>
    <t>113-2025</t>
  </si>
  <si>
    <t>098-2025</t>
  </si>
  <si>
    <t>100-2025</t>
  </si>
  <si>
    <t>108-2025</t>
  </si>
  <si>
    <t>107-2025</t>
  </si>
  <si>
    <t>132-2025</t>
  </si>
  <si>
    <t>138-2025</t>
  </si>
  <si>
    <t>Prestación de servicios de infraestructura, licenciamiento de software,  suscripción y administración para la implementación de un modelo de centralización de datos que incorpore componentes tecnológicos de ingesta, almacenamiento, mantenimiento, procesamiento, calidad, servicios de gobierno y analítica, junto con los servicios profesionales, metodológicos y técnicos necesarios para el desarrollo e implementación del proyecto de ingesta y centralización.</t>
  </si>
  <si>
    <t>UNIÓN TEMPORAL DATA ANALYTIC</t>
  </si>
  <si>
    <t>Prestación de servicios de agencia de viajes para el suministro de tiquetes aéreos nacionales e internacionales, alojamiento, desplazamientos terrestres.</t>
  </si>
  <si>
    <t>VIVA CONSOLIDADORA TURISTICA S.A.S.</t>
  </si>
  <si>
    <t>DETECCION SEGURIDAD PRIVADA LIMITADA</t>
  </si>
  <si>
    <t xml:space="preserve">Prestar sus servicios, de manera autónoma e independiente, para realizar una consultoría que derive en la construcción del Portafolio Modelo (Benchmark) y Portafolios Tácticos, a luz de los estándares internacionales recomendados por CFA Institute, IOSCO y SEC, considerando la oferta de valor y perfil de riesgo reflejada en los reglamentos. </t>
  </si>
  <si>
    <t>ELEMENTO ALPHA SAS</t>
  </si>
  <si>
    <t>Realizar y entregar el informe de la encuesta de Calidad del servicio de las compañías de seguros durante el 2024.</t>
  </si>
  <si>
    <t>DIGIDATA DE COLOMBIA LTDA</t>
  </si>
  <si>
    <t>Prestar los servicios de asesoría, diseño y desarrollo de contenidos conceptuales o teóricos, en cumplimiento de los criterios del sello de Educación Financiera.</t>
  </si>
  <si>
    <t>Prestar el servicio de mantenimiento técnico preventivo una (1) vez al mes para los dos (2) ascensores ubicados en el edificio de Casa Matriz.</t>
  </si>
  <si>
    <t>OTIS ELEVATOR COMPANY COLOMBIA S.A.S.</t>
  </si>
  <si>
    <t>Desarrollar ejercicios de gamificación y comunicación con contenidos en tercera dimensión 3D, realidad aumentada y/o web extendida, lo que incluye el suministro y acceso a la plataforma tecnológica.</t>
  </si>
  <si>
    <t>Suministrar los refrigerios y brindar apoyo logístico para las actividades asociadas a los procesos de capacitación y/o formación y bienestar que adelante la Subgerencia de Desarrollo de Talento Humano.</t>
  </si>
  <si>
    <t>BODEGA Y COCINA SAS</t>
  </si>
  <si>
    <t>Prestar los servicios de guía y apoyo metodológico de cara al diseño, cronograma, ejecución y premiación del ejercicio de innovación interna 2025 de LA PREVISORA, con la correspondiente identificación y definición de retos enmarcados en el Plan Estratégico de la compañía.</t>
  </si>
  <si>
    <t>FUNDACION CENTRO DE EXCELENCIA EN SISTEMAS DE INNOVACION</t>
  </si>
  <si>
    <t>Prestar el servicio de apoyo en la recolección, análisis, organización, procesamiento, generación y presentación de informes de datos sobre el proceso de indemnizaciones de los ramos SOAT, VIDA y ACCIDENTES PERSONALES para la toma de decisiones estratégicas.</t>
  </si>
  <si>
    <t>CARLOS MARIO MORENO GAMARRA</t>
  </si>
  <si>
    <t>Prestar los servicios de apoyo técnico operativo al proceso de indemnizaciones de los ramos Soat y Accidentes personales.</t>
  </si>
  <si>
    <t xml:space="preserve">WILMER ESTEBAN REUTO ROMERO </t>
  </si>
  <si>
    <t xml:space="preserve">PAULA SOFIA DIAZ DIAZ </t>
  </si>
  <si>
    <t>ALVAREZ &amp; HERNANDEZ ABOGADOS SAS</t>
  </si>
  <si>
    <t>LASPRILLA &amp; CRUZ ABOGADOS ASOCIADOS S.A.S.</t>
  </si>
  <si>
    <t>OLFA MARIA PEREZ ORELLANOS E HIJOS ABOGADOS S.A.S</t>
  </si>
  <si>
    <t>OSPINA ZAMORA &amp; ASOCIADOS SAS</t>
  </si>
  <si>
    <t>prestar los servicios de apoyo técnico operativo al proceso de indemnizaciones de los ramos Soat y Accidentes personales.</t>
  </si>
  <si>
    <t xml:space="preserve">NEIRLY ZULIETH AVENDAÑO MOSQUERA </t>
  </si>
  <si>
    <t>Prestar los servicios jurídicos especializados para la administración en calidad de Counterparty Manager de la información de La Previsora S.A. Compañía de Seguros en la plataforma Markit de ISDA (International Swaps and Derivatives Association INC).</t>
  </si>
  <si>
    <t>JHON ALEJANDRO GOMEZ FERNANDEZ</t>
  </si>
  <si>
    <t xml:space="preserve">Prestar sus servicios profesionales de asesoría especializada y acompañamiento técnico para la interpretación, implementación, difusión y seguimiento a los lineamientos del Código de Ética,
Transparencia, Conducta y Buen Gobierno. </t>
  </si>
  <si>
    <t>NATALIA BARBOSA GALVIS</t>
  </si>
  <si>
    <t>GÓMEZ VELEZ 
ABOGADOS S.A.S.</t>
  </si>
  <si>
    <t>MPP ABOGADOS S.A.S</t>
  </si>
  <si>
    <t>MARTINEZ VILLALBA GOMEZ ABOGADOS S.A.S.</t>
  </si>
  <si>
    <t>VALDES ABOGADOS - ASLABOR LIMITADA</t>
  </si>
  <si>
    <t>Prestar los servicios profesionales de asesor de la Junta Directiva de La Previsora S.A. en los asuntos jurídicos relacionados con el modelo de gobernanza de la entidad y otros asuntos que puedan surgir en el curso de las sesiones de dicho órgano de administración.</t>
  </si>
  <si>
    <t>SEBASTIAN ECHEVERRI ÁLVAREZ</t>
  </si>
  <si>
    <t>JAVIER ANDRÉS PEÑA MARQUEZ</t>
  </si>
  <si>
    <t>Prestar los servicios de vigilancia y seguridad privada, protección con medio humano con armas y sin armas, equipos de comunicación y de seguridad con medios tecnológicos en las instalaciones de LA PREVISORA S.A. a nivel nacional.</t>
  </si>
  <si>
    <t xml:space="preserve">Prestar sus servicios profesionales de manera personal, para el desarrollo de las actividades de diseño estratégico, comunicación institucional y creatividad aplicada con base en el enfoque de diseño denominado Human Centered Design, así como el apoyo al área de Secretaría General en la construcción de estrategias y la gestión del cambio en la comunicación de nuestro Buen Gobierno Corporativo en la Compañía y con nuestras partes interesadas. </t>
  </si>
  <si>
    <t>Prestar sus servicios profesionales de manera personal, para el apoyo en la identificación, medición, monitoreo, control, mitigación y reporte de las exposiciones a todos los riesgos de la entidad asociados a Solvencia II, así como aquellos asociados al sistema integral del Administración del Riesgo (SIAR).</t>
  </si>
  <si>
    <t>https://community.secop.gov.co/Public/Tendering/ContractNoticePhases/View?PPI=CO1.PPI.38145173&amp;isFromPublicArea=True&amp;isModal=False</t>
  </si>
  <si>
    <t>https://community.secop.gov.co/Public/Tendering/ContractNoticePhases/View?PPI=CO1.PPI.37645866&amp;isFromPublicArea=True&amp;isModal=False</t>
  </si>
  <si>
    <t>https://community.secop.gov.co/Public/Tendering/OpportunityDetail/Index?noticeUID=CO1.NTC.7682404&amp;isFromPublicArea=True&amp;isModal=False</t>
  </si>
  <si>
    <t>https://community.secop.gov.co/Public/Tendering/OpportunityDetail/Index?noticeUID=CO1.NTC.7679592&amp;isFromPublicArea=True&amp;isModal=False</t>
  </si>
  <si>
    <t>https://community.secop.gov.co/Public/Tendering/OpportunityDetail/Index?noticeUID=CO1.NTC.7827492&amp;isFromPublicArea=True&amp;isModal=False</t>
  </si>
  <si>
    <t>https://community.secop.gov.co/Public/Tendering/OpportunityDetail/Index?noticeUID=CO1.NTC.7828515&amp;isFromPublicArea=True&amp;isModal=False</t>
  </si>
  <si>
    <t>https://community.secop.gov.co/Public/Tendering/OpportunityDetail/Index?noticeUID=CO1.NTC.7836028&amp;isFromPublicArea=True&amp;isModal=False</t>
  </si>
  <si>
    <t>https://community.secop.gov.co/Public/Tendering/OpportunityDetail/Index?noticeUID=CO1.NTC.7830369&amp;isFromPublicArea=True&amp;isModal=False</t>
  </si>
  <si>
    <t>https://community.secop.gov.co/Public/Tendering/ContractNoticePhases/View?PPI=CO1.PPI.39293577&amp;isFromPublicArea=True&amp;isModal=False</t>
  </si>
  <si>
    <t>https://community.secop.gov.co/Public/Tendering/ContractNoticePhases/View?PPI=CO1.PPI.39185123&amp;isFromPublicArea=True&amp;isModal=False</t>
  </si>
  <si>
    <t>https://community.secop.gov.co/Public/Tendering/OpportunityDetail/Index?noticeUID=CO1.NTC.8219486&amp;isFromPublicArea=True&amp;isModal=False</t>
  </si>
  <si>
    <t>https://community.secop.gov.co/Public/Tendering/OpportunityDetail/Index?noticeUID=CO1.NTC.8219975&amp;isFromPublicArea=True&amp;isModal=False</t>
  </si>
  <si>
    <t>https://community.secop.gov.co/Public/Tendering/OpportunityDetail/Index?noticeUID=CO1.NTC.8220728&amp;isFromPublicArea=True&amp;isModal=False</t>
  </si>
  <si>
    <t>https://community.secop.gov.co/Public/Tendering/OpportunityDetail/Index?noticeUID=CO1.NTC.8219934&amp;isFromPublicArea=True&amp;isModal=False</t>
  </si>
  <si>
    <t>https://community.secop.gov.co/Public/Tendering/OpportunityDetail/Index?noticeUID=CO1.NTC.8158613&amp;isFromPublicArea=True&amp;isModal=False</t>
  </si>
  <si>
    <t>https://community.secop.gov.co/Public/Tendering/ContractNoticePhases/View?PPI=CO1.PPI.39313975&amp;isFromPublicArea=True&amp;isModal=False</t>
  </si>
  <si>
    <t>https://community.secop.gov.co/Public/Tendering/OpportunityDetail/Index?noticeUID=CO1.NTC.8156815&amp;isFromPublicArea=True&amp;isModal=False</t>
  </si>
  <si>
    <t>https://community.secop.gov.co/Public/Tendering/ContractNoticePhases/View?PPI=CO1.PPI.39403048&amp;isFromPublicArea=True&amp;isModal=False</t>
  </si>
  <si>
    <t>https://community.secop.gov.co/Public/Tendering/OpportunityDetail/Index?noticeUID=CO1.NTC.8221511&amp;isFromPublicArea=True&amp;isModal=False</t>
  </si>
  <si>
    <t>https://community.secop.gov.co/Public/Tendering/OpportunityDetail/Index?noticeUID=CO1.NTC.8221489&amp;isFromPublicArea=True&amp;isModal=False</t>
  </si>
  <si>
    <t>https://community.secop.gov.co/Public/Tendering/OpportunityDetail/Index?noticeUID=CO1.NTC.8222024&amp;isFromPublicArea=True&amp;isModal=False</t>
  </si>
  <si>
    <t>105-2025</t>
  </si>
  <si>
    <t>106-2025</t>
  </si>
  <si>
    <t>MARGARITA SAAVEDRA MC CAUSLAND &amp; ABOGADOS S.A.S</t>
  </si>
  <si>
    <t>SANCLEMENTE JURIDICO S.A.S</t>
  </si>
  <si>
    <t>115-2025</t>
  </si>
  <si>
    <t xml:space="preserve"> Entregar cincuenta (50) TELÉFONOS NEC ITY-8LCGX-1 BK IP, junto con la instalación, programación y puesta en operación de los equipos que
se requieran en la sucursal de Medellín, Antioquia.</t>
  </si>
  <si>
    <t>120-2025</t>
  </si>
  <si>
    <t>Servicio de Software informativo financiero sobre noticias y datos macroeconómicos locales e internacionales que integra base de datos, noticias, gráficos, calculadoras, e-mail, chat, información multimedia y herramientas de negociación electrónica.</t>
  </si>
  <si>
    <t>121-2025</t>
  </si>
  <si>
    <t xml:space="preserve">Prestar sus servicios profesionales de manera personal, de apoyo a la Gerencia Contable y Tributaria en el levantamiento y construcción de instructivos operativos de los procesos técnico, financiero, de apoyo e impuestos. </t>
  </si>
  <si>
    <t>LEIDY PAOLA 
CARREÑO TAPIAS</t>
  </si>
  <si>
    <t>123-2025</t>
  </si>
  <si>
    <t>Suministrar la suscripción de licenciamiento Microsoft sobre 100 licencias 6VC-02567 - Win Remote Desktop Services CAL ALng Sub Per User</t>
  </si>
  <si>
    <t>125-2025</t>
  </si>
  <si>
    <t>VALENTINA HERRERA FONSECA</t>
  </si>
  <si>
    <t>137-2025</t>
  </si>
  <si>
    <t>Prestar los servicios especializados en análisis e interpretación de NIIF con enfoque en seguros.</t>
  </si>
  <si>
    <t>PWC CONTADORES Y AUDITORES SAS</t>
  </si>
  <si>
    <t>139-2025</t>
  </si>
  <si>
    <t>140-2025</t>
  </si>
  <si>
    <t xml:space="preserve">Mantenimientos preventivos y correctivos al sistema de alarma y detección de incendios. </t>
  </si>
  <si>
    <t>Prestar los servicios de emisión de tiquetes aéreos y reservas hoteleras (habitaciones y salas de reunión) en destinos nacionales e internacionales.</t>
  </si>
  <si>
    <t>MAYATUR S A S</t>
  </si>
  <si>
    <t>141-2025</t>
  </si>
  <si>
    <t>Prestar sus servicios como entrenador y director de los equipos de baloncesto femenino y masculino de LA PREVISORA S.A.</t>
  </si>
  <si>
    <t>WILLIAM OLIVERIO AVELLA CAMACHO</t>
  </si>
  <si>
    <t>142-2025</t>
  </si>
  <si>
    <t>143-2025</t>
  </si>
  <si>
    <t>Suministrar el servicio transaccional para la comercialización y recaudo del ramo de accidentes personales en la plataforma digital, con la integración al sistema CORE de LA PREVISORA S.A. y cumpliendo con los parámetros exigidos por la Compañía.</t>
  </si>
  <si>
    <t>Compra de tres hornos microondas industriales de 0.8 pies.</t>
  </si>
  <si>
    <t>144-2025</t>
  </si>
  <si>
    <t>Contratar la inscripción y participación de tres (3) funcionarios en el
Seminario Taller Virtual “Entendiendo e Implementando las Normas Globales de Auditoría Interna”.</t>
  </si>
  <si>
    <t>145-2025</t>
  </si>
  <si>
    <t>146-2025</t>
  </si>
  <si>
    <t>147-2025</t>
  </si>
  <si>
    <t xml:space="preserve">Realizar Auditoría de renovación al Sistema de Gestión Integral (Sistema de Gestión de la Calidad ISO 9001:2015 y Sistema Gestión Ambiental ISO 14001:2015) y realizar Auditoría de seguimiento al Sello de Buenas Prácticas de Innovación </t>
  </si>
  <si>
    <t>Ejecutar las actividades de auditoria para el otorgamiento del Sello de Sostenibilidad.</t>
  </si>
  <si>
    <t>148-2025</t>
  </si>
  <si>
    <t>Prestar el servicio especializado de investigación de bienes y activos a nivel nacional, mediante la consulta, análisis, y verificación detallada de los bienes registrados por cédula o NIT de personas naturales o jurídicas.</t>
  </si>
  <si>
    <t>COBROACTIVO S.A.S</t>
  </si>
  <si>
    <t>149-2025</t>
  </si>
  <si>
    <t>150-2025</t>
  </si>
  <si>
    <t>Suministrar bajo arrendamiento una plataforma tecnológica bajo nube pública o privada mediante la modalidad de soluciones PAAS o IPAAS que permita el desarrollo e implementación de la capa de integración e interoperabilidad requerida para el funcionamiento articulado de los sistemas de información y aplicaciones actuales y futuros de LA PREVISORA S.A.</t>
  </si>
  <si>
    <t>OSP INTERNATIONAL CALA S.A.S.</t>
  </si>
  <si>
    <t>Compra de maletines y maletas de cabina para participar publicitariamente con elementos marca promocional de previsora, brindando reconocimiento en actividades comerciales con nuestros grupos de interés de la compañía.</t>
  </si>
  <si>
    <t>SAMSONITE COLOMBIA S A S</t>
  </si>
  <si>
    <t>151-2025</t>
  </si>
  <si>
    <t>Prestar los servicios profesionales especializados para apoyar y asesorar a la Secretaría General en los diferentes temas que tiene a cargo, en asuntos administrativos, jurídicos, planeación, control, seguimiento, desarrollo empresarial y de estrategias.</t>
  </si>
  <si>
    <t>CAMILO ANDRES ARENAS VALDIVIESO</t>
  </si>
  <si>
    <t>153-2025</t>
  </si>
  <si>
    <t>156-2025</t>
  </si>
  <si>
    <t>Contratar una póliza de Vida Grupo que asegure a los funcionarios directivos vinculados mediante contrato de trabajo a término Indefinido. Jefe de Control Interno y Presidente de La Previsora S.A. Compañía de Seguros.</t>
  </si>
  <si>
    <t>COMPAÑIA DE SEGUROS COLSANITAS S.A</t>
  </si>
  <si>
    <t>STP ABOGADOS PROFESIONALES ASOCIADOS S.A.S</t>
  </si>
  <si>
    <t>https://community.secop.gov.co/Public/Tendering/ContractNoticePhases/View?PPI=CO1.PPI.38496056&amp;isFromPublicArea=True&amp;isModal=False</t>
  </si>
  <si>
    <t>https://community.secop.gov.co/Public/Tendering/ContractNoticePhases/View?PPI=CO1.PPI.38409863&amp;isFromPublicArea=True&amp;isModal=False</t>
  </si>
  <si>
    <t>https://community.secop.gov.co/Public/Tendering/OpportunityDetail/Index?noticeUID=CO1.NTC.7775001&amp;isFromPublicArea=True&amp;isModal=False</t>
  </si>
  <si>
    <t>https://community.secop.gov.co/Public/Tendering/ContractNoticePhases/View?PPI=CO1.PPI.38433687&amp;isFromPublicArea=True&amp;isModal=False</t>
  </si>
  <si>
    <t>https://community.secop.gov.co/Public/Tendering/ContractNoticePhases/View?PPI=CO1.PPI.38419850&amp;isFromPublicArea=True&amp;isModal=False</t>
  </si>
  <si>
    <t xml:space="preserve">https://community.secop.gov.co/Public/Tendering/ContractNoticePhases/View?PPI=CO1.PPI.39266890&amp;isFromPublicArea=True&amp;isModal=False </t>
  </si>
  <si>
    <t xml:space="preserve">https://community.secop.gov.co/Public/Tendering/ContractNoticePhases/View?PPI=CO1.PPI.39321676&amp;isFromPublicArea=True&amp;isModal=False </t>
  </si>
  <si>
    <t>https://community.secop.gov.co/Public/Tendering/ContractNoticePhases/View?PPI=CO1.PPI.39330033&amp;isFromPublicArea=True&amp;isModal=False</t>
  </si>
  <si>
    <t>https://community.secop.gov.co/Public/Tendering/ContractNoticePhases/View?PPI=CO1.PPI.40359860&amp;isFromPublicArea=True&amp;isModal=False</t>
  </si>
  <si>
    <t>https://community.secop.gov.co/Public/Tendering/ContractNoticePhases/View?PPI=CO1.PPI.40620654&amp;isFromPublicArea=True&amp;isModal=False</t>
  </si>
  <si>
    <t>https://community.secop.gov.co/Public/Tendering/ContractNoticePhases/View?PPI=CO1.PPI.39778208&amp;isFromPublicArea=True&amp;isModal=False</t>
  </si>
  <si>
    <t>https://community.secop.gov.co/Public/Tendering/ContractNoticePhases/View?PPI=CO1.PPI.40360192&amp;isFromPublicArea=True&amp;isModal=False</t>
  </si>
  <si>
    <t>https://community.secop.gov.co/Public/Tendering/ContractNoticePhases/View?PPI=CO1.PPI.40375458&amp;isFromPublicArea=True&amp;isModal=False</t>
  </si>
  <si>
    <t>https://community.secop.gov.co/Public/Tendering/ContractNoticePhases/View?PPI=CO1.PPI.40361682&amp;isFromPublicArea=True&amp;isModal=False</t>
  </si>
  <si>
    <t>https://community.secop.gov.co/Public/Tendering/ContractNoticePhases/View?PPI=CO1.PPI.40657329&amp;isFromPublicArea=True&amp;isModal=False</t>
  </si>
  <si>
    <t>https://community.secop.gov.co/Public/Tendering/ContractNoticePhases/View?PPI=CO1.PPI.39781055&amp;isFromPublicArea=True&amp;isModal=False</t>
  </si>
  <si>
    <t>https://community.secop.gov.co/Public/Tendering/ContractNoticePhases/View?PPI=CO1.PPI.40624142&amp;isFromPublicArea=True&amp;isModal=False</t>
  </si>
  <si>
    <t>https://community.secop.gov.co/Public/Tendering/OpportunityDetail/Index?noticeUID=CO1.NTC.8222144&amp;isFromPublicArea=True&amp;isModal=False</t>
  </si>
  <si>
    <t>https://community.secop.gov.co/Public/Tendering/OpportunityDetail/Index?noticeUID=CO1.NTC.8222340&amp;isFromPublicArea=True&amp;isModal=False</t>
  </si>
  <si>
    <t>https://community.secop.gov.co/Public/Tendering/ContractNoticePhases/View?PPI=CO1.PPI.40362860&amp;isFromPublicArea=True&amp;isModal=False</t>
  </si>
  <si>
    <t>https://community.secop.gov.co/Public/Tendering/ContractNoticePhases/View?PPI=CO1.PPI.40653986&amp;isFromPublicArea=True&amp;isModal=False</t>
  </si>
  <si>
    <t>https://community.secop.gov.co/Public/Tendering/ContractNoticePhases/View?PPI=CO1.PPI.39781500&amp;isFromPublicArea=True&amp;isModal=False</t>
  </si>
  <si>
    <t>https://community.secop.gov.co/Public/Tendering/ContractNoticePhases/View?PPI=CO1.PPI.40622585&amp;isFromPublicArea=True&amp;isModal=False</t>
  </si>
  <si>
    <t>https://community.secop.gov.co/Public/Tendering/ContractNoticePhases/View?PPI=CO1.PPI.40625516&amp;isFromPublicArea=True&amp;isModal=False</t>
  </si>
  <si>
    <t>https://community.secop.gov.co/Public/Tendering/ContractNoticePhases/View?PPI=CO1.PPI.39775873&amp;isFromPublicArea=True&amp;isModal=False</t>
  </si>
  <si>
    <t>https://community.secop.gov.co/Public/Tendering/ContractNoticePhases/View?PPI=CO1.PPI.40379724&amp;isFromPublicArea=True&amp;isModal=False</t>
  </si>
  <si>
    <t>https://community.secop.gov.co/Public/Tendering/ContractNoticePhases/View?PPI=CO1.PPI.40123158&amp;isFromPublicArea=True&amp;isModal=False</t>
  </si>
  <si>
    <t>https://community.secop.gov.co/Public/Tendering/ContractNoticePhases/View?PPI=CO1.PPI.40616869&amp;isFromPublicArea=True&amp;isModal=False</t>
  </si>
  <si>
    <t>https://community.secop.gov.co/Public/Tendering/ContractNoticePhases/View?PPI=CO1.PPI.40381096&amp;isFromPublicArea=True&amp;isModal=False</t>
  </si>
  <si>
    <t>https://community.secop.gov.co/Public/Tendering/ContractNoticePhases/View?PPI=CO1.PPI.40380572&amp;isFromPublicArea=True&amp;isModal=False</t>
  </si>
  <si>
    <t>https://community.secop.gov.co/Public/Tendering/ContractNoticePhases/View?PPI=CO1.PPI.39782145&amp;isFromPublicArea=True&amp;isModal=False</t>
  </si>
  <si>
    <t>https://community.secop.gov.co/Public/Tendering/ContractNoticePhases/View?PPI=CO1.PPI.40376018&amp;isFromPublicArea=True&amp;isModal=False</t>
  </si>
  <si>
    <t>https://community.secop.gov.co/Public/Tendering/ContractNoticePhases/View?PPI=CO1.PPI.40388419&amp;isFromPublicArea=True&amp;isModal=False</t>
  </si>
  <si>
    <t>https://community.secop.gov.co/Public/Tendering/ContractNoticePhases/View?PPI=CO1.PPI.40127249&amp;isFromPublicArea=True&amp;isModal=False</t>
  </si>
  <si>
    <t>https://community.secop.gov.co/Public/Tendering/ContractNoticePhases/View?PPI=CO1.PPI.40708998&amp;isFromPublicArea=True&amp;isModal=False</t>
  </si>
  <si>
    <t>https://community.secop.gov.co/Public/Tendering/ContractNoticePhases/View?PPI=CO1.PPI.40710145&amp;isFromPublicArea=True&amp;isModal=False</t>
  </si>
  <si>
    <t>159-2025</t>
  </si>
  <si>
    <t>Realizar el mantenimiento a las máquinas de café FETCO de propiedad de La Previsora S.A. ubicadas en la calle 57 No. 9-07 en la ciudad de Bogotá</t>
  </si>
  <si>
    <t>INDUSTRIAL TAYLOR S.A.S.</t>
  </si>
  <si>
    <t>162-2025</t>
  </si>
  <si>
    <t>LEGIS EDITORES S.A.</t>
  </si>
  <si>
    <t>152-2025</t>
  </si>
  <si>
    <t>154-2025</t>
  </si>
  <si>
    <t>Prestar los servicios profesionales como Defensor del Consumidor Financiero, principal y suplente, de La Previsora S.A. Compañía de Seguros.</t>
  </si>
  <si>
    <t>CONSULTORIAS EN INNOVACIÓN FINANCIERA SAS</t>
  </si>
  <si>
    <t>155-2025</t>
  </si>
  <si>
    <t>Prestar sus servicios para diseñar, estructurar, desarrollar e implementar un programa, bajo la modalidad virtual, que contribuya al desarrollo y mejoramiento de las competencias de los intermediarios de seguros vinculados a LA PREVISORA S.A.</t>
  </si>
  <si>
    <t>157-2025</t>
  </si>
  <si>
    <t>158-2025</t>
  </si>
  <si>
    <t>Prestar los servicios de arrendamiento de infraestructura para el uso y funcionamiento del aplicativo PORFIN, lo que incluye el servicio de soporte y mantenimiento de este y los desarrollos requeridos.</t>
  </si>
  <si>
    <t>SISTEMAS GESTION Y CONSULTORIA ALFA GL S A S</t>
  </si>
  <si>
    <t>160-2025</t>
  </si>
  <si>
    <t>161-2025</t>
  </si>
  <si>
    <t>Prestar los servicios profesionales para la renovación de LEI (por sus siglas en inglés, "LEGAL ENTITY IDENTIFIER") de LA PREVISORA.</t>
  </si>
  <si>
    <t>G. HERRERA &amp; ASOCIADOS ABOGADOS S.A.S.</t>
  </si>
  <si>
    <t xml:space="preserve">Servicio de suscripción digital de la revista CONSTRUDATA, que incluye el licenciamiento de TRES (03) accesos anuales para consulta técnica y académica de las oficinas de Indemnizaciones. </t>
  </si>
  <si>
    <t>173-2025</t>
  </si>
  <si>
    <t xml:space="preserve">Prestar sus servicios de manera personal, para el desarrollo de las actividades de identificación, análisis, evaluación, monitoreo, control y reporte de los riesgos financieros a los que está expuesta la entidad, incluyendo riesgos de mercado, crédito, liquidez y riesgo operacional, así como apoyar en la implementación y seguimiento de políticas, metodologías y herramientas de gestión de riesgos, en cumplimiento del marco normativo vigente y las mejores prácticas del sector asegurador. </t>
  </si>
  <si>
    <t>CESAR AUGUSTO VERGARA GARCIA</t>
  </si>
  <si>
    <t>163-2025</t>
  </si>
  <si>
    <t>164-2025</t>
  </si>
  <si>
    <t>165-2025</t>
  </si>
  <si>
    <t xml:space="preserve">Actualizar las matrices de identificación de peligros, evaluación y valoración de los riesgos laborales,  el plan de emergencias, análisis de vulnerabilidad y los planos de evacuación en las diferentes sedes de La Previsora.  </t>
  </si>
  <si>
    <t>CONSULTORES INTEGRALES ESPECIALIZADOS EN SALUD, AMBIENTE Y CALIDAD S.A.S.</t>
  </si>
  <si>
    <t>Realizar la auditoria de seguimiento a la Certificación de sello de no discriminación y certificación de empresa familiarmente responsable-EFR.</t>
  </si>
  <si>
    <t>166-2025</t>
  </si>
  <si>
    <t>HERNANDEZ &amp; DELGADO ABOGADOS ASOCIADOS S.A.S</t>
  </si>
  <si>
    <t>167-2025</t>
  </si>
  <si>
    <t>Prestar servicios profesionales de apoyo a la gestión técnica de la Gerencia técnica de Indemnizaciones SOAT, VIDA Y AP con el fin de realizar el cargue de documentos, hacer revisión de proceso de recepción de reclamaciones, objeciones, análisis y validación de todas las novedades presentadas en el servicio web.</t>
  </si>
  <si>
    <t>SANDRA LILIANA BECERRA BOLIVAR</t>
  </si>
  <si>
    <t>169-2025</t>
  </si>
  <si>
    <t>170-2025</t>
  </si>
  <si>
    <t>Prestar los servicios para gestionar la emisión, modificación y reembolsos de tiquetes aéreos y reservas hoteleras (habitaciones y salas de reunión), así como la prestación de los servicios logísticos necesarios para garantizar los desplazamientos y estadías en destinos nacionales e internacionales, en su calidad de agencia de viajes.</t>
  </si>
  <si>
    <t>PUBBLICA S.A.S.</t>
  </si>
  <si>
    <t>Apoyar la gestión técnica operativa del proceso de indemnizaciones de los ramos SOAT, VIDA y ACCIDENTES PERSONALES.</t>
  </si>
  <si>
    <t>ARGENIS PEREZ RODRIGUEZ</t>
  </si>
  <si>
    <t>171-2025</t>
  </si>
  <si>
    <t>172-2025</t>
  </si>
  <si>
    <t xml:space="preserve">Suministrar y distribuir continuamente de herramientas, materiales de construcción, materiales eléctricos, materiales de ferretería y los demás elementos necesarios en las cantidades y especificaciones que le sean requeridas por LA PREVISORA. </t>
  </si>
  <si>
    <t xml:space="preserve">BRAND CENTER S.A.S. </t>
  </si>
  <si>
    <t>CYE GROUP SAS</t>
  </si>
  <si>
    <t>175-2025</t>
  </si>
  <si>
    <t>Realizar la impermeabilización integral del tanque de reserva de agua ubicado en el edificio Casa Matriz, incluyendo el suministro de los materiales e instalación de un tanque auxiliar.</t>
  </si>
  <si>
    <t>ACUERDO MARCO</t>
  </si>
  <si>
    <t>Suministro de ACPM para la planta eléctrica y GASOLINA para los vehículos de la compañía</t>
  </si>
  <si>
    <t>GRUPO EDS AUTOGAS S.A.S.</t>
  </si>
  <si>
    <t>https://community.secop.gov.co/Public/Tendering/ContractNoticePhases/View?PPI=CO1.PPI.41150763&amp;isFromPublicArea=True&amp;isModal=False</t>
  </si>
  <si>
    <t>https://community.secop.gov.co/Public/Tendering/ContractNoticePhases/View?PPI=CO1.PPI.41149456&amp;isFromPublicArea=True&amp;isModal=False</t>
  </si>
  <si>
    <t>https://community.secop.gov.co/Public/Tendering/ContractNoticePhases/View?PPI=CO1.PPI.41313699&amp;isFromPublicArea=True&amp;isModal=False</t>
  </si>
  <si>
    <t>https://community.secop.gov.co/Public/Tendering/ContractNoticePhases/View?PPI=CO1.PPI.41277797&amp;isFromPublicArea=True&amp;isModal=False</t>
  </si>
  <si>
    <t>https://community.secop.gov.co/Public/Tendering/ContractNoticePhases/View?PPI=CO1.PPI.41277431&amp;isFromPublicArea=True&amp;isModal=False</t>
  </si>
  <si>
    <t>https://community.secop.gov.co/Public/Tendering/ContractNoticePhases/View?PPI=CO1.PPI.41220480&amp;isFromPublicArea=True&amp;isModal=False</t>
  </si>
  <si>
    <t>https://community.secop.gov.co/Public/Tendering/ContractNoticePhases/View?PPI=CO1.PPI.41265271&amp;isFromPublicArea=True&amp;isModal=False</t>
  </si>
  <si>
    <t>https://community.secop.gov.co/Public/Tendering/ContractNoticePhases/View?PPI=CO1.PPI.41279221&amp;isFromPublicArea=True&amp;isModal=False</t>
  </si>
  <si>
    <t>https://community.secop.gov.co/Public/Tendering/ContractNoticePhases/View?PPI=CO1.PPI.41313694&amp;isFromPublicArea=True&amp;isModal=False</t>
  </si>
  <si>
    <t>https://community.secop.gov.co/Public/Tendering/ContractNoticePhases/View?PPI=CO1.PPI.41278536&amp;isFromPublicArea=True&amp;isModal=False</t>
  </si>
  <si>
    <t>https://community.secop.gov.co/Public/Tendering/ContractNoticePhases/View?PPI=CO1.PPI.41314692&amp;isFromPublicArea=True&amp;isModal=False</t>
  </si>
  <si>
    <t>https://community.secop.gov.co/Public/Tendering/ContractNoticePhases/View?PPI=CO1.PPI.41328957&amp;isFromPublicArea=True&amp;isModal=False</t>
  </si>
  <si>
    <t>https://community.secop.gov.co/Public/Tendering/ContractNoticePhases/View?PPI=CO1.PPI.41328932&amp;isFromPublicArea=True&amp;isModal=False</t>
  </si>
  <si>
    <t>https://community.secop.gov.co/Public/Tendering/ContractNoticePhases/View?PPI=CO1.PPI.41328989&amp;isFromPublicArea=True&amp;isModal=False</t>
  </si>
  <si>
    <t>https://community.secop.gov.co/Public/Tendering/ContractNoticePhases/View?PPI=CO1.PPI.41314497&amp;isFromPublicArea=True&amp;isModal=False</t>
  </si>
  <si>
    <t>https://www.secop.gov.co/CO1BusinessLine/Tendering/ProcedureEdit/View?docUniqueIdentifier=CO1.REQ.8615447&amp;prevCtxLbl=Proceso&amp;prevCtxUrl=https%3a%2f%2fwww.secop.gov.co%3a443%2fCO1BusinessLine%2fTendering%2fBuyerWorkArea%2fIndex%3fDocUniqueIdentifier%3dCO1.BDOS.8462292</t>
  </si>
  <si>
    <t>https://community.secop.gov.co/Public/Tendering/ContractNoticePhases/View?PPI=CO1.PPI.41313962&amp;isFromPublicArea=True&amp;isModal=False</t>
  </si>
  <si>
    <t>https://community.secop.gov.co/Public/Tendering/ContractNoticePhases/View?PPI=CO1.PPI.41315049&amp;isFromPublicArea=True&amp;isModal=False</t>
  </si>
  <si>
    <t>https://community.secop.gov.co/Public/Tendering/ContractNoticePhases/View?PPI=CO1.PPI.41329726&amp;isFromPublicArea=True&amp;isModal=False</t>
  </si>
  <si>
    <t>Prestar los servicios de mantenimiento y soporte de la plataforma del sistema de presupuesto y planeación financiera DATA CIPRES, así como a la migración ETL a Data cripres V5.0.</t>
  </si>
  <si>
    <t>https://community.secop.gov.co/Public/Tendering/ContractNoticePhases/View?PPI=CO1.PPI.41275243&amp;isFromPublicArea=True&amp;isModal=False</t>
  </si>
  <si>
    <t>https://community.secop.gov.co/Public/Tendering/ContractNoticePhases/View?PPI=CO1.PPI.39423722&amp;isFromPublicArea=True&amp;isModal=False</t>
  </si>
  <si>
    <t>https://community.secop.gov.co/Public/Tendering/ContractNoticePhases/View?PPI=CO1.PPI.41278636&amp;isFromPublicArea=True&amp;isModal=False</t>
  </si>
  <si>
    <t>https://community.secop.gov.co/Public/Tendering/ContractNoticePhases/View?PPI=CO1.PPI.41278630&amp;isFromPublicArea=True&amp;isModal=False</t>
  </si>
  <si>
    <t>https://community.secop.gov.co/Public/Tendering/ContractNoticePhases/View?PPI=CO1.PPI.41278064&amp;isFromPublicArea=True&amp;isModal=False</t>
  </si>
  <si>
    <t>https://community.secop.gov.co/Public/Tendering/ContractNoticePhases/View?PPI=CO1.PPI.39391862&amp;isFromPublicArea=True&amp;isModal=False</t>
  </si>
  <si>
    <t>https://community.secop.gov.co/Public/Tendering/ContractNoticePhases/View?PPI=CO1.PPI.38172997&amp;isFromPublicArea=True&amp;isModal=False</t>
  </si>
  <si>
    <t>https://community.secop.gov.co/Public/Tendering/ContractNoticePhases/View?PPI=CO1.PPI.39421715&amp;isFromPublicArea=True&amp;isModal=False</t>
  </si>
  <si>
    <t>https://community.secop.gov.co/Public/Tendering/ContractNoticePhases/View?PPI=CO1.PPI.41276265&amp;isFromPublicArea=True&amp;isModal=False</t>
  </si>
  <si>
    <t>https://community.secop.gov.co/Public/Tendering/ContractNoticePhases/View?PPI=CO1.PPI.41151148&amp;isFromPublicArea=True&amp;isModal=False</t>
  </si>
  <si>
    <t>https://community.secop.gov.co/Public/Tendering/ContractNoticePhases/View?PPI=CO1.PPI.39392810&amp;isFromPublicArea=True&amp;isModal=False</t>
  </si>
  <si>
    <t>https://community.secop.gov.co/Public/Tendering/ContractNoticePhases/View?PPI=CO1.PPI.39402353&amp;isFromPublicArea=True&amp;isModal=False</t>
  </si>
  <si>
    <t>https://community.secop.gov.co/Public/Tendering/ContractNoticePhases/View?PPI=CO1.PPI.41152216&amp;isFromPublicArea=True&amp;isModal=False</t>
  </si>
  <si>
    <t>https://community.secop.gov.co/Public/Tendering/ContractNoticePhases/View?PPI=CO1.PPI.41277171&amp;isFromPublicArea=True&amp;isModal=False</t>
  </si>
  <si>
    <t>https://community.secop.gov.co/Public/Tendering/ContractNoticePhases/View?PPI=CO1.PPI.41276253&amp;isFromPublicArea=True&amp;isModal=False</t>
  </si>
  <si>
    <t>https://community.secop.gov.co/Public/Tendering/ContractNoticePhases/View?PPI=CO1.PPI.41219786&amp;isFromPublicArea=True&amp;isModal=False</t>
  </si>
  <si>
    <t>https://community.secop.gov.co/Public/Tendering/ContractNoticePhases/View?PPI=CO1.PPI.41314110&amp;isFromPublicArea=True&amp;isModal=False</t>
  </si>
  <si>
    <t>https://community.secop.gov.co/Public/Tendering/ContractNoticePhases/View?PPI=CO1.PPI.41278521&amp;isFromPublicArea=True&amp;isModal=False</t>
  </si>
  <si>
    <t>https://community.secop.gov.co/Public/Tendering/ContractNoticePhases/View?PPI=CO1.PPI.41277484&amp;isFromPublicArea=True&amp;isModal=False</t>
  </si>
  <si>
    <t>https://community.secop.gov.co/Public/Tendering/ContractNoticePhases/View?PPI=CO1.PPI.41276350&amp;isFromPublicArea=True&amp;isModal=False</t>
  </si>
  <si>
    <t>https://community.secop.gov.co/Public/Tendering/ContractNoticePhases/View?PPI=CO1.PPI.41278748&amp;isFromPublicArea=True&amp;isModal=False</t>
  </si>
  <si>
    <t>https://community.secop.gov.co/Public/Tendering/ContractNoticePhases/View?PPI=CO1.PPI.41279028&amp;isFromPublicArea=True&amp;isModal=False</t>
  </si>
  <si>
    <t>https://community.secop.gov.co/Public/Tendering/ContractNoticePhases/View?PPI=CO1.PPI.40840006&amp;isFromPublicArea=True&amp;isModal=False</t>
  </si>
  <si>
    <t>https://community.secop.gov.co/Public/Tendering/ContractNoticePhases/View?PPI=CO1.PPI.41313941&amp;isFromPublicArea=True&amp;isModal=False</t>
  </si>
  <si>
    <t>https://community.secop.gov.co/Public/Tendering/ContractNoticePhases/View?PPI=CO1.PPI.40834856&amp;isFromPublicArea=True&amp;isModal=False</t>
  </si>
  <si>
    <t>https://community.secop.gov.co/Public/Tendering/ContractNoticePhases/View?PPI=CO1.PPI.40840590&amp;isFromPublicArea=True&amp;isModal=False</t>
  </si>
  <si>
    <t>https://community.secop.gov.co/Public/Tendering/ContractNoticePhases/View?PPI=CO1.PPI.41278872&amp;isFromPublicArea=True&amp;isModal=False</t>
  </si>
  <si>
    <t>https://community.secop.gov.co/Public/Tendering/ContractNoticePhases/View?PPI=CO1.PPI.40870214&amp;isFromPublicArea=True&amp;isModal=False</t>
  </si>
  <si>
    <t>https://community.secop.gov.co/Public/Tendering/ContractNoticePhases/View?PPI=CO1.PPI.40842923&amp;isFromPublicArea=True&amp;isModal=False</t>
  </si>
  <si>
    <t>https://community.secop.gov.co/Public/Tendering/ContractNoticePhases/View?PPI=CO1.PPI.41314403&amp;isFromPublicArea=True&amp;isModal=False</t>
  </si>
  <si>
    <t>https://community.secop.gov.co/Public/Tendering/ContractNoticePhases/View?PPI=CO1.PPI.41313981&amp;isFromPublicArea=True&amp;isModal=False</t>
  </si>
  <si>
    <t>https://community.secop.gov.co/Public/Tendering/OpportunityDetail/Index?noticeUID=CO1.NTC.8695544&amp;isFromPublicArea=True&amp;isModal=False</t>
  </si>
  <si>
    <t>https://community.secop.gov.co/Public/Tendering/ContractNoticePhases/View?PPI=CO1.PPI.41229277&amp;isFromPublicArea=True&amp;isModal=False</t>
  </si>
  <si>
    <t>https://community.secop.gov.co/Public/Tendering/ContractNoticePhases/View?PPI=CO1.PPI.39265606&amp;isFromPublicArea=True&amp;isModal=False</t>
  </si>
  <si>
    <t>https://community.secop.gov.co/Public/Tendering/ContractNoticePhases/View?PPI=CO1.PPI.41314861&amp;isFromPublicArea=True&amp;isModal=False</t>
  </si>
  <si>
    <t>179-2025</t>
  </si>
  <si>
    <t>184-2025</t>
  </si>
  <si>
    <t>191-2025</t>
  </si>
  <si>
    <t>182-2025</t>
  </si>
  <si>
    <t>190-2025</t>
  </si>
  <si>
    <t>189-2025</t>
  </si>
  <si>
    <t>195-2025</t>
  </si>
  <si>
    <t>Prestar los servicios de apoyo profesional para la Gerencia de Litigios, con el fin de contribuir al fortalecimiento en la gestión y seguimiento de los Procesos Judiciales, Procedimientos Administrativos y Procesos de Responsabilidad Fiscal a nivel Nacional, que le sean asignados.</t>
  </si>
  <si>
    <t>JOSE DAGOBERTO COTES GUZMAN</t>
  </si>
  <si>
    <t>Prestar sus servicios profesionales de manera personal, para apoyar al área de SARLAFT de la Gerencia de Riesgos. Identificación, análisis, monitoreo, control, mitigación y reporte de riesgos asociados al LA/FT, así como en la elaboración de documentos jurídicos, revisión de operaciones inusuales.</t>
  </si>
  <si>
    <t>JEAM NICOLAS ORBEGOZO FORERO</t>
  </si>
  <si>
    <t>Prestar sus servicios como abogado para dar apoyo jurídico y técnico en el proceso de indemnizaciones de los ramos SOAT, Vida y Accidentes Personales.</t>
  </si>
  <si>
    <t>ANDREY MEDINA CAICEDO</t>
  </si>
  <si>
    <t>VALENTINA BAQUERO TONKIN</t>
  </si>
  <si>
    <t>PAOLA ESPERANZA PEDREROS MUÑOZ</t>
  </si>
  <si>
    <t>JOHANN FABIAN LOPEZ GAITAN</t>
  </si>
  <si>
    <t>Prestar los servicios profesionales especializados para apoyar en temáticas de análisis, diseño e implementación de reportería y tableros de control, usando técnicas de Inteligencia de negocio.</t>
  </si>
  <si>
    <t>ANDRES JESUS LINDARTE NIÑO</t>
  </si>
  <si>
    <t>183-2025</t>
  </si>
  <si>
    <t>Prestar los servicios de apoyo jurídico y técnico al proceso de indemnizaciones de los ramos Soat y Accidentes personales.</t>
  </si>
  <si>
    <t>LINA MARCELA OVALLOS GAZABON</t>
  </si>
  <si>
    <t>168-2025</t>
  </si>
  <si>
    <t>Prestar el servicio de capacitación a los miembros de Junta Directiva de LA PREVISORA S.A. dirigida al desarrollo y fortalecimiento de competencias y conocimientos que permitan ejercer sus funciones.</t>
  </si>
  <si>
    <t>INSTITUTO COLOMBIANO DE GOBIERNO CORPORATIVO</t>
  </si>
  <si>
    <t>174-2025</t>
  </si>
  <si>
    <t xml:space="preserve">Representar en calidad pasiva a LA PREVISORA S.A. en los litigios
relacionados con el giro del negocio y que por tener vinculadas pólizas con reaseguro facultativo y/o control de reclamos, le sean asignados. </t>
  </si>
  <si>
    <t>VIVAS &amp; URIBE ABOGADOS SAS</t>
  </si>
  <si>
    <t>177-2025</t>
  </si>
  <si>
    <t>VELEZ GUTIERREZ ABOGADOS S.A.S.,</t>
  </si>
  <si>
    <t>178-2025</t>
  </si>
  <si>
    <t>ALEMAN ABOGADOS Y CONSULTORES S.A.S</t>
  </si>
  <si>
    <t>180-2025</t>
  </si>
  <si>
    <t>Prestar el servicio de diseño y aplicación de las pruebas de conocimiento en la modalidad de ingreso y/o ascenso para los cargos que se requieran, con lo cual también permitirá el uso y administración de su plataforma virtual y el alquiler de salones con los equipos de cómputo
necesarios.</t>
  </si>
  <si>
    <t>181-2025</t>
  </si>
  <si>
    <t>CASTILLO &amp; CASTILLO CONSULTORES EN DERECHO S.A.S.</t>
  </si>
  <si>
    <t>185-2025</t>
  </si>
  <si>
    <t>186-2025</t>
  </si>
  <si>
    <t>ERNST &amp; YOUNG S A S</t>
  </si>
  <si>
    <t>Representar en calidad pasiva a LA PREVISORA S.A, en litigios
relacionados con el giro del negocio y que por tener vinculadas pólizas con reaseguro facultativo y/o control de reclamos, le sean asignados.</t>
  </si>
  <si>
    <t>DIAZ GRANADOS &amp; ABOGADOS CONSULTORES S A S</t>
  </si>
  <si>
    <t>188-2025</t>
  </si>
  <si>
    <t>Representar en calidad pasiva a LA PREVISORA S.A. en los litigios relacionados con el giro del negocio y que por tener vinculadas pólizas con reaseguro facultativo y/o control de reclamos, le sean asignados.</t>
  </si>
  <si>
    <t>192-2025</t>
  </si>
  <si>
    <t xml:space="preserve">Prestar sus servicios para el desarrollo de herramientas y mecanismos, así como la generación de actividades demostrativas y/o de gamificación soportadas en tecnologías disruptivas como la inteligencia artificial, automatización, internet de las cosas, videojuegos, experiencias inmersivas, entre otras, que permitan el apalancamiento de la transformación digital en la Entidad. </t>
  </si>
  <si>
    <t>193-2025</t>
  </si>
  <si>
    <t>194-2025</t>
  </si>
  <si>
    <t xml:space="preserve">Prestar los servicios de consultoría para desarrollar y ejecutar las pruebas de los planes de continuidad de negocio y gestión de crisis establecidos por La Previsora, conforme a lo reglamentado, con el fin de mitigar los riesgos desencadenados por eventuales desastres naturales, fallas de infraestructura, amenazas internas, ruptura de servicios críticos, cambios legales y regulatorios, eventos de salud pública, daños reputacionales, ciberataques, fallas tecnológicas, entre otras.    </t>
  </si>
  <si>
    <t>INFRAESTRUCTURAS SEGURAS S.A.S.</t>
  </si>
  <si>
    <t>Suministrar ochenta y dos (82) bonos de carbono en el Proyecto REDD+-PAZCÍFICO sur, con el fin de compensar la huella de carbono institucional de La Previsora.</t>
  </si>
  <si>
    <t>CO2CERO S.A.S BIC</t>
  </si>
  <si>
    <t>196-2025</t>
  </si>
  <si>
    <t>197-2025</t>
  </si>
  <si>
    <t>Prestar el servicio de elaboración y suministro de piezas gráficas impresas correspondientes al material publicitario y merchandising derivado de la estrategia de mercadeo y comunicación de LA PREVISORA S.A.</t>
  </si>
  <si>
    <t>MULTI IMPRESOS SAS</t>
  </si>
  <si>
    <t>Contratar la inscripción y participación de dos (2) funcionarios en el XVI foro internacional de la calidad.</t>
  </si>
  <si>
    <t>198-2025</t>
  </si>
  <si>
    <t>199-2025</t>
  </si>
  <si>
    <t xml:space="preserve">Prestación de servicios profesionales para la revisión anual de la calificación de “Fortaleza Financiera”. </t>
  </si>
  <si>
    <t>FITCH RATINGS COLOMBIA S A SOCIEDAD CALIFICADORA DE VALORES</t>
  </si>
  <si>
    <t>Suministro de un (1) aire acondicionado tipo Mini-Split de pared.</t>
  </si>
  <si>
    <t>AIR CONTROL SYSTEMS S.A.S.</t>
  </si>
  <si>
    <t>201-2025</t>
  </si>
  <si>
    <t>200-2025</t>
  </si>
  <si>
    <t>Suministro de dos (2) sillas presidente neffi color negro marca Ergonomus.</t>
  </si>
  <si>
    <t>SUMIMAS S A S</t>
  </si>
  <si>
    <t>Suministro de una (1) silla giratoria de cabecero y espaldar en malla poliéster con apoyo lumbar regulable.</t>
  </si>
  <si>
    <t>WONDERFUL MUEBLES SPAZIO W S.A. S.</t>
  </si>
  <si>
    <t>Gerencia Contable Y Tributaria
Gerencia De Tecnología De La Información</t>
  </si>
  <si>
    <t>176-2025</t>
  </si>
  <si>
    <t>Prestar el servicio de Administración de Riesgos para el ramo de Transportes, de los clientes asignados por la Oficina de Transportes y la Oficina de Prevención de Riesgos.</t>
  </si>
  <si>
    <t>187-2025</t>
  </si>
  <si>
    <t>Prestar sus servicios profesionales de apoyo a la gestión técnica de la Gerencia técnica de Indemnizaciones SOAT, VIDA Y AP con el fin de realizar el cargue de documentos, hacer revisión de proceso de recepción de reclamaciones, objeciones, análisis y validación de todas las novedades.</t>
  </si>
  <si>
    <t>LAURA ALEJANDRA FIGUEROA REYES</t>
  </si>
  <si>
    <t>202-2025</t>
  </si>
  <si>
    <t>203-2025</t>
  </si>
  <si>
    <t>204-2025</t>
  </si>
  <si>
    <t>CONSULTORIAS INTEGRALES Y SOLUCIONES INFORMATICAS, CONTABLES Y ADMINISTRATIVAS S.A.S.</t>
  </si>
  <si>
    <t>prestar el servicio de mantenimiento, soporte técnico, capacitación y desarrollos de la plataforma ISOLUCION.</t>
  </si>
  <si>
    <t>ISOLUCION SISTEMAS INTEGRADOS DE GESTION S.A</t>
  </si>
  <si>
    <t>Contratar la inscripción y participación de un (1) funcionario en el evento #Somos LFM- Latam Fintech Market.</t>
  </si>
  <si>
    <t>ASOCIACION COLOMBIANA DE EMPRESAS DE TECNOLOGIA E INNOVACION FINANCIERA</t>
  </si>
  <si>
    <t>205-2025</t>
  </si>
  <si>
    <t>206-2025</t>
  </si>
  <si>
    <t>207-2025</t>
  </si>
  <si>
    <t>Suministro de 2 tablets para el sistema de control de activos</t>
  </si>
  <si>
    <t>Prestar el servicio de inspección y certificación, conforme a la legislación vigente, con los requisitos establecidos en la Norma Técnica Colombiana de los transportes verticales y puertas eléctricas.</t>
  </si>
  <si>
    <t xml:space="preserve">INSPECCION Y CERTIFICACION MULTINACIONAL SAS </t>
  </si>
  <si>
    <t>Realizar el desmonte del sistema de detección y extinción automática de incendio.</t>
  </si>
  <si>
    <t xml:space="preserve"> FAST FIRE DE COLOMBIA S.A.S.</t>
  </si>
  <si>
    <t>208-2025</t>
  </si>
  <si>
    <t>Realizar el desmonte, embalaje y traslado de una unidad de aire acondicionado de precisión de 16 TR de refrigeración, marca Data Aire, junto con su condensadora externa, actualmente ubicadas respectivamente en el piso 8 y en la terraza del edificio de la Casa Matriz.</t>
  </si>
  <si>
    <t>209-2025</t>
  </si>
  <si>
    <t xml:space="preserve">Realizar una auditoría energética en la Casa Matriz de LA PREVISORA S.A., la cual incluirá la medición, análisis y observación detallada de los usos y consumos energéticos. </t>
  </si>
  <si>
    <t>DENKEN S.A.S</t>
  </si>
  <si>
    <t>210-2025</t>
  </si>
  <si>
    <t>211-2025</t>
  </si>
  <si>
    <t>Realizar el mantenimiento especializado e integral de la fachada, pisos, antepecho y ventaneria incluyendo marcos del edificio de Casa Matriz.</t>
  </si>
  <si>
    <t>GOLDAM SERVICES S.A.S.</t>
  </si>
  <si>
    <t>212-2025</t>
  </si>
  <si>
    <t>213-2025</t>
  </si>
  <si>
    <t>Prestar los servicios a través de una persona jurídica especializada para apoyar la gestión de la Seguridad de la Información y la Ciberseguridad de la compañía.</t>
  </si>
  <si>
    <t>NEWNET S.A</t>
  </si>
  <si>
    <t>Entrega de material promocional con la marca de LA PREVISORA S.A., para participar publicitariamente en ferias, exposiciones y seminarios, generando estatus y reconocimiento en actividades comerciales.</t>
  </si>
  <si>
    <t>214-2025</t>
  </si>
  <si>
    <t>Prestar el Servicio integral arrendamiento de Equipos de Cómputo y Gestión de Servicios de TI.</t>
  </si>
  <si>
    <t>OPEN GROUP SAS</t>
  </si>
  <si>
    <t>Prestar los servicios de acompañamiento y validación de documentos para la correcta implementación del Plan de Cierre de Brechas definido por la Oficina de Control Interno de LA PREVISORA S.A., con el fin de documentar en debida forma los requisitos definidos en las NOGAI y realizar la actualización de la metodología y documentación del proceso.</t>
  </si>
  <si>
    <t>215-2025</t>
  </si>
  <si>
    <t>PMI BOGOTA COLOMBIA CHAPTER.</t>
  </si>
  <si>
    <t>216-2025</t>
  </si>
  <si>
    <t>Prestar el servicio a nivel nacional de auditoría interna, valoración del riesgo, auditoría de calidad, ambiental, innovación y seguimiento del Sistema de Control Interno.</t>
  </si>
  <si>
    <t>https://community.secop.gov.co/Public/Tendering/ContractNoticePhases/View?PPI=CO1.PPI.41328911&amp;isFromPublicArea=True&amp;isModal=False</t>
  </si>
  <si>
    <t>https://community.secop.gov.co/Public/Tendering/ContractNoticePhases/View?PPI=CO1.PPI.39295184&amp;isFromPublicArea=True&amp;isModal=False</t>
  </si>
  <si>
    <t>https://community.secop.gov.co/Public/Tendering/ContractNoticePhases/View?PPI=CO1.PPI.42205821&amp;isFromPublicArea=True&amp;isModal=False</t>
  </si>
  <si>
    <t>https://community.secop.gov.co/Public/Tendering/ContractNoticePhases/View?PPI=CO1.PPI.41697832&amp;isFromPublicArea=True&amp;isModal=False</t>
  </si>
  <si>
    <t>https://community.secop.gov.co/Public/Tendering/ContractNoticePhases/View?PPI=CO1.PPI.42334866&amp;isFromPublicArea=True&amp;isModal=False</t>
  </si>
  <si>
    <t xml:space="preserve">https://community.secop.gov.co/Public/Tendering/ContractNoticePhases/View?PPI=CO1.PPI.42201877&amp;isFromPublicArea=True&amp;isModal=False </t>
  </si>
  <si>
    <t>https://community.secop.gov.co/Public/Tendering/ContractNoticePhases/View?PPI=CO1.PPI.41911560&amp;isFromPublicArea=True&amp;isModal=False</t>
  </si>
  <si>
    <t>https://community.secop.gov.co/Public/Tendering/ContractNoticePhases/View?PPI=CO1.PPI.41914397&amp;isFromPublicArea=True&amp;isModal=False</t>
  </si>
  <si>
    <t>https://community.secop.gov.co/Public/Tendering/ContractNoticePhases/View?PPI=CO1.PPI.41313974&amp;isFromPublicArea=True&amp;isModal=False</t>
  </si>
  <si>
    <t>https://community.secop.gov.co/Public/Tendering/ContractNoticePhases/View?PPI=CO1.PPI.42170432&amp;isFromPublicArea=True&amp;isModal=False</t>
  </si>
  <si>
    <t>https://community.secop.gov.co/Public/Tendering/ContractNoticePhases/View?PPI=CO1.PPI.42207605&amp;isFromPublicArea=True&amp;isModal=False</t>
  </si>
  <si>
    <t>https://community.secop.gov.co/Public/Tendering/OpportunityDetail/Index?noticeUID=CO1.NTC.8696180&amp;isFromPublicArea=True&amp;isModal=False</t>
  </si>
  <si>
    <t>https://community.secop.gov.co/Public/Tendering/ContractNoticePhases/View?PPI=CO1.PPI.41315547&amp;isFromPublicArea=True&amp;isModal=False</t>
  </si>
  <si>
    <t>https://community.secop.gov.co/Public/Tendering/ContractNoticePhases/View?PPI=CO1.PPI.42200877&amp;isFromPublicArea=True&amp;isModal=False</t>
  </si>
  <si>
    <t xml:space="preserve">https://community.secop.gov.co/Public/Tendering/ContractNoticePhases/View?PPI=CO1.PPI.42208367&amp;isFromPublicArea=True&amp;isModal=False </t>
  </si>
  <si>
    <t>https://community.secop.gov.co/Public/Tendering/ContractNoticePhases/View?PPI=CO1.PPI.42201081&amp;isFromPublicArea=True&amp;isModal=False</t>
  </si>
  <si>
    <t>https://community.secop.gov.co/Public/Tendering/ContractNoticePhases/View?PPI=CO1.PPI.41734140&amp;isFromPublicArea=True&amp;isModal=False</t>
  </si>
  <si>
    <t>https://community.secop.gov.co/Public/Tendering/ContractNoticePhases/View?PPI=CO1.PPI.42200163&amp;isFromPublicArea=True&amp;isModal=False</t>
  </si>
  <si>
    <t>https://community.secop.gov.co/Public/Tendering/OpportunityDetail/Index?noticeUID=CO1.NTC.8669151&amp;a…</t>
  </si>
  <si>
    <t>https://community.secop.gov.co/Public/Tendering/ContractNoticePhases/View?PPI=CO1.PPI.41315824&amp;isFromPublicArea=True&amp;isModal=False</t>
  </si>
  <si>
    <t>https://community.secop.gov.co/Public/Tendering/ContractNoticePhases/View?PPI=CO1.PPI.42175120&amp;…</t>
  </si>
  <si>
    <t>https://community.secop.gov.co/Public/Tendering/ContractNoticePhases/View?PPI=CO1.PPI.42238741&amp;isFromPublicArea=True&amp;isModal=False</t>
  </si>
  <si>
    <t>https://community.secop.gov.co/Public/Tendering/ContractNoticePhases/View?PPI=CO1.PPI.42231811&amp;isFromPublicArea=True&amp;isModal=False</t>
  </si>
  <si>
    <t>https://community.secop.gov.co/Public/Tendering/ContractNoticePhases/View?PPI=CO1.PPI.41906772&amp;isFromPublicArea=True&amp;isModal=False</t>
  </si>
  <si>
    <t>https://community.secop.gov.co/Public/Tendering/ContractNoticePhases/View?PPI=CO1.PPI.42396730&amp;isFromPublicArea=True&amp;isModal=False</t>
  </si>
  <si>
    <t>https://community.secop.gov.co/Public/Tendering/ContractNoticePhases/View?PPI=CO1.PPI.41880005&amp;isFromPublicArea=True&amp;isModal=False</t>
  </si>
  <si>
    <t>https://community.secop.gov.co/Public/Tendering/ContractNoticePhases/View?PPI=CO1.PPI.42179454&amp;…</t>
  </si>
  <si>
    <t>https://community.secop.gov.co/Public/Tendering/ContractNoticePhases/View?PPI=CO1.PPI.41905602&amp;isFromPublicArea=True&amp;isModal=False</t>
  </si>
  <si>
    <t>https://community.secop.gov.co/Public/Tendering/OpportunityDetail/Index?noticeUID=CO1.NTC.8712129&amp;isFromPublicArea=True&amp;isModal=False</t>
  </si>
  <si>
    <t>https://community.secop.gov.co/Public/Tendering/ContractNoticePhases/View?PPI=CO1.PPI.41730445&amp;…</t>
  </si>
  <si>
    <t>https://community.secop.gov.co/Public/Tendering/ContractNoticePhases/View?PPI=CO1.PPI.42422456&amp;isFromPublicArea=True&amp;isModal=False</t>
  </si>
  <si>
    <t>https://community.secop.gov.co/Public/Tendering/ContractNoticePhases/View?PPI=CO1.PPI.42114488&amp;isFromPublicArea=True&amp;isModal=False</t>
  </si>
  <si>
    <t>https://community.secop.gov.co/Public/Tendering/ContractNoticePhases/View?PPI=CO1.PPI.42417752&amp;isFromPublicArea=True&amp;isModal=False</t>
  </si>
  <si>
    <t>https://community.secop.gov.co/Public/Tendering/ContractNoticePhases/View?PPI=CO1.PPI.42419133&amp;isFromPublicArea=True&amp;isModal=False</t>
  </si>
  <si>
    <t>https://community.secop.gov.co/Public/Tendering/ContractNoticePhases/View?PPI=CO1.PPI.42419788&amp;isFromPublicArea=True&amp;isModal=False</t>
  </si>
  <si>
    <t>https://community.secop.gov.co/Public/Tendering/ContractNoticePhases/View?PPI=CO1.PPI.42603554&amp;…</t>
  </si>
  <si>
    <t>https://community.secop.gov.co/Public/Tendering/ContractNoticePhases/View?PPI=CO1.PPI.41857547&amp;…</t>
  </si>
  <si>
    <t>https://community.secop.gov.co/Public/Tendering/ContractNoticePhases/View?PPI=CO1.PPI.42392567&amp;…</t>
  </si>
  <si>
    <t>https://community.secop.gov.co/Public/Tendering/ContractNoticePhases/View?PPI=CO1.PPI.42254541&amp;…</t>
  </si>
  <si>
    <t>https://community.secop.gov.co/Public/Tendering/ContractNoticePhases/View?PPI=CO1.PPI.42400710&amp;…</t>
  </si>
  <si>
    <t>https://community.secop.gov.co/Public/Tendering/ContractNoticePhases/View?PPI=CO1.PPI.42418358&amp;…</t>
  </si>
  <si>
    <t>https://community.secop.gov.co/Public/Tendering/ContractNoticePhases/View?PPI=CO1.PPI.42401774&amp;…</t>
  </si>
  <si>
    <t>https://community.secop.gov.co/Public/Tendering/ContractNoticePhases/View?PPI=CO1.PPI.42423172&amp;isFromPublicArea=True&amp;isModal=False</t>
  </si>
  <si>
    <t>https://community.secop.gov.co/Public/Tendering/ContractNoticePhases/View?PPI=CO1.PPI.42975345&amp;…</t>
  </si>
  <si>
    <t>https://community.secop.gov.co/Public/Tendering/ContractNoticePhases/View?PPI=CO1.PPI.42988353&amp;…</t>
  </si>
  <si>
    <t>https://community.secop.gov.co/Public/Tendering/ContractNoticePhases/View?PPI=CO1.PPI.42986415&amp;…</t>
  </si>
  <si>
    <t>https://community.secop.gov.co/Public/Tendering/ContractNoticePhases/View?PPI=CO1.PPI.42989036&amp;…</t>
  </si>
  <si>
    <t>https://community.secop.gov.co/Public/Tendering/ContractNoticePhases/View?PPI=CO1.PPI.43007841&amp;…</t>
  </si>
  <si>
    <t>https://community.secop.gov.co/Public/Tendering/ContractNoticePhases/View?PPI=CO1.PPI.42985348&amp;…</t>
  </si>
  <si>
    <t>https://community.secop.gov.co/Public/Tendering/ContractNoticePhases/View?PPI=CO1.PPI.42982844&amp;…</t>
  </si>
  <si>
    <t>https://community.secop.gov.co/Public/Tendering/ContractNoticePhases/View?PPI=CO1.PPI.42984344&amp;…</t>
  </si>
  <si>
    <t>https://community.secop.gov.co/Public/Tendering/ContractNoticePhases/View?PPI=CO1.PPI.42983559&amp;…</t>
  </si>
  <si>
    <t>https://community.secop.gov.co/Public/Tendering/ContractNoticePhases/View?PPI=CO1.PPI.43008972&amp;…</t>
  </si>
  <si>
    <t>https://community.secop.gov.co/Public/Tendering/ContractNoticePhases/View?PPI=CO1.PPI.42977144&amp;…</t>
  </si>
  <si>
    <t>https://community.secop.gov.co/Public/Tendering/ContractNoticePhases/View?PPI=CO1.PPI.43014936&amp;…</t>
  </si>
  <si>
    <t>https://community.secop.gov.co/Public/Tendering/ContractNoticePhases/View?PPI=CO1.PPI.42982016&amp;…</t>
  </si>
  <si>
    <t>https://operaciones.colombiacompra.gov.co/tienda-virtual-del-estado-colombiano/ordenes-compra/145773</t>
  </si>
  <si>
    <t xml:space="preserve">Prestar los servicios profesionales, con plena autonomía técnica, administrativa y operacional para apoyar a la Gerencia Contable y Tributaria en la evaluación, clasificación, identificación y elaboración de planes de acción para mejorar el proceso de depuración de terceros. </t>
  </si>
  <si>
    <t>Suministrar el licenciamiento requerido para el funcionamiento y/u optimización del software Rocketbot que permita realizar las automatizaciones existentes y/o aquellas a desarrollar de acuerdo con las necesidades de LA PREVISORA S.A., lo que incluye igualmente la prestación del servicio de soporte y mantenimiento a través de una bolsa de horas (Hr Cross).</t>
  </si>
  <si>
    <t>Prestar el servicio de soporte, integración y mantenimiento de los micrositios y aplicativos integrados en el portal web, formulario de Autos, Formulario IPS y el Portal externo de Bancamía, incluyendo los mantenimientos evolutivos.</t>
  </si>
  <si>
    <t>217-2025</t>
  </si>
  <si>
    <t>219-2025</t>
  </si>
  <si>
    <t>220-2025</t>
  </si>
  <si>
    <t>226-2025</t>
  </si>
  <si>
    <t>218-2025</t>
  </si>
  <si>
    <t>221-2025</t>
  </si>
  <si>
    <t>222-2025</t>
  </si>
  <si>
    <t>231-2025</t>
  </si>
  <si>
    <t>227-2025</t>
  </si>
  <si>
    <t>225-2025</t>
  </si>
  <si>
    <t>224-2025</t>
  </si>
  <si>
    <t>223-2025</t>
  </si>
  <si>
    <t>229-2025</t>
  </si>
  <si>
    <t>230-2025</t>
  </si>
  <si>
    <t>228-2025</t>
  </si>
  <si>
    <t>232-2025</t>
  </si>
  <si>
    <t>Entregar cuatro (04) dispositivos biométricos para la transmisión en la plataforma del RUNT, con el software requerido para su correcto funcionamiento y brindar garantía y soporte técnico durante el plazo de ejecución contractual.</t>
  </si>
  <si>
    <t>INDEEVO S.A.S.</t>
  </si>
  <si>
    <t>Prestar el servicio de licenciamiento de los módulos del Sistema SAS®, incluyendo el servicio de soporte técnico especializado e integral a la plataforma SAS® y a brindar capacitación a los funcionarios que LA PREVISORA S.A. designe del curso denominado Workshop SAS® Office Analytics.</t>
  </si>
  <si>
    <t>STORAGE AVAILABILITY SOLUTIONS S.A.S</t>
  </si>
  <si>
    <t>Realizar el acompañamiento experto para la actualización anual de la estrategia mediante una metodología ágil y participativa, que permita mapear, priorizar y alinear los aspectos críticos para asegurar la pertinencia del plan estratégico vigente.</t>
  </si>
  <si>
    <t>Suministro de elementos del SGSST, elementos de confort, con las condiciones ergonómicas necesarias, así como los elementos de dotación para la Brigada de emergencia que se requieran.</t>
  </si>
  <si>
    <t>JUAN DAVID PICO TRASLAVIÑA</t>
  </si>
  <si>
    <t>Prestar el servicio de licenciamiento, soporte, mantenimiento y actualización del Software Midas.</t>
  </si>
  <si>
    <t>HEINSOHN BUSINESS TECHNOLOGY S.A. BIC</t>
  </si>
  <si>
    <t>MARIA NANCY PARADA DIAZ</t>
  </si>
  <si>
    <t>En su calidad de apoderado, representar exclusivamente en acciones constitucionales de tutela, incidentes de desacato, el reporte de fallos, impugnaciones, acreditación del cumplimiento de fallos y todas las gestiones necesarias para garantizar la adecuada defensa de los intereses de la compañía.</t>
  </si>
  <si>
    <t>Entregar una (1) impresora de códigos de barra marca ZEBRA.</t>
  </si>
  <si>
    <t>INGENIERIA ELECTRONICA Y SISTEMAS S.A.S</t>
  </si>
  <si>
    <t>Realizar el proceso de inscripción del funcionario, para la participación y asistencia en el XIII Congreso Latinoamericano de Seguros Marítimos.</t>
  </si>
  <si>
    <t>FUNDACION ALSUM COLOMBIA</t>
  </si>
  <si>
    <t>MARTHA LILIANA VILLAMIZAR MORALES</t>
  </si>
  <si>
    <t>DIEGO FERNANDO RIVEROS SANTAMARIA</t>
  </si>
  <si>
    <t>Realizar el proceso de inscripción de los funcionarios solicitados, para la participación y asistencia al 43° congreso nacional derecho laboral y seguridad social “Derecho laboral en evolución: Tendencias, desafíos y estrategias”.</t>
  </si>
  <si>
    <t>Realizar el proceso de inscripción de los funcionarios solicitados, para la participación y asistencia en el XI Congreso Colombiano de contratación pública.</t>
  </si>
  <si>
    <t>Gerencia De Litigios
Subgerencia de Recobros y Salvamentos  Subgerencia de Planeación y Proyectos de TI</t>
  </si>
  <si>
    <t>Prestar los servicios de revisión, ajuste y fortalecimiento del Manual de la Función de Cumplimiento Normativo (FCN) de LA PREVISORA S.A., que permitan asegurar su adecuación frente a los estándares regulatorios establecidos por la Superintendencia Financiera de Colombia (SFC).</t>
  </si>
  <si>
    <t>https://community.secop.gov.co/Public/Tendering/ContractNoticePhases/View?PPI=CO1.PPI.43011391&amp;…</t>
  </si>
  <si>
    <t>https://community.secop.gov.co/Public/Tendering/ContractNoticePhases/View?PPI=CO1.PPI.43015789&amp;…</t>
  </si>
  <si>
    <t>https://community.secop.gov.co/Public/Tendering/ContractNoticePhases/View?PPI=CO1.PPI.43013079&amp;…</t>
  </si>
  <si>
    <t>238-2025</t>
  </si>
  <si>
    <t>233-2025</t>
  </si>
  <si>
    <t>234-2025</t>
  </si>
  <si>
    <t>235-2025</t>
  </si>
  <si>
    <t>242-2025</t>
  </si>
  <si>
    <t>241-2025</t>
  </si>
  <si>
    <t>239-2025</t>
  </si>
  <si>
    <t>237-2025</t>
  </si>
  <si>
    <t>240-2025</t>
  </si>
  <si>
    <t>236-2025</t>
  </si>
  <si>
    <t>243-2025</t>
  </si>
  <si>
    <t>247-2025</t>
  </si>
  <si>
    <t>Gerencia Contable y Tributaria
Gerencia de Riesgos</t>
  </si>
  <si>
    <t>Licenciamiento de la herramienta de gestión de servicios tecnológicos de la mesa de servicio, incluido capacitación, parametrización, soporte y mantenimiento.</t>
  </si>
  <si>
    <t>Desarrollar un plan de mentoría especializado en la evaluación de la Junta Directiva de La Previsora S.A. Compañía de Seguros. Aplicando una metodología que se enfoque en examinar la efectividad y eficacia para dirigir y supervisar la gestión y operación de la Compañía, permitiendo asegurar que (i) está bajo control, (ii) sus riesgos son adecuadamente identificados y mitigados, (iii) los objetivos, estrategias y políticas del negocio son apropiados y son ejecutados efectivamente y (iv) las políticas de Gobierno Corporativo y gestión de riesgos son suficientes.</t>
  </si>
  <si>
    <t>Realizar el avalúo NIIF con fines contables, y estudio de títulos a todos los activos fijos inmuebles de propiedad de LA PREVISORA S.A. en las ciudades que se indique.</t>
  </si>
  <si>
    <t>Representar en calidad tanto activa como pasiva a LA PREVISORA S.A. COMPAÑÍA DE SEGUROS en los procesos judiciales, audiencias prejudiciales, procesos de responsabilidad fiscal, procedimientos administrativos, arbitramentos y en general en todo tipo de litigio o procedimiento encomendado.</t>
  </si>
  <si>
    <t>Prestar los servicios profesionales para la implementación y operatividad de la herramienta lúdico-pedagógica Pasaje Seguro.</t>
  </si>
  <si>
    <t>ADMINISTRACION OPERATIVA AUTOMOTRIZ SAS</t>
  </si>
  <si>
    <t>ECO CORP SAS</t>
  </si>
  <si>
    <t>SOLUCIONIS LEGAL S.A.S</t>
  </si>
  <si>
    <t>SOLUCIONES JURIDICAS DE LA BARRERA S.A.S.</t>
  </si>
  <si>
    <t>LEXIA ABOGADOS S.A.S</t>
  </si>
  <si>
    <t>ECOLOGIC S A S BIC</t>
  </si>
  <si>
    <t>https://community.secop.gov.co/Public/Tendering/ContractNoticePhases/View?PPI=CO1.PPI.43376110&amp;…</t>
  </si>
  <si>
    <t>https://community.secop.gov.co/Public/Tendering/ContractNoticePhases/View?PPI=CO1.PPI.43783044&amp;…</t>
  </si>
  <si>
    <t>https://community.secop.gov.co/Public/Tendering/ContractNoticePhases/View?PPI=CO1.PPI.43782206&amp;…</t>
  </si>
  <si>
    <t>Realizar el proceso de inscripción de los funcionarios designados por LA PREVISORA S.A., para la participación y asistencia en el ESG Training.</t>
  </si>
  <si>
    <t>Servicio especializado de vehículo de reemplazo al que hace referencia el seguro de automóviles para vehículos livianos, ofrecido en el portafolio de LA PREVISORA S.A.</t>
  </si>
  <si>
    <t>Servicio de mantenimiento preventivo, correctivo y soporte técnico de la plataforma TOTAL REPORT, incluyendo los desarrollos en el aplicativo que sean requeridos por LA PREVISORA S.A.</t>
  </si>
  <si>
    <t>Servicios profesionales para apoyar al área de Secretaría General en la gestión, coordinación, seguimiento y consolidación de la información institucional relacionada con el Formulario Único de Reporte de Avance de la Gestión – FURAG, con el fin de fortalecer los procesos de planeación, seguimiento y reporte institucional asociados al Modelo Integrado de Planeación y Gestión – MIPG.</t>
  </si>
  <si>
    <t xml:space="preserve">Servicios profesionales para apoyar al área de Secretaría General en la participación, asistencia, transcripción y redacción de las actas de Comité de Presidencia y comités primarios que se celebren, así mismo, realizar la revisión y seguimiento del cumplimiento de los compromisos y planes de acción que indiquen los diferentes entes de control internos y externos. </t>
  </si>
  <si>
    <t>Servicios especializados para asesorar a la Secretaría General en asuntos jurídicos, contractuales y convencionales, realizando la verificación jurídica y técnica en cuanto al seguimiento y control de los requerimientos de la Superintendencia Financiera de Colombia, así como a otros entes de control.</t>
  </si>
  <si>
    <t>Servicios de apoyo a la gestión técnica operativa del proceso de Indemnizaciones de los ramo sde SOAT, VIDA y ACCIDENTES PERSONALES.</t>
  </si>
  <si>
    <t>Prestar servicios especializados de asesoría financiera a la Secretaría General, los cuales comprenderán la revisión y análisis de los aspectos contractuales de los procesos adelantados por la Secretaría General y sus dependencias., seguimiento y control al cumplimiento del presupuesto asignado a la Secretaría General, la emisión de recomendaciones y conceptos técnicos que contribuyan a la adecuada planeación, ejecución y control de los recursos financieros.</t>
  </si>
  <si>
    <t xml:space="preserve">Realizar el proceso de inscripción de los funcionarios solicitados por LA PREVISORA S.A., para la participación y asistencia al XII Congreso Internacional de Gerencia de Proyectos, en la Ciudad de Bogotá D.C., 2025. </t>
  </si>
  <si>
    <t>https://community.secop.gov.co/Public/Tendering/ContractNoticePhases/View?PPI=CO1.PPI.43799051&amp;…</t>
  </si>
  <si>
    <t xml:space="preserve">Gerencia De Innovación Y Procesos 
Subgerencia de Mejoramiento de Procesos </t>
  </si>
  <si>
    <t>244-2025</t>
  </si>
  <si>
    <t>Prestar el servicio de mantenimiento y soporte a los aplicativos LevinAssets (LA) y Levin Assets Mobile (LAM) Impresora Zebra GK420.</t>
  </si>
  <si>
    <t>245-2025</t>
  </si>
  <si>
    <t>246-2025</t>
  </si>
  <si>
    <t>Gerencia De Tecnología De La Información
Subgerencia De Mantenimiento De Sistemas De Información</t>
  </si>
  <si>
    <t>Prestar sus servicios para el análisis, diseño, parametrización, pruebas, implementación, capacitación y configuración de requerimientos del Sistema de Gestión Documental en el aplicativo OnBase, así como el licenciamiento adicional.</t>
  </si>
  <si>
    <t>248-2025</t>
  </si>
  <si>
    <t xml:space="preserve">Proveer el licenciamiento de productos y servicios Microsoft, licenciamiento de sistema de video conferencia y los soportes técnicos sobre las plataformas.
</t>
  </si>
  <si>
    <t>249-2025</t>
  </si>
  <si>
    <t>250-2025</t>
  </si>
  <si>
    <t>Prestar los servicios de suministro, instalación, confguración, parametrización y afnamiento de tres (3) equipos switch de borde y dos (2) equipos AP junto con sus accesorios y soporte técnico especializado, conectividad y disponibilidad de los servicios de RED LAN.</t>
  </si>
  <si>
    <t>Prestar el servicio de administración delegada, actualización, soporte y mantenimiento de la herramienta de gestión documental OnBase en su versión actual, así como de las nuevas versiones que surjan durante la ejecución del contrato.</t>
  </si>
  <si>
    <t>INNOVACION APLICADA A LAS
TELECOMUNICACIONES - S.A.S. BIC</t>
  </si>
  <si>
    <t>251-2025</t>
  </si>
  <si>
    <t>252-2025</t>
  </si>
  <si>
    <t>Prestar el servicio de capacitación a intermediarios mediante WEBINARS con énfasis en ventas de seguros.</t>
  </si>
  <si>
    <t>DIEGO FERNANDO FONSECA BELLO</t>
  </si>
  <si>
    <t>INNER BUHO CONSULTORIA S.A.S.</t>
  </si>
  <si>
    <t>253-2025</t>
  </si>
  <si>
    <t>254-2025</t>
  </si>
  <si>
    <t>Migrar la infraestructura actual de la herramienta Spider Impact BSC Quickscore a AWS, asegurando disponibilidad, seguridad y escalabilidad y la adquisición de licencias permitiendo acceso total a las funcionalidades de la herramienta.</t>
  </si>
  <si>
    <t>Prestar el servicio de mantenimiento, revisión, nivelación, recarga y descarga, de los extintores de fuego.</t>
  </si>
  <si>
    <t>256-2025</t>
  </si>
  <si>
    <t>Entregar los productos de aseo institucional y café, en las cantidades y condiciones establecidas.</t>
  </si>
  <si>
    <t>257-2025</t>
  </si>
  <si>
    <t>Suministrar, armar e instalar el mobiliario conformado por 25 mesas y 100 sillas para el salón comedor de las instalaciones de La Previsora.</t>
  </si>
  <si>
    <t>TECNO MOBILIARIO S.A.S.</t>
  </si>
  <si>
    <t>258-2025</t>
  </si>
  <si>
    <t>259-2025</t>
  </si>
  <si>
    <t>SUMICORP LTDA.</t>
  </si>
  <si>
    <t>260-2025</t>
  </si>
  <si>
    <t>261-2025</t>
  </si>
  <si>
    <t>Suministro de personal temporal en misión, a fin de cubrir los reemplazos de los funcionarios, que se encuentren en vacaciones, en uso de licencia de maternidad, en incapacidad por enfermedad o por incrementos en la producción, y/o en los demás casos descritos en la Ley.</t>
  </si>
  <si>
    <t>Prestar asesoría administrativa que permita estructurar un plan estratégico de comunicación en la creación del Kit de bienvenida para nuestros asegurados personas naturales de los ramos autos y hogar.</t>
  </si>
  <si>
    <t>ACCION DEL CAUCA S.A.S.</t>
  </si>
  <si>
    <t>INTECHBRAND S.A.S.</t>
  </si>
  <si>
    <t>266-2025</t>
  </si>
  <si>
    <t>267-2025</t>
  </si>
  <si>
    <t>276-2025</t>
  </si>
  <si>
    <t>270-2025</t>
  </si>
  <si>
    <t>265-2025</t>
  </si>
  <si>
    <t>271-2025</t>
  </si>
  <si>
    <t>268-2025</t>
  </si>
  <si>
    <t>263-2025</t>
  </si>
  <si>
    <t>275-2025</t>
  </si>
  <si>
    <t>264-2025</t>
  </si>
  <si>
    <t>279-2025</t>
  </si>
  <si>
    <t>262-2025</t>
  </si>
  <si>
    <t>272-2025</t>
  </si>
  <si>
    <t>273-2025</t>
  </si>
  <si>
    <t>278-2025</t>
  </si>
  <si>
    <t>269-2025</t>
  </si>
  <si>
    <t>277-2025</t>
  </si>
  <si>
    <t>274-2025</t>
  </si>
  <si>
    <t>280-2025</t>
  </si>
  <si>
    <t>Otorgar el uso de la herramienta tecnológica de su propiedad que permita la gestión integral de atención de siniestros del ramo de automóviles, de pólizas expedidas por la Compañía.</t>
  </si>
  <si>
    <t>Permitir acceso a su página vía web para la consulta de bases de datos de información dispuesta por organismos nacionales e internacionales y obtener información asociada al LA/FT.</t>
  </si>
  <si>
    <t xml:space="preserve">Suministrar productos corporativos con la marca y el logo de La Previsora y de su programa de Educación Financiera “Saber Seguro”. </t>
  </si>
  <si>
    <t>Prestar los servicios de inspección de los bienes de propiedad de los clientes y/o asegurados, así como los  servicios de administración de riesgos y control de perdidas, riesgos en curso y/o por suscribir, asignados en las sucursales que se disponga.</t>
  </si>
  <si>
    <t xml:space="preserve">Realizar la participación de los funcionarios que designe la Compañía en los diferentes cursos, congresos, foros y seminarios que realiza el Centro Internacional de Estudios en Seguros - CISEG. </t>
  </si>
  <si>
    <t>Prestar el mantenimiento preventivo y correctivo del sistema de apantallamiento (pararrayos), sistema de puesta a tierra e Instalación de DPS.</t>
  </si>
  <si>
    <t>Entrega e instalación de una cámara Jabra y un soporte TV móvil, incluyendo la implementación y actualización de la interfaz gráfica de control.</t>
  </si>
  <si>
    <t xml:space="preserve">Prestar los servicios de consulta en línea y en batch de datos personales, información comercial y gestión de cobranza de personas naturales y/o jurídicas, que se encuentren en procesos de vinculación y/o vinculadas comercialmente. </t>
  </si>
  <si>
    <t>Prestar el servicio de mantenimiento preventivo y correctivo a los vehículos de propiedad de La Previsora.</t>
  </si>
  <si>
    <t>Servicios gremiales de la plataforma del Sistema Unificado de Consulta de Intermediarios de Seguros – SUCIS Gremial.</t>
  </si>
  <si>
    <t>Contratar la póliza de hospitalización y cirugía.</t>
  </si>
  <si>
    <t>Suministro y servicio de armado, ensamble e instalación de todo el mobiliario de oficina conformado por 14 sillas graduables y 14 mesas para casa matriz.</t>
  </si>
  <si>
    <t>Entregar a satisfacción un total de ciento sesenta (160) lámparas tipo lineales led de sobreponer.</t>
  </si>
  <si>
    <t>DUE DILIGENCE SUPPORT SERVICES COLOMBIA S.A.</t>
  </si>
  <si>
    <t>HOMETIME LINK SAS</t>
  </si>
  <si>
    <t>CENTRO INTERNACIONAL DE ESTUDIOS EN SEGUROS</t>
  </si>
  <si>
    <t>ELITE AV SERVICES S.A.S.</t>
  </si>
  <si>
    <t>EXPERIAN COLOMBIA S.A</t>
  </si>
  <si>
    <t>ASOCIACION COLOMBIANA DE EMPRESAS DE TECNOLOGIA E INNOVACION FINANCIERA-COLOMBIA FINTECH</t>
  </si>
  <si>
    <t>HIGH LIGHTS S.A.S.</t>
  </si>
  <si>
    <t>CORRECOL CORREDORES DE COLOMBIANOS DE SEGUROS, CORREDORES DE SEGUROS S.A.</t>
  </si>
  <si>
    <t>Gerencia de Desarrollo comercial
Gerencia de Servicio
Gerencia de Cartera 
Subgerencia de Recobros y Salvamentos</t>
  </si>
  <si>
    <t>Servicios de intermediación, asesoría, estructuración, colocación, administración y gestión integral del programa de seguros de La Previsora, para los ramos de Todo Riesgo
Daños Materiales, Manejo, Transporte de Valores, Responsabilidad Civil Extracontractual, Automóviles, Responsabilidad Civil Servidores Públicos, Riesgos Cibernéticos, Infidelidad y Riesgos Financieros, y todas aquellas que pueda llegar a requerir la Compañía.</t>
  </si>
  <si>
    <t>Servicio especializado para la identificación, consulta y monitoreo de Personas Expuestas Políticamente (PEP) y Personas con Actividad de Interés (PAI), mediante acceso a su página web que permita validar y mantener actualizada la información requerida para la gestión del riesgo y controles LAFT.</t>
  </si>
  <si>
    <t>Realizar el mantenimiento preventivo y correctivo para las puertas de seguridad y avisos luminosos.</t>
  </si>
  <si>
    <t>Suscripción a la membresía de la Asociación Colombiana de Empresas de Tecnología e Innovación Financiera - Colombia Fintech.</t>
  </si>
  <si>
    <t>Prestar el servicio de consulta de las aplicaciones informáticas SISA y CEXPER y envío de información en línea vía internet a través de aplicaciones web services para la obtención de resultados de siniestralidad de los riesgos consultados, estadísticas del ramo de Automóviles.</t>
  </si>
  <si>
    <t>30 OTROS / OUTSOURCING PERSONAL</t>
  </si>
  <si>
    <t>Suministro de 44 televisores tipo Led, distribuidos en treinta y dos (32) unidades de 43” pulgadas, once (11) unidades de 50” pulgadas y una (1) unidad de 85” pulgadas.</t>
  </si>
  <si>
    <t>Prestar los servicios especializados de asesoría y consultoría tributaria de forma permanente, orientada al cumplimiento de las obligaciones fiscales del orden nacional y municipal aplicables.</t>
  </si>
  <si>
    <t>Prestar los servicios profesionales especializados para apoyar, desde una visión de arquitectura empresarial, en la evaluación, diseño,  definición, estructuración e implementación de los proyectos estratégicos con componente tecnológico y ejercer la verificación de las estimaciones de los desarrollos por parte de la fábrica de software.</t>
  </si>
  <si>
    <t xml:space="preserve">Prestar el servicio de soporte y mantenimiento de la solución (firma digital, estampa y QR) en modalidad Software como Servicio (SaaS). </t>
  </si>
  <si>
    <t>Desarrollar la actividad de siembra de cien (100) árboles nativos en Guaymaral, realizando el trazado, plateo, ahoyado, siembra y acompañamiento técnico en la ejecución de las actividades de siembra.</t>
  </si>
  <si>
    <t>Representar en calidad tanto activa como pasiva a LA PREVISORA S.A. en los procesos judiciales, audiencias prejudiciales, procesos de responsabilidad fiscal, procedimientos administrativos, arbitramentos y en general en todo tipo de litigio o procedimiento encomendado.</t>
  </si>
  <si>
    <t>Representar en calidad tanto activa como pasiva a LA PREVISORA S.A. en los procesos judiciales y demás tramites que le sean encomendados.</t>
  </si>
  <si>
    <t>Prestar los servicios de evaluación externa de calidad que permita determinar el cumplimiento de las Normas Globales de Auditoría Interna, lo que incluye igualmente actividades de formación para el personal dispuesto por la Entidad.</t>
  </si>
  <si>
    <t xml:space="preserve">Prestar los servicios especializados del ciclo DEVOPS en LA PREVISORA S.A, incluyendo la suscripción o licenciamiento de las herramientas utilizadas para la personalización, desarrollo e implementación de las herramientas DEVOPS, la capacitación y administración integral de la solución. </t>
  </si>
  <si>
    <t>ASESORES DE IMPUESTOS Y CONTABLES ASOCIADOS TRIBUTAR ASESORES S.A.S.</t>
  </si>
  <si>
    <t>61%%</t>
  </si>
  <si>
    <t>100'%</t>
  </si>
  <si>
    <t>FECHA SUSCRIPCIÓN DEL CONTRATO</t>
  </si>
  <si>
    <t>N° DE IDENTIFICACIÓN DEL CONTRATISTA</t>
  </si>
  <si>
    <t>VALOR IVA
(si aplica)</t>
  </si>
  <si>
    <t>PLAZO DEL CONTRATO
 (inicial)
(días)</t>
  </si>
  <si>
    <t>https://community.secop.gov.co/Public/Tendering/ContractNoticePhases/View?PPI=CO1.PPI.43337661&amp;…</t>
  </si>
  <si>
    <t>https://community.secop.gov.co/Public/Tendering/ContractNoticePhases/View?PPI=CO1.PPI.43321321&amp;…</t>
  </si>
  <si>
    <t>https://community.secop.gov.co/Public/Tendering/ContractNoticePhases/View?PPI=CO1.PPI.43338341&amp;…</t>
  </si>
  <si>
    <t>https://community.secop.gov.co/Public/Tendering/ContractNoticePhases/View?PPI=CO1.PPI.43355841&amp;…</t>
  </si>
  <si>
    <t>https://community.secop.gov.co/Public/Tendering/ContractNoticePhases/View?PPI=CO1.PPI.43351673&amp;…</t>
  </si>
  <si>
    <t>https://community.secop.gov.co/Public/Tendering/ContractNoticePhases/View?PPI=CO1.PPI.43348423&amp;…</t>
  </si>
  <si>
    <t>https://community.secop.gov.co/Public/Tendering/ContractNoticePhases/View?PPI=CO1.PPI.43322623&amp;…</t>
  </si>
  <si>
    <t>https://community.secop.gov.co/Public/Tendering/ContractNoticePhases/View?PPI=CO1.PPI.43345492&amp;…</t>
  </si>
  <si>
    <t>https://community.secop.gov.co/Public/Tendering/ContractNoticePhases/View?PPI=CO1.PPI.43374929&amp;isFromPublicArea=True&amp;isModal=False</t>
  </si>
  <si>
    <t>https://community.secop.gov.co/Public/Tendering/ContractNoticePhases/View?PPI=CO1.PPI.43356843&amp;…</t>
  </si>
  <si>
    <t>https://community.secop.gov.co/Public/Tendering/ContractNoticePhases/View?PPI=CO1.PPI.43374155&amp;…</t>
  </si>
  <si>
    <t>https://community.secop.gov.co/Public/Tendering/ContractNoticePhases/View?PPI=CO1.PPI.43344983&amp;…</t>
  </si>
  <si>
    <t>https://community.secop.gov.co/Public/Tendering/ContractNoticePhases/View?PPI=CO1.PPI.43795425&amp;…</t>
  </si>
  <si>
    <t>https://community.secop.gov.co/Public/Tendering/ContractNoticePhases/View?PPI=CO1.PPI.43949194&amp;isFromPublicArea=True&amp;isModal=False</t>
  </si>
  <si>
    <t>https://community.secop.gov.co/Public/Tendering/ContractNoticePhases/View?PPI=CO1.PPI.43978240&amp;…</t>
  </si>
  <si>
    <t>https://community.secop.gov.co/Public/Tendering/ContractNoticePhases/View?PPI=CO1.PPI.43949140&amp;…</t>
  </si>
  <si>
    <t>https://community.secop.gov.co/Public/Tendering/ContractNoticePhases/View?PPI=CO1.PPI.43948499&amp;…</t>
  </si>
  <si>
    <t>https://community.secop.gov.co/Public/Tendering/ContractNoticePhases/View?PPI=CO1.PPI.43798171&amp;isFromPublicArea=True&amp;isModal=False</t>
  </si>
  <si>
    <t>https://community.secop.gov.co/Public/Tendering/ContractNoticePhases/View?PPI=CO1.PPI.43951522&amp;…</t>
  </si>
  <si>
    <t>https://community.secop.gov.co/Public/Tendering/ContractNoticePhases/View?PPI=CO1.PPI.40597452&amp;isFromPublicArea=True&amp;isModal=False</t>
  </si>
  <si>
    <t>https://community.secop.gov.co/Public/Tendering/ContractNoticePhases/View?PPI=CO1.PPI.44204796&amp;isFr…</t>
  </si>
  <si>
    <t>Valor del contrato es estimado pero se ejecuta conforme a los litigios asignados.</t>
  </si>
  <si>
    <t>NÚMERO DE DÍAS</t>
  </si>
  <si>
    <t>https://community.secop.gov.co/Public/Tendering/ContractNoticePhases/View?PPI=CO1.PPI.44191981&amp;isFr…</t>
  </si>
  <si>
    <t>https://community.secop.gov.co/Public/Tendering/ContractNoticePhases/View?PPI=CO1.PPI.43879112&amp;isFr…</t>
  </si>
  <si>
    <t>https://community.secop.gov.co/Public/Tendering/ContractNoticePhases/View?PPI=CO1.PPI.44193757&amp;isFr…</t>
  </si>
  <si>
    <t>https://community.secop.gov.co/Public/Tendering/ContractNoticePhases/View?PPI=CO1.PPI.44204524&amp;isFr…</t>
  </si>
  <si>
    <t>https://community.secop.gov.co/Public/Tendering/ContractNoticePhases/View?PPI=CO1.PPI.44206521&amp;isFr…</t>
  </si>
  <si>
    <t>https://community.secop.gov.co/Public/Tendering/ContractNoticePhases/View?PPI=CO1.PPI.44194529&amp;isFr…</t>
  </si>
  <si>
    <t>https://community.secop.gov.co/Public/Tendering/ContractNoticePhases/View?PPI=CO1.PPI.44204555&amp;isFr…</t>
  </si>
  <si>
    <t>https://community.secop.gov.co/Public/Tendering/ContractNoticePhases/View?PPI=CO1.PPI.44205736&amp;isFr…</t>
  </si>
  <si>
    <t>https://community.secop.gov.co/Public/Tendering/ContractNoticePhases/View?PPI=CO1.PPI.44205797&amp;isFr…</t>
  </si>
  <si>
    <t>https://community.secop.gov.co/Public/Tendering/ContractNoticePhases/View?PPI=CO1.PPI.44207369&amp;isFr…</t>
  </si>
  <si>
    <t>https://community.secop.gov.co/Public/Tendering/ContractNoticePhases/View?PPI=CO1.PPI.44208816&amp;isFr…</t>
  </si>
  <si>
    <t>https://community.secop.gov.co/Public/Tendering/ContractNoticePhases/View?PPI=CO1.PPI.44207666&amp;isFr…</t>
  </si>
  <si>
    <t>https://community.secop.gov.co/Public/Tendering/ContractNoticePhases/View?PPI=CO1.PPI.44206882&amp;isFr…</t>
  </si>
  <si>
    <t>https://community.secop.gov.co/Public/Tendering/ContractNoticePhases/View?PPI=CO1.PPI.44208872&amp;isFr…</t>
  </si>
  <si>
    <t>https://community.secop.gov.co/Public/Tendering/ContractNoticePhases/View?PPI=CO1.PPI.44195328&amp;isFr…</t>
  </si>
  <si>
    <t>https://community.secop.gov.co/Public/Tendering/ContractNoticePhases/View?PPI=CO1.PPI.44213610&amp;isFr…</t>
  </si>
  <si>
    <t>https://community.secop.gov.co/Public/Tendering/ContractNoticePhases/View?PPI=CO1.PPI.44214863&amp;isFr…</t>
  </si>
  <si>
    <t>https://community.secop.gov.co/Public/Tendering/ContractNoticePhases/View?PPI=CO1.PPI.44214337&amp;isFr…</t>
  </si>
  <si>
    <t>https://community.secop.gov.co/Public/Tendering/ContractNoticePhases/View?PPI=CO1.PPI.44215693&amp;isFromPublicArea=True&amp;isModal=False</t>
  </si>
  <si>
    <t>https://community.secop.gov.co/Public/Tendering/ContractNoticePhases/View?PPI=CO1.PPI.44269476&amp;isFr…</t>
  </si>
  <si>
    <t>https://community.secop.gov.co/Public/Tendering/ContractNoticePhases/View?PPI=CO1.PPI.45415516&amp;isFr…</t>
  </si>
  <si>
    <t>https://community.secop.gov.co/Public/Tendering/ContractNoticePhases/View?PPI=CO1.PPI.44364074&amp;isFr…</t>
  </si>
  <si>
    <t>https://community.secop.gov.co/Public/Tendering/ContractNoticePhases/View?PPI=CO1.PPI.44364851&amp;isFr…</t>
  </si>
  <si>
    <t>https://community.secop.gov.co/Public/Tendering/ContractNoticePhases/View?PPI=CO1.PPI.45463295&amp;isFr…</t>
  </si>
  <si>
    <t>https://community.secop.gov.co/Public/Tendering/ContractNoticePhases/View?PPI=CO1.PPI.44364325&amp;isFr…</t>
  </si>
  <si>
    <t>https://community.secop.gov.co/Public/Tendering/ContractNoticePhases/View?PPI=CO1.PPI.45412235&amp;isFr…</t>
  </si>
  <si>
    <t>https://community.secop.gov.co/Public/Tendering/ContractNoticePhases/View?PPI=CO1.PPI.45407881&amp;isFr…</t>
  </si>
  <si>
    <t>https://community.secop.gov.co/Public/Tendering/ContractNoticePhases/View?PPI=CO1.PPI.45411347&amp;isFr…</t>
  </si>
  <si>
    <t>https://community.secop.gov.co/Public/Tendering/ContractNoticePhases/View?PPI=CO1.PPI.45619200&amp;isFr…</t>
  </si>
  <si>
    <t>https://community.secop.gov.co/Public/Tendering/ContractNoticePhases/View?PPI=CO1.PPI.45816559&amp;isFr…</t>
  </si>
  <si>
    <t>https://community.secop.gov.co/Public/Tendering/ContractNoticePhases/View?PPI=CO1.PPI.45416441&amp;isFr…</t>
  </si>
  <si>
    <t>RAZÓN SOCIAL DEL CONTRATISTA</t>
  </si>
  <si>
    <t>VALOR INICIAL DEL CONTRATO
 (en pesos) 
SIN IVA</t>
  </si>
  <si>
    <t>VALOR TOTAL DEL CONTRATO
(en pesos)
CON IVA
(inicial)</t>
  </si>
  <si>
    <t>VALOR DE LAS ADICIONES
(en pesos)
CON IVA</t>
  </si>
  <si>
    <t xml:space="preserve">VALOR TOTAL CONTRATO CON IVA (VALOR INICIAL + ADICIONES) </t>
  </si>
  <si>
    <t>FECHA TERMINACIÓN CONTRATO
(inicial)</t>
  </si>
  <si>
    <t>VALOR PAGADO (en pesos)
A 31 DICIEMBRE 2025</t>
  </si>
  <si>
    <t>OBSERVACION MODIFICACIONES</t>
  </si>
  <si>
    <t>LINK SECOP I, II 
(según aplique)</t>
  </si>
  <si>
    <t>PORCENTAJE DE EJECUCIÓN FÍSICA 
A 31 DICIEMBRE 2025</t>
  </si>
  <si>
    <t>PORCENTAJE DE EJECUCIÓN PRESUPUESTAL
A 31 DICIEMBRE 20252025</t>
  </si>
  <si>
    <t>900409363-0</t>
  </si>
  <si>
    <t>830136091-6</t>
  </si>
  <si>
    <t>900633325-1</t>
  </si>
  <si>
    <t>900023830-0</t>
  </si>
  <si>
    <t>830015429-2</t>
  </si>
  <si>
    <t>1000127393</t>
  </si>
  <si>
    <t>52980472</t>
  </si>
  <si>
    <t>901905293-4</t>
  </si>
  <si>
    <t>1019081060</t>
  </si>
  <si>
    <t>1030607665</t>
  </si>
  <si>
    <t>901011256-4</t>
  </si>
  <si>
    <t>1019040708</t>
  </si>
  <si>
    <t>1033677072</t>
  </si>
  <si>
    <t>1072649631</t>
  </si>
  <si>
    <t>52852043</t>
  </si>
  <si>
    <t>52963769</t>
  </si>
  <si>
    <t>79842102</t>
  </si>
  <si>
    <t>79531036</t>
  </si>
  <si>
    <t>1000118556</t>
  </si>
  <si>
    <t>860037707-9</t>
  </si>
  <si>
    <t>860006812-1</t>
  </si>
  <si>
    <t>860066942-7</t>
  </si>
  <si>
    <t>900115892-2</t>
  </si>
  <si>
    <t>901903339-5</t>
  </si>
  <si>
    <t>900500876-5</t>
  </si>
  <si>
    <t>900083625-3</t>
  </si>
  <si>
    <t>860078643-1</t>
  </si>
  <si>
    <t>830141011-7</t>
  </si>
  <si>
    <t>890111390-3</t>
  </si>
  <si>
    <t>900129621-4</t>
  </si>
  <si>
    <t>1033688031</t>
  </si>
  <si>
    <t>800043857-1</t>
  </si>
  <si>
    <t>830038753-3</t>
  </si>
  <si>
    <t>900565863-9</t>
  </si>
  <si>
    <t>830104010-2</t>
  </si>
  <si>
    <t>900377109-7</t>
  </si>
  <si>
    <t>830068179-3</t>
  </si>
  <si>
    <t>900474600-8</t>
  </si>
  <si>
    <t>50937514</t>
  </si>
  <si>
    <t>901046977-7</t>
  </si>
  <si>
    <t>830021370-1</t>
  </si>
  <si>
    <t>800000457-4</t>
  </si>
  <si>
    <t>830500635-3</t>
  </si>
  <si>
    <t>19342114</t>
  </si>
  <si>
    <t>800099308-0</t>
  </si>
  <si>
    <t>79882503</t>
  </si>
  <si>
    <t>10160416795</t>
  </si>
  <si>
    <t>80376806</t>
  </si>
  <si>
    <t>901399147-5</t>
  </si>
  <si>
    <t>860076579-9</t>
  </si>
  <si>
    <t>830114663-4</t>
  </si>
  <si>
    <t>800030235-4</t>
  </si>
  <si>
    <t>900239271-1</t>
  </si>
  <si>
    <t>890901389-5</t>
  </si>
  <si>
    <t>79563277</t>
  </si>
  <si>
    <t>1082217074</t>
  </si>
  <si>
    <t>860049275-0</t>
  </si>
  <si>
    <t>901435584-5</t>
  </si>
  <si>
    <t>900074348-1</t>
  </si>
  <si>
    <t>1007699251</t>
  </si>
  <si>
    <t>1013586805</t>
  </si>
  <si>
    <t>1083039219</t>
  </si>
  <si>
    <t>80190832</t>
  </si>
  <si>
    <t>901058686-0</t>
  </si>
  <si>
    <t>1314294</t>
  </si>
  <si>
    <t>1013666895</t>
  </si>
  <si>
    <t>72079475-</t>
  </si>
  <si>
    <t>1067966761</t>
  </si>
  <si>
    <t>900517262-8</t>
  </si>
  <si>
    <t>900916235-0</t>
  </si>
  <si>
    <t>901018879-4</t>
  </si>
  <si>
    <t>901093643-2</t>
  </si>
  <si>
    <t>900891017-1</t>
  </si>
  <si>
    <t>901259028-7</t>
  </si>
  <si>
    <t>900999868-8</t>
  </si>
  <si>
    <t>901054232-2</t>
  </si>
  <si>
    <t>901439853-1</t>
  </si>
  <si>
    <t>901362437-6</t>
  </si>
  <si>
    <t>901656664-4</t>
  </si>
  <si>
    <t>901414919-9</t>
  </si>
  <si>
    <t>900363059-6</t>
  </si>
  <si>
    <t>830061576-2</t>
  </si>
  <si>
    <t>900062917-9</t>
  </si>
  <si>
    <t>830040745-0</t>
  </si>
  <si>
    <t>800226923-6</t>
  </si>
  <si>
    <t>901538493-6</t>
  </si>
  <si>
    <t>860075558-1</t>
  </si>
  <si>
    <t>830128457-4</t>
  </si>
  <si>
    <t>901153192-0</t>
  </si>
  <si>
    <t>830103591-5</t>
  </si>
  <si>
    <t>860019289-5</t>
  </si>
  <si>
    <t>900708605-0</t>
  </si>
  <si>
    <t>900228799-0</t>
  </si>
  <si>
    <t>900720181-9</t>
  </si>
  <si>
    <t>900461036-7</t>
  </si>
  <si>
    <t>900586852-8</t>
  </si>
  <si>
    <t>901182653-8</t>
  </si>
  <si>
    <t>860070899-3</t>
  </si>
  <si>
    <t>900722172-1</t>
  </si>
  <si>
    <t>901017115-1</t>
  </si>
  <si>
    <t>900881021-9</t>
  </si>
  <si>
    <t>901071559-7</t>
  </si>
  <si>
    <t>900592204-1</t>
  </si>
  <si>
    <t>900879837-5</t>
  </si>
  <si>
    <t>900724711-0</t>
  </si>
  <si>
    <t>900988897-4</t>
  </si>
  <si>
    <t>900448013-4</t>
  </si>
  <si>
    <t>901048445-1</t>
  </si>
  <si>
    <t>901249547-5</t>
  </si>
  <si>
    <t>901344641-6</t>
  </si>
  <si>
    <t>901313312-5</t>
  </si>
  <si>
    <t>900710007-2</t>
  </si>
  <si>
    <t>900531376-7</t>
  </si>
  <si>
    <t>901361847-8</t>
  </si>
  <si>
    <t>901258576-7</t>
  </si>
  <si>
    <t>800057767-8</t>
  </si>
  <si>
    <t>830044885-1</t>
  </si>
  <si>
    <t>1716369-</t>
  </si>
  <si>
    <t>1093763287</t>
  </si>
  <si>
    <t>84452202</t>
  </si>
  <si>
    <t>800058607-2</t>
  </si>
  <si>
    <t>1116856979</t>
  </si>
  <si>
    <t>1010024476</t>
  </si>
  <si>
    <t>901948191-6</t>
  </si>
  <si>
    <t>901258229-6</t>
  </si>
  <si>
    <t>79506641</t>
  </si>
  <si>
    <t>900985321-0</t>
  </si>
  <si>
    <t>830005448-1</t>
  </si>
  <si>
    <t>1023013717</t>
  </si>
  <si>
    <t>1018446510</t>
  </si>
  <si>
    <t>900805096-7</t>
  </si>
  <si>
    <t>52168444</t>
  </si>
  <si>
    <t>1145924214</t>
  </si>
  <si>
    <t>1119894455</t>
  </si>
  <si>
    <t>900943048-4</t>
  </si>
  <si>
    <t>1018501757</t>
  </si>
  <si>
    <t>860015826-2</t>
  </si>
  <si>
    <t>80033612</t>
  </si>
  <si>
    <t>900032159-4</t>
  </si>
  <si>
    <t>830073347-4</t>
  </si>
  <si>
    <t>901016909-8</t>
  </si>
  <si>
    <t>860012336-1</t>
  </si>
  <si>
    <t>900591222-8</t>
  </si>
  <si>
    <t>830105621-7</t>
  </si>
  <si>
    <t>900518732-2</t>
  </si>
  <si>
    <t>13746237</t>
  </si>
  <si>
    <t>901825955-8</t>
  </si>
  <si>
    <t>901469580-2</t>
  </si>
  <si>
    <t>900054586-0</t>
  </si>
  <si>
    <t>901354358-9</t>
  </si>
  <si>
    <t>901179865-1</t>
  </si>
  <si>
    <t>800222753-2</t>
  </si>
  <si>
    <t>860510826-5</t>
  </si>
  <si>
    <t>900701533-7</t>
  </si>
  <si>
    <t>860042209-2</t>
  </si>
  <si>
    <t>900234657-8</t>
  </si>
  <si>
    <t>901463672-4</t>
  </si>
  <si>
    <t>901830041-1</t>
  </si>
  <si>
    <t>54469671</t>
  </si>
  <si>
    <t>901070251-1</t>
  </si>
  <si>
    <t>800064773-1</t>
  </si>
  <si>
    <t>52825128</t>
  </si>
  <si>
    <t>830109420-1</t>
  </si>
  <si>
    <t>900986706-7</t>
  </si>
  <si>
    <t>1003845127</t>
  </si>
  <si>
    <t>900459737-5</t>
  </si>
  <si>
    <t>901037553-1</t>
  </si>
  <si>
    <t>830076669-4</t>
  </si>
  <si>
    <t>900166357-1</t>
  </si>
  <si>
    <t>901697829-8</t>
  </si>
  <si>
    <t>4978830</t>
  </si>
  <si>
    <t>901224897-1</t>
  </si>
  <si>
    <t>1018511716</t>
  </si>
  <si>
    <t>55248026</t>
  </si>
  <si>
    <t>1023020472</t>
  </si>
  <si>
    <t>860036884-1</t>
  </si>
  <si>
    <t>900491133-1</t>
  </si>
  <si>
    <t>1001060256</t>
  </si>
  <si>
    <t>900991968-1</t>
  </si>
  <si>
    <t>1004738493</t>
  </si>
  <si>
    <t>52768323</t>
  </si>
  <si>
    <t>72001461</t>
  </si>
  <si>
    <t>900821624-3</t>
  </si>
  <si>
    <t>901188624-1</t>
  </si>
  <si>
    <t>901245493-8</t>
  </si>
  <si>
    <t>1090464451</t>
  </si>
  <si>
    <t>800226417-0</t>
  </si>
  <si>
    <t>800214001-9</t>
  </si>
  <si>
    <t>900077267-5</t>
  </si>
  <si>
    <t>860000091-0</t>
  </si>
  <si>
    <t>830001338-1</t>
  </si>
  <si>
    <t>900345403-0</t>
  </si>
  <si>
    <t>900239396-3</t>
  </si>
  <si>
    <t>901033334-5</t>
  </si>
  <si>
    <t>901406402-1</t>
  </si>
  <si>
    <t>900596937-8</t>
  </si>
  <si>
    <t>900797751-8</t>
  </si>
  <si>
    <t>901363727-1</t>
  </si>
  <si>
    <t>830017209-8</t>
  </si>
  <si>
    <t>900249043-1</t>
  </si>
  <si>
    <t>830085726-4</t>
  </si>
  <si>
    <t>900315526-1</t>
  </si>
  <si>
    <t>900166577-5</t>
  </si>
  <si>
    <t>830144762-3</t>
  </si>
  <si>
    <t>900415903-2</t>
  </si>
  <si>
    <t>13746586</t>
  </si>
  <si>
    <t>900947053-1</t>
  </si>
  <si>
    <t>800005014-8</t>
  </si>
  <si>
    <t>900422908-8</t>
  </si>
  <si>
    <t>52158552</t>
  </si>
  <si>
    <t>860029503-1</t>
  </si>
  <si>
    <t>1098643613</t>
  </si>
  <si>
    <t>1010213470</t>
  </si>
  <si>
    <t>800046226-8</t>
  </si>
  <si>
    <t>860073386-1</t>
  </si>
  <si>
    <t>900463380-5</t>
  </si>
  <si>
    <t>900174552-5</t>
  </si>
  <si>
    <t>830126085-9</t>
  </si>
  <si>
    <t>830079547-8</t>
  </si>
  <si>
    <t>900094086-0</t>
  </si>
  <si>
    <t>830099766-1</t>
  </si>
  <si>
    <t>830094544-9</t>
  </si>
  <si>
    <t>900713651-1</t>
  </si>
  <si>
    <t>901654732-8</t>
  </si>
  <si>
    <t>900440679-2</t>
  </si>
  <si>
    <t>900494351-4</t>
  </si>
  <si>
    <t>900554898-9</t>
  </si>
  <si>
    <t>900171749-5</t>
  </si>
  <si>
    <t>80224165</t>
  </si>
  <si>
    <t>901068828-2</t>
  </si>
  <si>
    <t>900233434-8</t>
  </si>
  <si>
    <t>901277134-6</t>
  </si>
  <si>
    <t>900689675-3</t>
  </si>
  <si>
    <t>800210237-1</t>
  </si>
  <si>
    <t>805022756-4</t>
  </si>
  <si>
    <t>901385008-9</t>
  </si>
  <si>
    <t>901496136-1</t>
  </si>
  <si>
    <t>900631435-2</t>
  </si>
  <si>
    <t>830144759-0</t>
  </si>
  <si>
    <t>800129465-9</t>
  </si>
  <si>
    <t>800058195-1</t>
  </si>
  <si>
    <t>1016041679</t>
  </si>
  <si>
    <t>860027404-1</t>
  </si>
  <si>
    <t>900422614-8</t>
  </si>
  <si>
    <t>830018004-1</t>
  </si>
  <si>
    <t>FECHA TERMINACIÓN DEL CONTRATO
(inicial + prórrogas)</t>
  </si>
  <si>
    <t>LINK CONSULTA SECOP I II 
(SEGÚN APLIQUE)</t>
  </si>
  <si>
    <t>300-2025-0001</t>
  </si>
  <si>
    <t>Servicios de inspección de los bienes asegurables y/o asegurados y/o servicios de administración de riesgos y control de pérdidas, de riesgos en curso y/o por suscribir asignados por LA PREVISORA S.A.</t>
  </si>
  <si>
    <t>https://community.secop.gov.co/Public/Tendering/ContractNoticePhases/View?PPI=CO1.PPI.39655657&amp;isFromPublicArea=True&amp;isModal=False</t>
  </si>
  <si>
    <t>300-2025-0002</t>
  </si>
  <si>
    <t>COMERCIAL Y SERVICIOS LARCO S.A.S.</t>
  </si>
  <si>
    <t>https://community.secop.gov.co/Public/Tendering/ContractNoticePhases/View?PPI=CO1.PPI.39656181&amp;isFromPublicArea=True&amp;isModal=False</t>
  </si>
  <si>
    <t>300-2025-0003</t>
  </si>
  <si>
    <t>Suministro e instalación de dos equipos de aire acondicionado tipo suspendido de techo con capacidad de 5tr y tecnología inverter.</t>
  </si>
  <si>
    <t>IMT INGENIERIA LTDA</t>
  </si>
  <si>
    <t>https://community.secop.gov.co/Public/Tendering/ContractNoticePhases/View?PPI=CO1.PPI.39743022&amp;isFromPublicArea=True&amp;isModal=False</t>
  </si>
  <si>
    <t>300-2025-0004</t>
  </si>
  <si>
    <t>Mantenimiento preventivo y correctivo (incluye suministro e instalación de repuestos) para los aires acondicionados de la sucursal de Villavicencio.</t>
  </si>
  <si>
    <t xml:space="preserve">ELVIS FERNANDO TOLEDO ESTRELLA </t>
  </si>
  <si>
    <t>https://community.secop.gov.co/Public/Tendering/ContractNoticePhases/View?PPI=CO1.PPI.39743987&amp;isFromPublicArea=True&amp;isModal=False</t>
  </si>
  <si>
    <t>300-2025-0005</t>
  </si>
  <si>
    <t>Prestar los servicios para el Mantenimiento Preventivo de los siete (07) aires acondicionados ubicados en La Previsora S.A. Sucursal Florencia</t>
  </si>
  <si>
    <t>AINECOL S.A.S.</t>
  </si>
  <si>
    <t>https://community.secop.gov.co/Public/Tendering/ContractNoticePhases/View?PPI=CO1.PPI.39745286&amp;isFromPublicArea=True&amp;isModal=False</t>
  </si>
  <si>
    <t>300-2025-0006</t>
  </si>
  <si>
    <t>Servicio de parqueadero para funcionaria (Lelia Rosa López Hernández) placa DFN 441.</t>
  </si>
  <si>
    <t>PERLA MAGNOLIA LASTRA AGUIAR</t>
  </si>
  <si>
    <t>https://community.secop.gov.co/Public/Tendering/ContractNoticePhases/View?PPI=CO1.PPI.39947344&amp;isFromPublicArea=True&amp;isModal=False</t>
  </si>
  <si>
    <t>300-2025-0007</t>
  </si>
  <si>
    <t>Prestar sus servicios en el alquiler de 7 celdas para el parqueo de vehículos de los funcionarios de Previsora en la sede Automar</t>
  </si>
  <si>
    <t>SENTIDO IMMOBILIARIO S.A.S.</t>
  </si>
  <si>
    <t>https://community.secop.gov.co/Public/Tendering/ContractNoticePhases/View?PPI=CO1.PPI.39948512&amp;isFromPublicArea=True&amp;isModal=False</t>
  </si>
  <si>
    <t>300-2025-0008</t>
  </si>
  <si>
    <t>Arrendamiento de tres cupos de parqueadero ubicado en el EDIFICIO CENTRO COMERCIAL CABLE PLAZA para tres vehículos para ser utilizado de lunes a viernes por los funcionarios de La Previsora S.A. Sucursal Manizales.</t>
  </si>
  <si>
    <t>EDIFICIO CENTRO COMERCIAL CABLE PLAZA  - PROPIEDAD HORIZONTAL</t>
  </si>
  <si>
    <t>https://community.secop.gov.co/Public/Tendering/ContractNoticePhases/View?PPI=CO1.PPI.40100125&amp;isFromPublicArea=True&amp;isModal=False</t>
  </si>
  <si>
    <t>300-2025-0009</t>
  </si>
  <si>
    <t>Arrendamiento de parqueaderos 50-51 EDIFICIO FORUM ubicados en la Carrera 23C N 62-06 de la ciudad de Manizales, para ser utilizados de lunes a viernes por funcionarios de La Previsora S.A. Sucursal Manizales</t>
  </si>
  <si>
    <t>JORGE WILLIAM GÓMEZ VALENCIA</t>
  </si>
  <si>
    <t>https://community.secop.gov.co/Public/Tendering/ContractNoticePhases/View?PPI=CO1.PPI.40228574&amp;isFromPublicArea=True&amp;isModal=False</t>
  </si>
  <si>
    <t>300-2025-0010</t>
  </si>
  <si>
    <t>Servicio de mantenimiento equipos de aire acondicionado Suc Armenia.</t>
  </si>
  <si>
    <t>TERMOSISTEMAS S.A.S.</t>
  </si>
  <si>
    <t>https://community.secop.gov.co/Public/Tendering/ContractNoticePhases/View?PPI=CO1.PPI.40230413&amp;isFromPublicArea=True&amp;isModal=False</t>
  </si>
  <si>
    <t>Sucursal Quibdó</t>
  </si>
  <si>
    <t>300-2025-0011</t>
  </si>
  <si>
    <t>Entrega en arrendamiento comercial a EL ARRENDATARIO el uso y goce del inmueble ubicado en la Carrera 2 N° 24-14 Oficina 204 Edificio
Granahorrar de la ciudad de Quibdó - Chocó.</t>
  </si>
  <si>
    <t>DERECHO &amp; RAZÓN ASOCIADOS S.A.S. DH&amp;R</t>
  </si>
  <si>
    <t>https://community.secop.gov.co/Public/Tendering/ContractNoticePhases/View?PPI=CO1.PPI.41314820&amp;isFromPublicArea=True&amp;isModal=False</t>
  </si>
  <si>
    <t>300-2025-0012</t>
  </si>
  <si>
    <t>Servicio de Alquiler de cuatro parqueaderos para funcionarios sucursal Pereira.</t>
  </si>
  <si>
    <t>https://community.secop.gov.co/Public/Tendering/ContractNoticePhases/View?PPI=CO1.PPI.40233143&amp;isFromPublicArea=True&amp;isModal=False</t>
  </si>
  <si>
    <t>300-2025-0013</t>
  </si>
  <si>
    <t>Mantenimiento preventivo y correctivo (incluye suministro e instalación de repuestos) con una periodicidad trimestral a los
aires acondicionados de la sucursal Yopal</t>
  </si>
  <si>
    <t>https://community.secop.gov.co/Public/Tendering/ContractNoticePhases/View?PPI=CO1.PPI.40233935&amp;isFromPublicArea=True&amp;isModal=False</t>
  </si>
  <si>
    <t>300-2025-0014</t>
  </si>
  <si>
    <t>Suministrar greca de 60 tintos para la sucursal Arauca.</t>
  </si>
  <si>
    <t>https://community.secop.gov.co/Public/Tendering/ContractNoticePhases/View?PPI=CO1.PPI.40234834&amp;isFromPublicArea=True&amp;isModal=False</t>
  </si>
  <si>
    <t>300-2025-0015</t>
  </si>
  <si>
    <t>Mantenimientos preventivo y correctivo de dos equipos de aires acondicionados y refrigeración centrales y dos mini Split.</t>
  </si>
  <si>
    <t>NILSON NICOLAI MORA IZQUIERDO</t>
  </si>
  <si>
    <t>https://community.secop.gov.co/Public/Tendering/ContractNoticePhases/View?PPI=CO1.PPI.40235503&amp;isFromPublicArea=True&amp;isModal=False</t>
  </si>
  <si>
    <t>300-2025-0016</t>
  </si>
  <si>
    <t>Servicio de parqueadero para los funcionarios de la Previsora S.A. sucursal Cali.</t>
  </si>
  <si>
    <t>PARQUEADERO ASOMEJIAS LTDA.</t>
  </si>
  <si>
    <t>https://community.secop.gov.co/Public/Tendering/ContractNoticePhases/View?PPI=CO1.PPI.39480457&amp;isFromPublicArea=True&amp;isModal=False</t>
  </si>
  <si>
    <t>300-2025-0017</t>
  </si>
  <si>
    <t>Mantenimiento preventivo y correctivo de 7 aires acondicionados ubicados en la Sucursa Buenaventura.</t>
  </si>
  <si>
    <t>CENTRAL DE AIRES DEL PACIFICO LTDA.</t>
  </si>
  <si>
    <t>https://community.secop.gov.co/Public/Tendering/ContractNoticePhases/View?PPI=CO1.PPI.39485526&amp;isFromPublicArea=True&amp;isModal=False</t>
  </si>
  <si>
    <t>300-2025-0018</t>
  </si>
  <si>
    <t>Prestar el servicio de venta e instalación de aires acondicionados 1 minisplit de 24 mil BTU, una
condensadora de 60 mil BTU (5 toneladas) y 2 minisplit de 12 mil BTU, para reemplazar los equipos dañados de la sucursal Cartagena.</t>
  </si>
  <si>
    <t xml:space="preserve">INGENIERÍA, PROYECTOS Y DISEÑOS S.A.S </t>
  </si>
  <si>
    <t>https://community.secop.gov.co/Public/Tendering/ContractNoticePhases/View?PPI=CO1.PPI.39491902&amp;isFromPublicArea=True&amp;isModal=False</t>
  </si>
  <si>
    <t>300-2025-0019</t>
  </si>
  <si>
    <t xml:space="preserve">Prestar el servicio de impresión monocromatico de carnets. </t>
  </si>
  <si>
    <t>OSVALDO ELIECER HOLGUIN ORDUZ</t>
  </si>
  <si>
    <t>https://community.secop.gov.co/Public/Tendering/ContractNoticePhases/View?PPI=CO1.PPI.39490472&amp;isFromPublicArea=True&amp;isModal=False</t>
  </si>
  <si>
    <t>300-2025-0020</t>
  </si>
  <si>
    <t>Alquiler de parqueadero para los funcionarios.</t>
  </si>
  <si>
    <t>LISBRAN S.A.S.</t>
  </si>
  <si>
    <t>https://community.secop.gov.co/Public/Tendering/ContractNoticePhases/View?PPI=CO1.PPI.39494397&amp;isFromPublicArea=True&amp;isModal=False</t>
  </si>
  <si>
    <t>300-2025-0021</t>
  </si>
  <si>
    <t>Prestar el servicio de mantenimiento preventivo de 5 aires acondicionados, mantenimiento correctivo del sistema de presión, del sistema electrico y cambio de rubatex y cinta vinilo.</t>
  </si>
  <si>
    <t>CINDEL JOSE ZAMARA TORO</t>
  </si>
  <si>
    <t>https://community.secop.gov.co/Public/Tendering/ContractNoticePhases/View?PPI=CO1.PPI.39489295&amp;isFromPublicArea=True&amp;isModal=False</t>
  </si>
  <si>
    <t>300-2025-0022</t>
  </si>
  <si>
    <t>Suministrar un (1) horno microondas con capacidad de 18 a 23 litros y una (1) brilladora para la sucursal Florencia Caquetá.</t>
  </si>
  <si>
    <t xml:space="preserve">https://community.secop.gov.co/Public/Tendering/ContractNoticePhases/View?PPI=CO1.PPI.39967662&amp;isFromPublicArea=True&amp;isModal=False </t>
  </si>
  <si>
    <t>300-2025-0023</t>
  </si>
  <si>
    <t>Realizar el mantenimiento general de las instalaciones de la oficina de la sucursal Yopal. (resane, estuco, pintura, etc).</t>
  </si>
  <si>
    <t>SOLON SOLUCIONES INTEGRALES DE MANTENIMIENTO S.A.S</t>
  </si>
  <si>
    <t xml:space="preserve">https://community.secop.gov.co/Public/Tendering/ContractNoticePhases/View?PPI=CO1.PPI.39973920&amp;isFromPublicArea=True&amp;isModal=False </t>
  </si>
  <si>
    <t>300-2025-0024</t>
  </si>
  <si>
    <t>Servicio de alquiler de parqueadero de seis (6 vehículos de propiedad de funcionarios de la Sucursal Cartagena.</t>
  </si>
  <si>
    <t xml:space="preserve">https://community.secop.gov.co/Public/Tendering/ContractNoticePhases/View?PPI=CO1.PPI.39976797&amp;isFromPublicArea=True&amp;isModal=False </t>
  </si>
  <si>
    <t>300-2025-0025</t>
  </si>
  <si>
    <t xml:space="preserve">Suministro e instalación de vidrios templados para el cerramiento del puesto front desk en la sucursal Medellin. </t>
  </si>
  <si>
    <t>QUINTERO ENSAMBLES S.A.S</t>
  </si>
  <si>
    <t xml:space="preserve">https://community.secop.gov.co/Public/Tendering/ContractNoticePhases/View?PPI=CO1.PPI.40005398&amp;isFromPublicArea=True&amp;isModal=False </t>
  </si>
  <si>
    <t>300-2025-0026</t>
  </si>
  <si>
    <t xml:space="preserve">Prestar el servicio de mantenimiento preventivo de los aires acondicionados de la sucursal. </t>
  </si>
  <si>
    <t xml:space="preserve">https://community.secop.gov.co/Public/Tendering/ContractNoticePhases/View?PPI=CO1.PPI.39718013&amp;isFromPublicArea=True&amp;isModal=False </t>
  </si>
  <si>
    <t>300-2025-0027</t>
  </si>
  <si>
    <t xml:space="preserve">Compra nevera WRW25CKTWW - marca Whirlpool no frost 263 LTS gris </t>
  </si>
  <si>
    <t>https://community.secop.gov.co/Public/Tendering/ContractNoticePhases/View?PPI=CO1.PPI.41314844&amp;isFromPublicArea=True&amp;isModal=False</t>
  </si>
  <si>
    <t>300-2025-0028</t>
  </si>
  <si>
    <t>Prestar el servicio de catering
Para Realización de Actividad De Lanzamiento Plan De Incentivos Mutuamente 2025
Intermediarios, Agentes Y Agencias Sucursal Armenia.</t>
  </si>
  <si>
    <t>https://community.secop.gov.co/Public/Tendering/ContractNoticePhases/View?PPI=CO1.PPI.41315412&amp;isFromPublicArea=True&amp;isModal=False</t>
  </si>
  <si>
    <t>Sucursal Popayan</t>
  </si>
  <si>
    <t>300-2025-0029</t>
  </si>
  <si>
    <t>Prestar el servicio de evento de lanzamiento mutuamente 2025 agentes y agencias sucursal Popayan.</t>
  </si>
  <si>
    <t>GRATTA SAS</t>
  </si>
  <si>
    <t xml:space="preserve">https://community.secop.gov.co/Public/Tendering/ContractNoticePhases/View?PPI=CO1.PPI.40006544&amp;isFromPublicArea=True&amp;isModal=False </t>
  </si>
  <si>
    <t>300-2025-0030</t>
  </si>
  <si>
    <t>Prestar el servicio de actividad de lanzamiento de los aliados de la PREVISORA S.A. Sucursal Neiva</t>
  </si>
  <si>
    <t>HOTELES DE NEIVA SOCIEDAD POR ACCIONES SIMPLIFICADA</t>
  </si>
  <si>
    <t>https://community.secop.gov.co/Public/Tendering/OpportunityDetail/Index?noticeUID=CO1.NTC.8136131&amp;isFromPublicArea=True&amp;isModal=False</t>
  </si>
  <si>
    <t>300-2025-0031</t>
  </si>
  <si>
    <t>Adquisición de un horno microondas industrial.</t>
  </si>
  <si>
    <t>JOSERRAGO S.A.S</t>
  </si>
  <si>
    <t>https://community.secop.gov.co/Public/Tendering/ContractNoticePhases/View?PPI=CO1.PPI.40007565&amp;isFromPublicArea=True&amp;isModal=False</t>
  </si>
  <si>
    <t>300-2025-0032</t>
  </si>
  <si>
    <t>Prestar el servicio de realizar el evento lanzamiento mutuamente 2025 agentes y agencias, sucursal Bucaramanga.</t>
  </si>
  <si>
    <t>INVERSIONES SILVA &amp; ASOCIADOS S.A.S</t>
  </si>
  <si>
    <t>https://community.secop.gov.co/Public/Tendering/ContractNoticePhases/View?PPI=CO1.PPI.41316518&amp;isFromPublicArea=True&amp;isModal=False</t>
  </si>
  <si>
    <t>300-2025-0033</t>
  </si>
  <si>
    <t>prestar el servicio de realizar la actividad de lanzamiento del plan mutuamente 2025 para los aliados de La Previsora s.a. sucursal Yopal.</t>
  </si>
  <si>
    <t>https://community.secop.gov.co/Public/Tendering/OpportunityDetail/Index?noticeUID=CO1.NTC.8140120&amp;isFromPublicArea=True&amp;isModal=False</t>
  </si>
  <si>
    <t>300-2025-0034</t>
  </si>
  <si>
    <t>Prestar el servicio de evento de lanzamiento mutuamente sucursal Arauca.</t>
  </si>
  <si>
    <t xml:space="preserve">https://community.secop.gov.co/Public/Tendering/ContractNoticePhases/View?PPI=CO1.PPI.40012053&amp;isFromPublicArea=True&amp;isModal=False </t>
  </si>
  <si>
    <t>300-2025-0035</t>
  </si>
  <si>
    <t>Entrega en arrendamiento comercial a el arrendatario el uso y goce del inmueble ubicado en la Carrera 2 N° 24-14 Oficina 204 Edificio Granahorrar de la ciudad de Quibdó - Chocó.</t>
  </si>
  <si>
    <t>DERECHO Y RAZON ASOCIADOS S.A.S</t>
  </si>
  <si>
    <t>https://community.secop.gov.co/Public/Tendering/ContractNoticePhases/View?PPI=CO1.PPI.41315894&amp;isFromPublicArea=True&amp;isModal=False</t>
  </si>
  <si>
    <t>300-2025-0036</t>
  </si>
  <si>
    <t>Servicio de reparación y mantenimiento de vidrios conforme a propuesta presentada.</t>
  </si>
  <si>
    <t>JAIME NELSON BOTINA BARRERA</t>
  </si>
  <si>
    <t>https://community.secop.gov.co/Public/Tendering/ContractNoticePhases/View?PPI=CO1.PPI.41314985&amp;isFromPublicArea=True&amp;isModal=False</t>
  </si>
  <si>
    <t>300-2025-0037</t>
  </si>
  <si>
    <t>Prestación servicio de comedor para cena de 20 personas, fin realizar lanzamiento
mutuamente 2025, el día 26 de marzo del 2025.</t>
  </si>
  <si>
    <t>CAJA DE COMPENSACION FAMILIAR DE LA GUAJIRA</t>
  </si>
  <si>
    <t>https://community.secop.gov.co/Public/Tendering/ContractNoticePhases/View?PPI=CO1.PPI.41321804&amp;isFromPublicArea=True&amp;isModal=False</t>
  </si>
  <si>
    <t>300-2025-0038</t>
  </si>
  <si>
    <t>Adquisición de una nevera.</t>
  </si>
  <si>
    <t>COLOMBIANA DE COMERCIO S.A. Y/O ALKOSTO S.A.</t>
  </si>
  <si>
    <t>https://community.secop.gov.co/Public/Tendering/OpportunityDetail/Index?noticeUID=CO1.NTC.8139969&amp;isFromPublicArea=True&amp;isModal=False</t>
  </si>
  <si>
    <t>300-2025-0039</t>
  </si>
  <si>
    <t>Prestar el servicio de operador logístico para garantizar el desarrollo del evento lanzamiento
Mutuamente agentes y agencias 2025.</t>
  </si>
  <si>
    <t>https://community.secop.gov.co/Public/Tendering/OpportunityDetail/Index?noticeUID=CO1.NTC.8139739&amp;isFromPublicArea=True&amp;isModal=False</t>
  </si>
  <si>
    <t>300-2025-0040</t>
  </si>
  <si>
    <t>Contrar los servicios de organización y ejecución de evento empresarial actividad de Lanzamiento de plan de incentivos mutuamente año 2025 para 70 personas.</t>
  </si>
  <si>
    <t>BASHIR S.A.S.</t>
  </si>
  <si>
    <t>https://community.secop.gov.co/Public/Tendering/OpportunityDetail/Index?noticeUID=CO1.NTC.8140551&amp;isFromPublicArea=True&amp;isModal=False</t>
  </si>
  <si>
    <t>300-2025-0041</t>
  </si>
  <si>
    <t>Contratar el servicio de restaurante para el lanzamiento mutuamente 2025 agentes y agencias Pereira.</t>
  </si>
  <si>
    <t>GRUPO INVERSIONES MONTOYA S.A.S</t>
  </si>
  <si>
    <t>https://community.secop.gov.co/Public/Tendering/OpportunityDetail/Index?noticeUID=CO1.NTC.8140252&amp;isFromPublicArea=True&amp;isModal=False</t>
  </si>
  <si>
    <t>300-2025-0042</t>
  </si>
  <si>
    <t xml:space="preserve">Prestar el servicio de logística, organización y alimentación para actividad de lanzamiento mutuamente 2025 para los agentes y agencias de la sucursal Medellin. </t>
  </si>
  <si>
    <t>VALERIA DIAZ ASTAIZA</t>
  </si>
  <si>
    <t>https://community.secop.gov.co/Public/Tendering/OpportunityDetail/Index?noticeUID=CO1.NTC.8140861&amp;isFromPublicArea=True&amp;isModal=False</t>
  </si>
  <si>
    <t>300-2025-0043</t>
  </si>
  <si>
    <t>Servicios para la organización y ejecución del Evento denominado: Lanzamiento plan de intermediarios 2025 dirigido a los aliados estratégicos de La Previsora S.A. Sucursal Manizales.</t>
  </si>
  <si>
    <t>EL EFECTO BARBACOA SAS</t>
  </si>
  <si>
    <t>https://community.secop.gov.co/Public/Tendering/OpportunityDetail/Index?noticeUID=CO1.NTC.8139894&amp;isFromPublicArea=True&amp;isModal=False</t>
  </si>
  <si>
    <t>300-2025-0044</t>
  </si>
  <si>
    <t>Prestar el servicio de realizar el evento lanzamiento Mutuamente 2025 agentes y agencias suursal Cucuta.</t>
  </si>
  <si>
    <t>ORGANIZACION EPICCO S.A.S</t>
  </si>
  <si>
    <t>https://community.secop.gov.co/Public/Tendering/OpportunityDetail/Index?noticeUID=CO1.NTC.8141506&amp;isFromPublicArea=True&amp;isModal=False</t>
  </si>
  <si>
    <t>300-2025-0045</t>
  </si>
  <si>
    <t>Mantenimiento preventivo y correctivo de 7 unidades de aire acondicionado.</t>
  </si>
  <si>
    <t>ECOCLIMA S. A. S</t>
  </si>
  <si>
    <t>https://community.secop.gov.co/Public/Tendering/ContractNoticePhases/View?PPI=CO1.PPI.41325124&amp;isFromPublicArea=True&amp;isModal=False</t>
  </si>
  <si>
    <t>300-2025-0046</t>
  </si>
  <si>
    <t>Prestar los servicios de un salón para un grupo de 42 personas, evento que tiene como objeto el Lanzamiento mutuamente año 2025, con agentes y agencias de La Previsora S.A. Sucursal Ibagué.</t>
  </si>
  <si>
    <t>ORLANDO ANDRES DURAN TAFUR</t>
  </si>
  <si>
    <t>https://community.secop.gov.co/Public/Tendering/OpportunityDetail/Index?noticeUID=CO1.NTC.8144004&amp;isFromPublicArea=True&amp;isModal=False</t>
  </si>
  <si>
    <t>300-2025-0047</t>
  </si>
  <si>
    <t>Prestar el servicio de mantenimiento preventivo de la oficina (aires acondicionados, planta eléctrica, muebles y enseres, etc), pintura de las instalaciones y los elementos de trabajo de los funcionarios de la Sucursal.</t>
  </si>
  <si>
    <t xml:space="preserve">https://community.secop.gov.co/Public/Tendering/ContractNoticePhases/View?PPI=CO1.PPI.40013569&amp;isFromPublicArea=True&amp;isModal=False </t>
  </si>
  <si>
    <t>300-2025-0048</t>
  </si>
  <si>
    <t>Prestar el servicio de salón y apoyo logístico para evento empresarial y servicio a la mesa con un show de la gastronomía turca para el
lanzamiento mutuamente agentes y agencias 2025.</t>
  </si>
  <si>
    <t>https://community.secop.gov.co/Public/Tendering/ContractNoticePhases/View?PPI=CO1.PPI.39493729&amp;isFromPublicArea=True&amp;isModal=False</t>
  </si>
  <si>
    <t>300-2025-0049</t>
  </si>
  <si>
    <t>Prestar el servicio de evento lanzamiento plan de incentivos Mutuamente 2025 para aliados de Previsora Cartagena.</t>
  </si>
  <si>
    <t>INVERSIONES M S.A.S</t>
  </si>
  <si>
    <t>https://community.secop.gov.co/Public/Tendering/OpportunityDetail/Index?noticeUID=CO1.NTC.8140757&amp;isFromPublicArea=True&amp;isModal=False</t>
  </si>
  <si>
    <t>300-2025-0050</t>
  </si>
  <si>
    <t>Servicio de alquiler de salon de eventos para catering con microfono, video beam, sonido, almuerzo y ambientación musical.</t>
  </si>
  <si>
    <t>https://community.secop.gov.co/Public/Tendering/ContractNoticePhases/View?PPI=CO1.PPI.41322672&amp;isFromPublicArea=True&amp;isModal=False</t>
  </si>
  <si>
    <t>300-2025-0051</t>
  </si>
  <si>
    <t>Prestar el servicio evento lanzamiento mutuamente 2025 agentes y agencias.</t>
  </si>
  <si>
    <t>https://community.secop.gov.co/Public/Tendering/ContractNoticePhases/View?PPI=CO1.PPI.41321893&amp;isFromPublicArea=True&amp;isModal=False</t>
  </si>
  <si>
    <t>300-2025-0052</t>
  </si>
  <si>
    <t>Prestar los servicios de apoyo logístico para desarrollar el Lanzamiento Mutuamente 2025 para Agentes y Agencias.</t>
  </si>
  <si>
    <t>https://community.secop.gov.co/Public/Tendering/ContractNoticePhases/View?PPI=CO1.PPI.39490944&amp;isFromPublicArea=True&amp;isModal=False</t>
  </si>
  <si>
    <t>300-2025-0053</t>
  </si>
  <si>
    <t xml:space="preserve">Servicios de restaurante para 35 personas, incluido el salón, servicio de meseros, ayudas audiovisuales (video bean), sonido y ambientación musical. </t>
  </si>
  <si>
    <t>MARIA NELLY CALUME PRETELT</t>
  </si>
  <si>
    <t>https://community.secop.gov.co/Public/Tendering/ContractNoticePhases/View?PPI=CO1.PPI.41323382&amp;isFromPublicArea=True&amp;isModal=False</t>
  </si>
  <si>
    <t>300-2025-0054</t>
  </si>
  <si>
    <t>https://community.secop.gov.co/Public/Tendering/OpportunityDetail/Index?noticeUID=CO1.NTC.8147274&amp;isFromPublicArea=True&amp;isModal=False</t>
  </si>
  <si>
    <t>300-2025-0055</t>
  </si>
  <si>
    <t>Arrendamiento de parqueadero para los funcionarios de la sucursal.</t>
  </si>
  <si>
    <t>G5 ENGINEERING SAS</t>
  </si>
  <si>
    <t>https://community.secop.gov.co/Public/Tendering/ContractNoticePhases/View?PPI=CO1.PPI.41327300&amp;isFromPublicArea=True&amp;isModal=False</t>
  </si>
  <si>
    <t>300-2025-0056</t>
  </si>
  <si>
    <t>Servicio de restaurante para el lanzamiento de mutuamente 2025 agentes y agencias de la sucursal Sincelejo.</t>
  </si>
  <si>
    <t>LINA PAOLA NASSER GAVIRIA</t>
  </si>
  <si>
    <t>https://community.secop.gov.co/Public/Tendering/ContractNoticePhases/View?PPI=CO1.PPI.41327630&amp;isFromPublicArea=True&amp;isModal=False</t>
  </si>
  <si>
    <t>300-2025-0057</t>
  </si>
  <si>
    <t>Mantenimiento de aires acondicionados y tres extractores de baño de la sucursal de Manizales.</t>
  </si>
  <si>
    <t>ESPECIALISTAS EN MANTENIMIENTO Y AUTOMATIZACION E.M.A INGENIERIA S.A.S</t>
  </si>
  <si>
    <t>https://community.secop.gov.co/Public/Tendering/ContractNoticePhases/View?PPI=CO1.PPI.41328039&amp;isFromPublicArea=True&amp;isModal=False</t>
  </si>
  <si>
    <t>300-2025-0058</t>
  </si>
  <si>
    <t>AIREFRITERMICA S.A.S</t>
  </si>
  <si>
    <t>https://community.secop.gov.co/Public/Tendering/OpportunityDetail/Index?noticeUID=CO1.NTC.8461547&amp;isFromPublicArea=True&amp;isModal=False</t>
  </si>
  <si>
    <t>300-2025-0059</t>
  </si>
  <si>
    <t>servicio de 2 mantenimientos preventivos y correctivos de la Planta Eléctrica
de la Sucursal, incluido los insumos utilizados.</t>
  </si>
  <si>
    <t>https://community.secop.gov.co/Public/Tendering/OpportunityDetail/Index?noticeUID=CO1.NTC.8470048&amp;isFromPublicArea=True&amp;isModal=False</t>
  </si>
  <si>
    <t>300-2025-0060</t>
  </si>
  <si>
    <t>Suministro e instalación de una maquina completa de aire acondicionado para la sucursal medellin en el cuarto tecnico.</t>
  </si>
  <si>
    <t>COMERCIAL Y SERVICIOS LARCO S. A.S</t>
  </si>
  <si>
    <t>https://community.secop.gov.co/Public/Tendering/OpportunityDetail/Index?noticeUID=CO1.NTC.8469777&amp;isFromPublicArea=True&amp;isModal=False</t>
  </si>
  <si>
    <t>300-2025-0061</t>
  </si>
  <si>
    <t xml:space="preserve">Rrealizar los trabajos de adecuación y obra civil para la instalación de aire acondicionado para el cuarto tecnico de la sucursal Medellin. </t>
  </si>
  <si>
    <t>https://community.secop.gov.co/Public/Tendering/OpportunityDetail/Index?noticeUID=CO1.NTC.8470516&amp;isFromPublicArea=True&amp;isModal=False</t>
  </si>
  <si>
    <t>300-2025-0062</t>
  </si>
  <si>
    <t xml:space="preserve">Contratar el mantenimiento preventivo y correctivo de los aires acondicionados de la sucursal. </t>
  </si>
  <si>
    <t>EQUIPOS ESPECIALES DE REFRIGERACION LTDA.</t>
  </si>
  <si>
    <t>https://community.secop.gov.co/Public/Tendering/OpportunityDetail/Index?noticeUID=CO1.NTC.8470560&amp;isFromPublicArea=True&amp;isModal=False</t>
  </si>
  <si>
    <t>300-2025-0063</t>
  </si>
  <si>
    <t>Mantenimiento preventivo y/o correctivo de los aires acondicionados de la sucursal.</t>
  </si>
  <si>
    <t>https://community.secop.gov.co/Public/Tendering/OpportunityDetail/Index?noticeUID=CO1.NTC.8471821&amp;isFromPublicArea=True&amp;isModal=False</t>
  </si>
  <si>
    <t>300-2025-0064</t>
  </si>
  <si>
    <t>Realización del evento lanzamiento mutuamente 2025</t>
  </si>
  <si>
    <t>https://community.secop.gov.co/Public/Tendering/ContractNoticePhases/View?PPI=CO1.PPI.41325863&amp;isFromPublicArea=True&amp;isModal=False</t>
  </si>
  <si>
    <t>300-2025-0065</t>
  </si>
  <si>
    <t>Suministro e instalación de un televisor marca Samsung d e 55 pulgadas para la sucursal Yopal.</t>
  </si>
  <si>
    <t>https://community.secop.gov.co/Public/Tendering/OpportunityDetail/Index?noticeUID=CO1.NTC.8472632&amp;isFromPublicArea=True&amp;isModal=False</t>
  </si>
  <si>
    <t>300-2025-0066</t>
  </si>
  <si>
    <t>Realizar el cambio de dos avisos publicitarios de la sucursal Yopal.</t>
  </si>
  <si>
    <t>https://community.secop.gov.co/Public/Tendering/ContractNoticePhases/View?PPI=CO1.PPI.40913169&amp;isFromPublicArea=True&amp;isModal=False
https://community.secop.gov.co/Public/Tendering/OpportunityDetail/Index?noticeUID=CO1.NTC.8472811&amp;a…</t>
  </si>
  <si>
    <t>300-2025-0067</t>
  </si>
  <si>
    <t xml:space="preserve">Suministro e instalación de la sub acometida eléctrica parcial del local
de la previsora Sucursal Florencia. </t>
  </si>
  <si>
    <t>https://community.secop.gov.co/Public/Tendering/OpportunityDetail/Index?noticeUID=CO1.NTC.8472513&amp;isFromPublicArea=True&amp;isModal=False</t>
  </si>
  <si>
    <t>300-2025-0068</t>
  </si>
  <si>
    <t>Suministro e instalación de un aviso publicitario luminoso, el cual incluye dos retablos, pelicula vinílica digitalizada, señelitica informativa y de seguridad.</t>
  </si>
  <si>
    <t>LOGOGRAF GROUP S.A.</t>
  </si>
  <si>
    <t>https://community.secop.gov.co/Public/Tendering/ContractNoticePhases/View?PPI=CO1.PPI.42100225&amp;…</t>
  </si>
  <si>
    <t>300-2025-0069</t>
  </si>
  <si>
    <t>Suministro de vajilla, maquina dispensadora de café, proyector LED,  telon pantalla y trípode.</t>
  </si>
  <si>
    <t>https://community.secop.gov.co/Public/Tendering/OpportunityDetail/Index?noticeUID=CO1.NTC.8476792&amp;isFromPublicArea=True&amp;isModal=False</t>
  </si>
  <si>
    <t>300-2025-0070</t>
  </si>
  <si>
    <t>Suministrar una nevera de 249
Lts y un Televisor 65” para las oficinas de la sucursal Sincelejo.</t>
  </si>
  <si>
    <t>PEDRO JOSE GARZON MONROY</t>
  </si>
  <si>
    <t>https://community.secop.gov.co/Public/Tendering/OpportunityDetail/Index?noticeUID=CO1.NTC.8472798&amp;isFromPublicArea=True&amp;isModal=False</t>
  </si>
  <si>
    <t>300-2025-0071</t>
  </si>
  <si>
    <t xml:space="preserve">Suministro e instalación de tres televisores y un juego de persinas enrollables con blackout.  </t>
  </si>
  <si>
    <t>https://community.secop.gov.co/Public/Tendering/ContractNoticePhases/View?PPI=CO1.PPI.42101403&amp;…</t>
  </si>
  <si>
    <t>300-2025-0072</t>
  </si>
  <si>
    <t xml:space="preserve">servicio de alimentación y atención a los intermediarios de la sucursal, durante la actividad de Mutuamente 2025  </t>
  </si>
  <si>
    <t>https://community.secop.gov.co/Public/Tendering/OpportunityDetail/Index?noticeUID=CO1.NTC.8480836&amp;isFromPublicArea=True&amp;isModal=False</t>
  </si>
  <si>
    <t>300-2025-0073</t>
  </si>
  <si>
    <t>Suministro de 4 sillas para la sucursal.</t>
  </si>
  <si>
    <t>JUAN CARLOS ESPINAL PACHECO</t>
  </si>
  <si>
    <t>https://community.secop.gov.co/Public/Tendering/OpportunityDetail/Index?noticeUID=CO1.NTC.8482375&amp;isFromPublicArea=True&amp;isModal=False</t>
  </si>
  <si>
    <t>300-2025-0074</t>
  </si>
  <si>
    <t>mantenimiento preventivo y/o correctivo de los aires acondicionados de la sucursal.</t>
  </si>
  <si>
    <t>https://community.secop.gov.co/Public/Tendering/OpportunityDetail/Index?noticeUID=CO1.NTC.8482842&amp;isFromPublicArea=True&amp;isModal=False</t>
  </si>
  <si>
    <t>300-2025-0075</t>
  </si>
  <si>
    <t>mantenimiento preventivo de los aires acondicionados.</t>
  </si>
  <si>
    <t>OPTIAIR S.A.S.</t>
  </si>
  <si>
    <t>https://community.secop.gov.co/Public/Tendering/OpportunityDetail/Index?noticeUID=CO1.NTC.8483050&amp;isFromPublicArea=True&amp;isModal=False</t>
  </si>
  <si>
    <t>300-2025-0076</t>
  </si>
  <si>
    <t>Prestar el servicio de impresión de los carnets estudiantiles de las pólizas de accidentes personales emitidas por
la Sucursal Montería.</t>
  </si>
  <si>
    <t>https://community.secop.gov.co/Public/Tendering/ContractNoticePhases/View?PPI=CO1.PPI.41315094&amp;isFromPublicArea=True&amp;isModal=False</t>
  </si>
  <si>
    <t>300-2025-0077</t>
  </si>
  <si>
    <t>Suministrar e instalar un extintor en las oficias de la sucursal.</t>
  </si>
  <si>
    <t>PROTECCION INTEGRAL DEL TOLIMA S.A.S</t>
  </si>
  <si>
    <t>https://www.secop.gov.co/CO1BusinessLine/Tendering/ProcedureEdit/View?docUniqueIdentifier=CO1.REQ.8614892&amp;prevCtxUrl=https%3a%2f%2fwww.secop.gov.co%2fCO1BusinessLine%2fTendering%2fBuyerDossierWorkspace%2fIndex%3fcreateDateFrom%3d23%2f01%2f2025+20%3a12%3a01%26createDateTo%3d23%2f07%2f2025+20%3a12%3a01%26filteringState%3d1%26sortingState%3dLastModifiedDESC%26showAdvancedSearch%3dFalse%26showAdvancedSearchFields%3dFalse%26folderCode%3dALL%26selectedDossier%3dCO1.BDOS.8462516%26selectedRequest%3dCO1.REQ.8614892%26&amp;prevCtxLbl=Procesos+de+la+Entidad+Estatal</t>
  </si>
  <si>
    <t>300-2025-0078</t>
  </si>
  <si>
    <t>Mantenimiento y reparación a equipo de planta eléctrica en la Sucursal Cartagena.</t>
  </si>
  <si>
    <t>https://community.secop.gov.co/Public/Tendering/ContractNoticePhases/View?PPI=CO1.PPI.41315849&amp;isFromPublicArea=True&amp;isModal=False</t>
  </si>
  <si>
    <t>300-2025-0079</t>
  </si>
  <si>
    <t>Prestar el servicio de mantenimiento a equipos de aire acondicionado en la Sucursal Cartagena.</t>
  </si>
  <si>
    <t>INGENIERÍA, PROYECTOS Y DISEÑOS S.A.S</t>
  </si>
  <si>
    <t>https://community.secop.gov.co/Public/Tendering/ContractNoticePhases/View?PPI=CO1.PPI.41315861&amp;isFromPublicArea=True&amp;isModal=False</t>
  </si>
  <si>
    <t>300-2025-0080</t>
  </si>
  <si>
    <t>Servicio de Alquiler de Fotocopiadora para la sucursal de Bucaramanga.</t>
  </si>
  <si>
    <t>JAIRO OSORIO CABALLERO</t>
  </si>
  <si>
    <t>https://community.secop.gov.co/Public/Tendering/ContractNoticePhases/View?PPI=CO1.PPI.41315100&amp;isFromPublicArea=True&amp;isModal=False</t>
  </si>
  <si>
    <t>300-2025-0081</t>
  </si>
  <si>
    <t>Prestar el servicio de mantenimiento correctivo y preventivo del aire acondicionado del Rack de la sucursal.</t>
  </si>
  <si>
    <t>SILVIO ANDRES ORTIZ MUÑOZ</t>
  </si>
  <si>
    <t>https://community.secop.gov.co/Public/Tendering/ContractNoticePhases/View?PPI=CO1.PPI.41325689&amp;isFromPublicArea=True&amp;isModal=False</t>
  </si>
  <si>
    <t>300-2025-0082</t>
  </si>
  <si>
    <t>Adquisición de 4 sillas para la sucursal</t>
  </si>
  <si>
    <t>https://community.secop.gov.co/Public/Tendering/ContractNoticePhases/View?PPI=CO1.PPI.41315864&amp;isFromPublicArea=True&amp;isModal=False</t>
  </si>
  <si>
    <t>300-2025-0083</t>
  </si>
  <si>
    <t>Cambio del aviso de las instalaciones de la sucursal Villavicencio.</t>
  </si>
  <si>
    <t>CARLOS ALBERTO MALAVER BEJARANO</t>
  </si>
  <si>
    <t>https://community.secop.gov.co/Public/Tendering/ContractNoticePhases/View?PPI=CO1.PPI.41319467&amp;isFromPublicArea=True&amp;isModal=False</t>
  </si>
  <si>
    <t>300-2025-0084</t>
  </si>
  <si>
    <t>Suministro e instalación de extractores para los baños de la sucursal.</t>
  </si>
  <si>
    <t>https://community.secop.gov.co/Public/Tendering/ContractNoticePhases/View?PPI=CO1.PPI.41320124&amp;isFromPublicArea=True&amp;isModal=False</t>
  </si>
  <si>
    <t>300-2025-0085</t>
  </si>
  <si>
    <t>Mantenimiento preventivo, desincruste de serpentines y refuerzo de gas refrigerante de los aires acondicionados de la sucursal.</t>
  </si>
  <si>
    <t>https://community.secop.gov.co/Public/Tendering/ContractNoticePhases/View?PPI=CO1.PPI.41320503&amp;isFromPublicArea=True&amp;isModal=False</t>
  </si>
  <si>
    <t>300-2025-0086</t>
  </si>
  <si>
    <t>Recarga y mantenimiento de los extintores de la sucursal.</t>
  </si>
  <si>
    <t>https://community.secop.gov.co/Public/Tendering/ContractNoticePhases/View?PPI=CO1.PPI.41326021&amp;isFromPublicArea=True&amp;isModal=False</t>
  </si>
  <si>
    <t>300-2025-0087</t>
  </si>
  <si>
    <t>Prestar servicios en la reubicación de puntos de red, suministro e instalación jack sencillo categoría 6, instalación
identificación y marcado de puntos de red nuevos, limpieza general del rack y certificación de los puntos de red nuevos.</t>
  </si>
  <si>
    <t>SOCIEDAD INGENIEROS ELECTRICOS Y DE REDES S.AS</t>
  </si>
  <si>
    <t>https://community.secop.gov.co/Public/Tendering/ContractNoticePhases/View?PPI=CO1.PPI.41320961&amp;isFromPublicArea=True&amp;isModal=False</t>
  </si>
  <si>
    <t>300-2025-0088</t>
  </si>
  <si>
    <t>Cambio de aviso de la sucursal, teniendo en cuenta la linea grafica de la compañía.</t>
  </si>
  <si>
    <t>DORIAN ISRAEL CEBALLOS OJEDA</t>
  </si>
  <si>
    <t>https://community.secop.gov.co/Public/Tendering/ContractNoticePhases/View?PPI=CO1.PPI.41322528&amp;isFromPublicArea=True&amp;isModal=False</t>
  </si>
  <si>
    <t>300-2025-0089</t>
  </si>
  <si>
    <t xml:space="preserve">Suministro e instalación de un juego de persinas enrollables blackout y persianas doble función. </t>
  </si>
  <si>
    <t>https://community.secop.gov.co/Public/Tendering/ContractNoticePhases/View?PPI=CO1.PPI.42102888&amp;…</t>
  </si>
  <si>
    <t>300-2025-0090</t>
  </si>
  <si>
    <t xml:space="preserve">Realizar adecuaciones, fumigación y mantenimiento general sede Arauca. </t>
  </si>
  <si>
    <t>DELCY MARIA ORDOÑEZ ALVAREZ</t>
  </si>
  <si>
    <t>https://community.secop.gov.co/Public/Tendering/ContractNoticePhases/View?PPI=CO1.PPI.41322582&amp;isFromPublicArea=True&amp;isModal=False</t>
  </si>
  <si>
    <t>300-2025-0091</t>
  </si>
  <si>
    <t>Desmonte, limpieza, corrección, mantenimiento, cambio de lices, impresión e instalción del aviso de la sucursal</t>
  </si>
  <si>
    <t>https://community.secop.gov.co/Public/Tendering/ContractNoticePhases/View?PPI=CO1.PPI.41323297&amp;isFromPublicArea=True&amp;isModal=False</t>
  </si>
  <si>
    <t>300-2025-0092</t>
  </si>
  <si>
    <t>Adquisición de un equipo de video conferencias con su correspondiente instalación y adecuación en la sala de capacitación
de la Sucursal Centro Empresarial Corporativo.</t>
  </si>
  <si>
    <t>INTEGRACION AV S.A.S</t>
  </si>
  <si>
    <t>https://community.secop.gov.co/Public/Tendering/ContractNoticePhases/View?PPI=CO1.PPI.41323779&amp;isFromPublicArea=True&amp;isModal=False</t>
  </si>
  <si>
    <t>300-2025-0093</t>
  </si>
  <si>
    <t>Realizar evento dia de la familia para los funcionarios de la sucursal.</t>
  </si>
  <si>
    <t xml:space="preserve">ANDRES OCANDO COLINA TORRES </t>
  </si>
  <si>
    <t>https://community.secop.gov.co/Public/Tendering/ContractNoticePhases/View?PPI=CO1.PPI.41324352&amp;isFromPublicArea=True&amp;isModal=False</t>
  </si>
  <si>
    <t>300-2025-0094</t>
  </si>
  <si>
    <t>Mantenimiento de aire acondicionado y luminarias de la sucursal.</t>
  </si>
  <si>
    <t>https://community.secop.gov.co/Public/Tendering/OpportunityDetail/Index?noticeUID=CO1.NTC.8762575&amp;a…</t>
  </si>
  <si>
    <t>300-2025-0095</t>
  </si>
  <si>
    <t xml:space="preserve"> Realizar mantenimiento correctivo al rack de la sucursal Pereira,  por goteo permanente de la tuberia.</t>
  </si>
  <si>
    <t>https://community.secop.gov.co/Public/Tendering/ContractNoticePhases/View?PPI=CO1.PPI.41324903&amp;isFromPublicArea=True&amp;isModal=False</t>
  </si>
  <si>
    <t>300-2025-0097</t>
  </si>
  <si>
    <t>Cambio de los avisos de la sucursal Pereira, correspondiente a microperforado en acrílico negro y aviso en vidrio con sistema luminoso.</t>
  </si>
  <si>
    <t>SOLUCIONES GRAFIKAS S.A.S.</t>
  </si>
  <si>
    <t>https://community.secop.gov.co/Public/Tendering/ContractNoticePhases/View?PPI=CO1.PPI.41325634&amp;…</t>
  </si>
  <si>
    <t>300-2025-0098</t>
  </si>
  <si>
    <t>Pintura de cielo raso y fachada de la sucursal.</t>
  </si>
  <si>
    <t>https://community.secop.gov.co/Public/Tendering/OpportunityDetail/Index?noticeUID=CO1.NTC.8763149&amp;a…</t>
  </si>
  <si>
    <t>300-2025-0099</t>
  </si>
  <si>
    <t>Suministro de 3 butacos y una nevera conforme a cotización.</t>
  </si>
  <si>
    <t>https://community.secop.gov.co/Public/Tendering/ContractNoticePhases/View?PPI=CO1.PPI.43377332&amp;…</t>
  </si>
  <si>
    <t>300-2025-0100</t>
  </si>
  <si>
    <t>Realizar el mantenimiento
preventivo y correctivo de la planta eléctrica de propiedad de la aseguradora.</t>
  </si>
  <si>
    <t>https://community.secop.gov.co/Public/Tendering/ContractNoticePhases/View?PPI=CO1.PPI.44226672&amp;isFr…</t>
  </si>
  <si>
    <t>300-2025-0101</t>
  </si>
  <si>
    <t>Prestar el servicio de Realizar actividad del día de la familia para los funcionarios de La Previsora S.A. Sucursal Yopal.</t>
  </si>
  <si>
    <t>https://community.secop.gov.co/Public/Tendering/ContractNoticePhases/View?PPI=CO1.PPI.41834055&amp;…</t>
  </si>
  <si>
    <t>300-2025-0102</t>
  </si>
  <si>
    <t>Prestar servicios recreativos, logísticos y de alimentación para la celebración del Día de la Familia.</t>
  </si>
  <si>
    <t>CAJA DE COMPENSACION FAMILIAR DEL NORTE DE SANTANDER</t>
  </si>
  <si>
    <t>https://community.secop.gov.co/Public/Tendering/ContractNoticePhases/View?PPI=CO1.PPI.42113573&amp;…</t>
  </si>
  <si>
    <t>300-2025-0103</t>
  </si>
  <si>
    <t>Celebración día de la familia con almuerzo y refrigerio en la playa.</t>
  </si>
  <si>
    <t>TU GUIA DE VIAJES SAS</t>
  </si>
  <si>
    <t>https://community.secop.gov.co/Public/Tendering/ContractNoticePhases/View?PPI=CO1.PPI.42114411&amp;…</t>
  </si>
  <si>
    <t>300-2025-0096</t>
  </si>
  <si>
    <t>Cambio del aviso de la sucursal Manizales de acuerdo con la nueva imagen corporativa de la compañía.</t>
  </si>
  <si>
    <t>PRINT HOUSE PUBLICIDAD S.A.S.</t>
  </si>
  <si>
    <t>https://community.secop.gov.co/Public/Tendering/ContractNoticePhases/View?PPI=CO1.PPI.41913728&amp;isFromPublicArea=True&amp;isModal=False</t>
  </si>
  <si>
    <t>300-2025-0104</t>
  </si>
  <si>
    <t xml:space="preserve">Prestación de servicios para la organización y ejecución del evento denominado dia de la familia dirigido a los funcionarios de La Previsora </t>
  </si>
  <si>
    <t>FONDO DE EMPLEADOS UNIVERSIDAD DE CALDAS. SIGLA FONCALDAS</t>
  </si>
  <si>
    <t>https://community.secop.gov.co/Public/Tendering/ContractNoticePhases/View?PPI=CO1.PPI.42007042&amp;…</t>
  </si>
  <si>
    <t>300-2025-0105</t>
  </si>
  <si>
    <t>Realizar cambio de estructura para el aviso de la sucursal.</t>
  </si>
  <si>
    <t>https://community.secop.gov.co/Public/Tendering/ContractNoticePhases/View?PPI=CO1.PPI.42011524&amp;…</t>
  </si>
  <si>
    <t>300-2025-0106</t>
  </si>
  <si>
    <t>Compra de televisor y video proyector para la sucursal</t>
  </si>
  <si>
    <t xml:space="preserve"> LA PIPA COMERCIALIZADORA S.A.S.</t>
  </si>
  <si>
    <t>https://community.secop.gov.co/Public/Tendering/ContractNoticePhases/View?PPI=CO1.PPI.42492862&amp;…</t>
  </si>
  <si>
    <t>300-2025-0107</t>
  </si>
  <si>
    <t>Prestar servicios de alimentación e ingreso de los funcionarios de LA PREVISORA al centro de recreación denominada Mawa.</t>
  </si>
  <si>
    <t>MAXIMIZA S.A.S.</t>
  </si>
  <si>
    <t>https://community.secop.gov.co/Public/Tendering/ContractNoticePhases/View?PPI=CO1.PPI.42012508&amp;…</t>
  </si>
  <si>
    <t>300-2025-0108</t>
  </si>
  <si>
    <t>Celebración día de la familia para los funcionarios de la sucursal.</t>
  </si>
  <si>
    <t>YUDY ALEJANDRA RENDON CADAVID</t>
  </si>
  <si>
    <t>https://community.secop.gov.co/Public/Tendering/ContractNoticePhases/View?PPI=CO1.PPI.42495911&amp;…</t>
  </si>
  <si>
    <t>300-2025-0109</t>
  </si>
  <si>
    <t>Prestar los servicios para realización de actividad de bienestar dia de la familia para la sucursal.</t>
  </si>
  <si>
    <t>FUNDACION PARQUE DE LA CULTURA CAFETERA</t>
  </si>
  <si>
    <t>https://community.secop.gov.co/Public/Tendering/ContractNoticePhases/View?PPI=CO1.PPI.42019629&amp;…</t>
  </si>
  <si>
    <t>300-2025-0110</t>
  </si>
  <si>
    <t>Prestación de servicio de comedor para 11 almuerzos el día 25 de julio para los Funcionarios de LA PREVIOSORA S.A., con el fin de celebrar el día de la Familia en la Sucursal Riohacha.</t>
  </si>
  <si>
    <t>https://community.secop.gov.co/Public/Tendering/ContractNoticePhases/View?PPI=CO1.PPI.41845500&amp;isFromPublicArea=True&amp;isModal=False</t>
  </si>
  <si>
    <t>300-2025-0111</t>
  </si>
  <si>
    <t>Prestar el servicio de pasadia para la celebración del día de la familia.</t>
  </si>
  <si>
    <t>CARMEN VIVIANA AREVALO PEREZ</t>
  </si>
  <si>
    <t>https://community.secop.gov.co/Public/Tendering/ContractNoticePhases/View?PPI=CO1.PPI.42106642&amp;…</t>
  </si>
  <si>
    <t>300-2025-0112</t>
  </si>
  <si>
    <t>Prestación de servicios de restaurante para el Día de la Familia y Aniversario de la Previsora para la
sucursal sincelejo.</t>
  </si>
  <si>
    <t>ANDRES MAURICIO DIAZ URANGO</t>
  </si>
  <si>
    <t>https://community.secop.gov.co/Public/Tendering/ContractNoticePhases/View?PPI=CO1.PPI.42496640&amp;…</t>
  </si>
  <si>
    <t>300-2025-0113</t>
  </si>
  <si>
    <t>Servicio cena en conmemoración al día de la familia 2025 para funcionarios de Previsora sucursal Cartagena.</t>
  </si>
  <si>
    <t xml:space="preserve">INVERSIONES M S.A.S </t>
  </si>
  <si>
    <t>https://community.secop.gov.co/Public/Tendering/ContractNoticePhases/View?PPI=CO1.PPI.41846615&amp;isFromPublicArea=True&amp;isModal=False</t>
  </si>
  <si>
    <t>300-2025-0114</t>
  </si>
  <si>
    <t>Suministro e instalación y mantenimiento del aviso luminoso.</t>
  </si>
  <si>
    <t>https://community.secop.gov.co/Public/Tendering/ContractNoticePhases/View?PPI=CO1.PPI.41848077&amp;isFromPublicArea=True&amp;isModal=False</t>
  </si>
  <si>
    <t>300-2025-0115</t>
  </si>
  <si>
    <t>Suministro de nevera para la sucursal Medellin.</t>
  </si>
  <si>
    <t>https://community.secop.gov.co/Public/Tendering/ContractNoticePhases/View?PPI=CO1.PPI.41849768&amp;isFromPublicArea=True&amp;isModal=False</t>
  </si>
  <si>
    <t>300-2025-0116</t>
  </si>
  <si>
    <t>Adquisición, instalación y mantenimiento de la planta electrica de la sucursal</t>
  </si>
  <si>
    <t>https://community.secop.gov.co/Public/Tendering/ContractNoticePhases/View?PPI=CO1.PPI.41850389&amp;isFromPublicArea=True&amp;isModal=False</t>
  </si>
  <si>
    <t>300-2025-0117</t>
  </si>
  <si>
    <t>Prestación de servicio para el evento del día de la familia para los funcionarios de la sucursal.</t>
  </si>
  <si>
    <t>CAJA DE COMPENSACION FAMILIAR COFREM</t>
  </si>
  <si>
    <t>https://community.secop.gov.co/Public/Tendering/ContractNoticePhases/View?PPI=CO1.PPI.42497629&amp;…</t>
  </si>
  <si>
    <t>300-2025-0118</t>
  </si>
  <si>
    <t>Prestar el serviciode salón para la celebración del día de la familia para los funcionarios de la sucursal.</t>
  </si>
  <si>
    <t>CAJA DE COMPENSACION FAMILIAR DE BOYACA COMFABOY</t>
  </si>
  <si>
    <t>https://community.secop.gov.co/Public/Tendering/ContractNoticePhases/View?PPI=CO1.PPI.41851804&amp;isFromPublicArea=True&amp;isModal=False</t>
  </si>
  <si>
    <t>300-2025-0119</t>
  </si>
  <si>
    <t>Compra de Mesa Plegable Polietileno, Sillas Polipropileno, Televisor de 55” Smart TV, Greca cafetera Industrial en acero inoxidable.</t>
  </si>
  <si>
    <t>https://community.secop.gov.co/Public/Tendering/ContractNoticePhases/View?PPI=CO1.PPI.42500335&amp;…</t>
  </si>
  <si>
    <t>300-2025-0120</t>
  </si>
  <si>
    <t>Prestación de servicio para el evento del cumpleaños de La Previsora.</t>
  </si>
  <si>
    <t>https://www.secop.gov.co/CO1BusinessLine/Tendering/BuyerWorkArea/Index?DocUniqueIdentifier=CO1.BDOS…</t>
  </si>
  <si>
    <t>300-2025-0121</t>
  </si>
  <si>
    <t>Realizar evento celebración aniversario 71 años de La Previsora.</t>
  </si>
  <si>
    <t xml:space="preserve">HOTEL GUANE INTERNACIONAL SAS </t>
  </si>
  <si>
    <t>https://community.secop.gov.co/Public/Tendering/ContractNoticePhases/View?PPI=CO1.PPI.42524311&amp;…</t>
  </si>
  <si>
    <t>300-2025-0122</t>
  </si>
  <si>
    <t>Prestación de servicio para la organización y ejecución del evento del compleaños de La Previsora.</t>
  </si>
  <si>
    <t>GRUPO INVERSIONES MONTOYA S.A.S.</t>
  </si>
  <si>
    <t>https://community.secop.gov.co/Public/Tendering/ContractNoticePhases/View?PPI=CO1.PPI.42638051&amp;…</t>
  </si>
  <si>
    <t>300-2025-0123</t>
  </si>
  <si>
    <t xml:space="preserve">Servicio de restaurante para la atención del evento de Aniversario 71 años de La Previsora. </t>
  </si>
  <si>
    <t>https://community.secop.gov.co/Public/Tendering/ContractNoticePhases/View?PPI=CO1.PPI.42524670&amp;…</t>
  </si>
  <si>
    <t>300-2025-0124</t>
  </si>
  <si>
    <t xml:space="preserve">Contratar el servicio para atender la actividad de aniversario Previsora. </t>
  </si>
  <si>
    <t>GRUPO LA AZOTEA S.A.S.</t>
  </si>
  <si>
    <t>https://community.secop.gov.co/Public/Tendering/ContractNoticePhases/View?PPI=CO1.PPI.42701559&amp;…</t>
  </si>
  <si>
    <t>300-2025-0125</t>
  </si>
  <si>
    <t>Realizar actividad aniversario # 71 Previsora Seguros.</t>
  </si>
  <si>
    <t>DIZI RESTO BAR S.A.S.</t>
  </si>
  <si>
    <t>https://community.secop.gov.co/Public/Tendering/ContractNoticePhases/View?PPI=CO1.PPI.42702957&amp;…</t>
  </si>
  <si>
    <t>300-2025-0126</t>
  </si>
  <si>
    <t>https://community.secop.gov.co/Public/Tendering/ContractNoticePhases/View?PPI=CO1.PPI.42704330&amp;…</t>
  </si>
  <si>
    <t>300-2025-0127</t>
  </si>
  <si>
    <t>Prestar el servicio para suministrar espacio, logística y alimentación para la actividad de aniversario 71 años de La Previsora.</t>
  </si>
  <si>
    <t xml:space="preserve"> GOMEZ DE MARINILLA S.A.S</t>
  </si>
  <si>
    <t>https://community.secop.gov.co/Public/Tendering/ContractNoticePhases/View?PPI=CO1.PPI.42705064&amp;…</t>
  </si>
  <si>
    <t>300-2025-0128</t>
  </si>
  <si>
    <t xml:space="preserve">Prestar los servicios de restaurante para la celebración del aniversario # 71 de La Previsora. </t>
  </si>
  <si>
    <t>VASQUEZ E HIJOS Y CIA S. EN C.S.</t>
  </si>
  <si>
    <t>https://community.secop.gov.co/Public/Tendering/ContractNoticePhases/View?PPI=CO1.PPI.42638773&amp;…</t>
  </si>
  <si>
    <t>300-2025-0129</t>
  </si>
  <si>
    <t>Prestar servicio de restaurante con el fin de celebrar el aniversario  # 71 de La Previsora.</t>
  </si>
  <si>
    <t>GHL GRAND VILLAVICENCIO HOTEL Y CENTRO DE CONVENCIONES</t>
  </si>
  <si>
    <t>https://community.secop.gov.co/Public/Tendering/ContractNoticePhases/View?PPI=CO1.PPI.42706319&amp;…</t>
  </si>
  <si>
    <t>300-2025-0130</t>
  </si>
  <si>
    <t>https://community.secop.gov.co/Public/Tendering/ContractNoticePhases/View?PPI=CO1.PPI.42706795&amp;…</t>
  </si>
  <si>
    <t>300-2025-0131</t>
  </si>
  <si>
    <t>Prestar servicio de almuerzo para el evento del  cumpleaños No. 71 de la Previsora.</t>
  </si>
  <si>
    <t>RESTAURANTE MING YUEN S.A.S.</t>
  </si>
  <si>
    <t>https://community.secop.gov.co/Public/Tendering/ContractNoticePhases/View?PPI=CO1.PPI.42711712&amp;…</t>
  </si>
  <si>
    <t>300-2025-0132</t>
  </si>
  <si>
    <t>Prestar servicio de logística y suministro de Catering para la celebración del aniversario No. 71 de la Previsora S.A en la sucursal Florencia.</t>
  </si>
  <si>
    <t>https://community.secop.gov.co/Public/Tendering/ContractNoticePhases/View?PPI=CO1.PPI.42710630&amp;…</t>
  </si>
  <si>
    <t>300-2025-0133</t>
  </si>
  <si>
    <t xml:space="preserve">Prestación de servicio para la impresión de la imagen corporativa por cambio del aviso de la sucursal. </t>
  </si>
  <si>
    <t>https://community.secop.gov.co/Public/Tendering/ContractNoticePhases/View?PPI=CO1.PPI.42530834&amp;…</t>
  </si>
  <si>
    <t>300-2025-0134</t>
  </si>
  <si>
    <t xml:space="preserve">Celebración dia de la familia para los funcionarios de la sucursal de Medellin. Suministro de 162 tiqueteras. </t>
  </si>
  <si>
    <t xml:space="preserve">CAJA DE COMPENSACION FAMILIAR DE ANTIOQUIA COMFAMA </t>
  </si>
  <si>
    <t>https://community.secop.gov.co/Public/Tendering/ContractNoticePhases/View?PPI=CO1.PPI.42099129&amp;…</t>
  </si>
  <si>
    <t>300-2025-0135</t>
  </si>
  <si>
    <t xml:space="preserve">Servicio de pasadía en el Parque del Café ubicado en el kilometro 6 via Montenegro,
para el día de la familia de los funcionarios. </t>
  </si>
  <si>
    <t>CAJA DE COMPENSACION FAMILIAR DEL VALLE DEL CAUCA - COMFAMILIAR ANDI - COMFANDI</t>
  </si>
  <si>
    <t>https://community.secop.gov.co/Public/Tendering/ContractNoticePhases/View?PPI=CO1.PPI.43034578&amp;…</t>
  </si>
  <si>
    <t>300-2025-0136</t>
  </si>
  <si>
    <t>https://community.secop.gov.co/Public/Tendering/ContractNoticePhases/View?PPI=CO1.PPI.42714052&amp;…</t>
  </si>
  <si>
    <t>300-2025-0137</t>
  </si>
  <si>
    <t>JULIAN ANDRES AGUDELO VALENCIA</t>
  </si>
  <si>
    <t>https://community.secop.gov.co/Public/Tendering/ContractNoticePhases/View?PPI=CO1.PPI.42102283&amp;…</t>
  </si>
  <si>
    <t>300-2025-0138</t>
  </si>
  <si>
    <t>Contratar los servicios para el desarrollo de la actividad de integración familiar para los familiares y funcionarios de la Previsora S.A.</t>
  </si>
  <si>
    <t>MAKROANDINA S.A.S</t>
  </si>
  <si>
    <t>https://community.secop.gov.co/Public/Tendering/ContractNoticePhases/View?PPI=CO1.PPI.43036907&amp;…</t>
  </si>
  <si>
    <t>300-2025-0139</t>
  </si>
  <si>
    <t xml:space="preserve">Prestar el servicio para el desmonte y montaje de la impresión en papel panaflex, con los colores de la nueva imagen de la compañía. </t>
  </si>
  <si>
    <t>ALVARO ARAGON RODRIGUEZ</t>
  </si>
  <si>
    <t>https://community.secop.gov.co/Public/Tendering/ContractNoticePhases/View?PPI=CO1.PPI.42730527&amp;…</t>
  </si>
  <si>
    <t>300-2025-0140</t>
  </si>
  <si>
    <t>Suministro de 2 extintores CO2</t>
  </si>
  <si>
    <t>https://community.secop.gov.co/Public/Tendering/ContractNoticePhases/View?PPI=CO1.PPI.43039951&amp;…</t>
  </si>
  <si>
    <t>300-2025-0141</t>
  </si>
  <si>
    <t>Compra de equipo de aire acondicionado para la oficina de gerencia de la Sucursal.</t>
  </si>
  <si>
    <t>https://community.secop.gov.co/Public/Tendering/ContractNoticePhases/View?PPI=CO1.PPI.43040809&amp;…</t>
  </si>
  <si>
    <t>300-2025-0142</t>
  </si>
  <si>
    <t>Realizar obras de pintura y arreglos generales en la sucursal.</t>
  </si>
  <si>
    <t>CONSTRUCTORA LSHG S.A.S</t>
  </si>
  <si>
    <t>https://community.secop.gov.co/Public/Tendering/ContractNoticePhases/View?PPI=CO1.PPI.43041071&amp;…</t>
  </si>
  <si>
    <t>300-2025-0143</t>
  </si>
  <si>
    <t>Cambio de lona y mantenimiento del aviso luminoso externo con la nueva imagen de la Compañía, Sucursal Riohacha.</t>
  </si>
  <si>
    <t>EDUWAR JIMMY GUERRA AMARANTO</t>
  </si>
  <si>
    <t>https://community.secop.gov.co/Public/Tendering/ContractNoticePhases/View?PPI=CO1.PPI.43041739&amp;…</t>
  </si>
  <si>
    <t>300-2025-0144</t>
  </si>
  <si>
    <t>Compra de 2 extintores y recarga de los extintores de la sucursal.</t>
  </si>
  <si>
    <t>https://community.secop.gov.co/Public/Tendering/ContractNoticePhases/View?PPI=CO1.PPI.43809101&amp;…</t>
  </si>
  <si>
    <t>300-2025-0145</t>
  </si>
  <si>
    <t>Mantenimiento preventivo y correctivo de puntos Red de datos, cableado y puntos eléctricos de computadores e impresoras.</t>
  </si>
  <si>
    <t>https://community.secop.gov.co/Public/Tendering/ContractNoticePhases/View?PPI=CO1.PPI.43065586&amp;…</t>
  </si>
  <si>
    <t>300-2025-0146</t>
  </si>
  <si>
    <t>Servicio de mantenimiento preventivo y/o correctivo, de la planta
eléctrica y sus partes.</t>
  </si>
  <si>
    <t>https://community.secop.gov.co/Public/Tendering/ContractNoticePhases/View?PPI=CO1.PPI.43809181&amp;…</t>
  </si>
  <si>
    <t>300-2025-0147</t>
  </si>
  <si>
    <t>Realizar el evento día de la familia 2025.</t>
  </si>
  <si>
    <t>https://community.secop.gov.co/Public/Tendering/ContractNoticePhases/View?PPI=CO1.PPI.43809799&amp;…</t>
  </si>
  <si>
    <t>300-2025-0148</t>
  </si>
  <si>
    <t>Suministro e instalación de 7 calefactores para la sucursal</t>
  </si>
  <si>
    <t>SISTEMAS DE CALEFACCION BOYACA S.A.S</t>
  </si>
  <si>
    <t>https://community.secop.gov.co/Public/Tendering/ContractNoticePhases/View?PPI=CO1.PPI.43810615&amp;…</t>
  </si>
  <si>
    <t>300-2025-0149</t>
  </si>
  <si>
    <t>Realizar el cambio de avisos de la sucursal, de acuerdo con la nueva imagen de la compañía.</t>
  </si>
  <si>
    <t>ENERPRINT S.A.S</t>
  </si>
  <si>
    <t>https://community.secop.gov.co/Public/Tendering/ContractNoticePhases/View?PPI=CO1.PPI.43378462&amp;…</t>
  </si>
  <si>
    <t>300-2025-0150</t>
  </si>
  <si>
    <t>Realizar cambio de aviso por la nueva imagen corporativa e instalación de la señalización interna de las áreas de la sucursal.</t>
  </si>
  <si>
    <t>PUBLICOM CASA CREATIVA SAS - BIC</t>
  </si>
  <si>
    <t>https://community.secop.gov.co/Public/Tendering/ContractNoticePhases/View?PPI=CO1.PPI.43380028&amp;…</t>
  </si>
  <si>
    <t>300-2025-0151</t>
  </si>
  <si>
    <t>Prestación de servicio de resane, pintura y arreglos generales en paredes, puertas y muebles de las oficinas de la sucursal.</t>
  </si>
  <si>
    <t>https://community.secop.gov.co/Public/Tendering/ContractNoticePhases/View?PPI=CO1.PPI.43380716&amp;…</t>
  </si>
  <si>
    <t>300-2025-0152</t>
  </si>
  <si>
    <t>Prestar el servicio de resane, pintura y arreglos generales en las oficinas de la sucursal.</t>
  </si>
  <si>
    <t>TS CONSTRUCCIONES Y SUMINISTROS SAS</t>
  </si>
  <si>
    <t>https://community.secop.gov.co/Public/Tendering/ContractNoticePhases/View?PPI=CO1.PPI.43378845&amp;…</t>
  </si>
  <si>
    <t>300-2025-0153</t>
  </si>
  <si>
    <t>Suministro de 2 aires acondicionados para la sucursal.</t>
  </si>
  <si>
    <t>https://community.secop.gov.co/Public/Tendering/ContractNoticePhases/View?PPI=CO1.PPI.43811353&amp;…</t>
  </si>
  <si>
    <t>300-2025-0154</t>
  </si>
  <si>
    <t>Prestar el servicio de mantenimiento salon comercial de la sucursal.</t>
  </si>
  <si>
    <t xml:space="preserve">INGENIUM JS INGENIERIA Y CONSTRUCCION SAS </t>
  </si>
  <si>
    <t>https://community.secop.gov.co/Public/Tendering/ContractNoticePhases/View?PPI=CO1.PPI.43810681&amp;isFromPublicArea=True&amp;isModal=False</t>
  </si>
  <si>
    <t>300-2025-0155</t>
  </si>
  <si>
    <t>Mantenimiento preventivo y/o correctivo, de las sillas de oficina y sus partes para la vigencia 2025-2026.</t>
  </si>
  <si>
    <t>MOVI MANTENIMIENTOS J&amp;H S.A.S.</t>
  </si>
  <si>
    <t>https://community.secop.gov.co/Public/Tendering/ContractNoticePhases/View?PPI=CO1.PPI.45627697&amp;isFromPublicArea=True&amp;isModal=False</t>
  </si>
  <si>
    <t>300-2025-0156</t>
  </si>
  <si>
    <t>Suministro e instalación de dos aires acondicionados en la sucursal Mocoa.</t>
  </si>
  <si>
    <t>https://community.secop.gov.co/Public/Tendering/ContractNoticePhases/View?PPI=CO1.PPI.43811978&amp;…</t>
  </si>
  <si>
    <t>300-2025-0157</t>
  </si>
  <si>
    <t xml:space="preserve">Suministro de muebles y enseres y pintura en general de las oficinas de la sucursal. </t>
  </si>
  <si>
    <t>https://community.secop.gov.co/Public/Tendering/ContractNoticePhases/View?PPI=CO1.PPI.44272600&amp;isFromPublicArea=True&amp;isModal=False</t>
  </si>
  <si>
    <t>CONTRATACIÓN DIRECTA</t>
  </si>
  <si>
    <t>300-2025-0158</t>
  </si>
  <si>
    <t xml:space="preserve">Suministro e instalación de persianas que incluye mantenimiento, para la sucursal de Bucaramanga. </t>
  </si>
  <si>
    <t>DORA LESMES ACOSTA</t>
  </si>
  <si>
    <t>https://community.secop.gov.co/Public/Tendering/ContractNoticePhases/View?PPI=CO1.PPI.44273194&amp;isFromPublicArea=True&amp;isModal=False</t>
  </si>
  <si>
    <t>300-2025-0159</t>
  </si>
  <si>
    <t>Prestar el servicio para realizar actividad de cierre de gestión comercial del año 2025 para los aliados de La sucursal Yopal.</t>
  </si>
  <si>
    <t>https://community.secop.gov.co/Public/Tendering/ContractNoticePhases/View?PPI=CO1.PPI.44273864&amp;isFromPublicArea=True&amp;isModal=False</t>
  </si>
  <si>
    <t>300-2025-0160</t>
  </si>
  <si>
    <t>Realizar obras de adecuación en el área del comedor y sala de
capacitación de la Sucursal.</t>
  </si>
  <si>
    <t>ALLPROCOL SAS</t>
  </si>
  <si>
    <t>https://community.secop.gov.co/Public/Tendering/ContractNoticePhases/View?PPI=CO1.PPI.45630963&amp;isFromPublicArea=True&amp;isModal=False</t>
  </si>
  <si>
    <t>300-2025-0161</t>
  </si>
  <si>
    <t>Prestar el servicio de realizar el cambio de los dos avisos publicitarios de la sucursal Quibdo.</t>
  </si>
  <si>
    <t>https://community.secop.gov.co/Public/Tendering/ContractNoticePhases/View?PPI=CO1.PPI.45629627&amp;isFromPublicArea=True&amp;isModal=False</t>
  </si>
  <si>
    <t>300-2025-0162</t>
  </si>
  <si>
    <t>Realizar evento - reunión fin de año con aliados de la sucursal Arauca</t>
  </si>
  <si>
    <t>https://community.secop.gov.co/Public/Tendering/ContractNoticePhases/View?PPI=CO1.PPI.45634217&amp;isFromPublicArea=True&amp;isModal=False</t>
  </si>
  <si>
    <t>300-2025-0163</t>
  </si>
  <si>
    <t xml:space="preserve">Prestar el servicio para desarrollar la actividad de cierre de gestión para los agentes y agencias de la sucursal Armenia.  </t>
  </si>
  <si>
    <t>CAFE QUINDIO S.A.S.</t>
  </si>
  <si>
    <t>https://community.secop.gov.co/Public/Tendering/ContractNoticePhases/View?PPI=CO1.PPI.45631177&amp;isFromPublicArea=True&amp;isModal=False</t>
  </si>
  <si>
    <t>300-2025-0164</t>
  </si>
  <si>
    <t>Contratar el suministro e instalación del aviso publicitario exterior de la sucursal Florencia.</t>
  </si>
  <si>
    <t>MARIANA MILENA MONJE MORENO</t>
  </si>
  <si>
    <t>https://community.secop.gov.co/Public/Tendering/ContractNoticePhases/View?PPI=CO1.PPI.45634641&amp;isFromPublicArea=True&amp;isModal=False</t>
  </si>
  <si>
    <t>300-2025-0165</t>
  </si>
  <si>
    <t>Realizar las reparaciones locativas, adecuaciones de espacios, suministro e instalación de muebles y complementarios para la Sucursal.</t>
  </si>
  <si>
    <t>https://community.secop.gov.co/Public/Tendering/ContractNoticePhases/View?PPI=CO1.PPI.45634775&amp;isFromPublicArea=True&amp;isModal=False</t>
  </si>
  <si>
    <t>300-2025-0166</t>
  </si>
  <si>
    <t>Prestar el servicio de espacio para realizar el cierre de gestión agentes y agencia de la sucursal año 2025.</t>
  </si>
  <si>
    <t>GRUPO COCINA GASTRONOMICA S.A.S.</t>
  </si>
  <si>
    <t>https://community.secop.gov.co/Public/Tendering/ContractNoticePhases/View?PPI=CO1.PPI.45635884&amp;isFromPublicArea=True&amp;isModal=False</t>
  </si>
  <si>
    <t>300-2025-0167</t>
  </si>
  <si>
    <t xml:space="preserve">Suministro e instalación de 6 aires acondicionados para la sucursal. </t>
  </si>
  <si>
    <t>https://community.secop.gov.co/Public/Tendering/ContractNoticePhases/View?PPI=CO1.PPI.45636700&amp;isFromPublicArea=True&amp;isModal=False</t>
  </si>
  <si>
    <t>300-2025-0168</t>
  </si>
  <si>
    <t>Prestar el servicio de catering para Reunión Cierre de Gestión Año 2025 Agentes y Agencias de la Sucursal Popayan.</t>
  </si>
  <si>
    <t>INVERSIONES OVEJA SAS</t>
  </si>
  <si>
    <t>https://community.secop.gov.co/Public/Tendering/ContractNoticePhases/View?PPI=CO1.PPI.45637392&amp;isFromPublicArea=True&amp;isModal=False</t>
  </si>
  <si>
    <t>300-2025-0169</t>
  </si>
  <si>
    <t xml:space="preserve">Realizar adecuación integral y mantenimientos generales a las instalaciones de la sucursal. </t>
  </si>
  <si>
    <t>https://community.secop.gov.co/Public/Tendering/ContractNoticePhases/View?PPI=CO1.PPI.45639587&amp;isFromPublicArea=True&amp;isModal=False</t>
  </si>
  <si>
    <t>300-2025-0170</t>
  </si>
  <si>
    <t>Contratar el servicio y logística para la actividad de Cierre de G.estión Año 2025 de los funcionarios de la sucursal Pereira.</t>
  </si>
  <si>
    <t>MAGESTIC PRODUCCION Y LOGISTICA S.A.S.</t>
  </si>
  <si>
    <t>https://community.secop.gov.co/Public/Tendering/ContractNoticePhases/View?PPI=CO1.PPI.45640696&amp;isFromPublicArea=True&amp;isModal=False</t>
  </si>
  <si>
    <t>300-2025-0171</t>
  </si>
  <si>
    <t xml:space="preserve">Cambio de avisos y mantenimiento de sus soportes y cajas de luz. </t>
  </si>
  <si>
    <t>BIMEDIA STUDIO S.A.S.</t>
  </si>
  <si>
    <t>https://community.secop.gov.co/Public/Tendering/ContractNoticePhases/View?PPI=CO1.PPI.45642124&amp;isFromPublicArea=True&amp;isModal=False</t>
  </si>
  <si>
    <t>300-2025-0172</t>
  </si>
  <si>
    <t>Contratar los servicios de un operador logístico para garantizar el adecuado
desarrollo del evento denominado cierre de gestión agentes y agencias sucursal
Florencia año 2025.</t>
  </si>
  <si>
    <t>https://community.secop.gov.co/Public/Tendering/ContractNoticePhases/View?PPI=CO1.PPI.45646111&amp;isFromPublicArea=True&amp;isModal=False</t>
  </si>
  <si>
    <t>300-2025-0173</t>
  </si>
  <si>
    <t>Servicios de alimentos y
bebidas a los funcionarios de La Previsora.</t>
  </si>
  <si>
    <t>DIANA MARIA LORA VILLAREAL</t>
  </si>
  <si>
    <t>https://community.secop.gov.co/Public/Tendering/ContractNoticePhases/View?PPI=CO1.PPI.45630375&amp;isFromPublicArea=True&amp;isModal=False</t>
  </si>
  <si>
    <t>300-2025-0174</t>
  </si>
  <si>
    <t>Contratar los servicios de un operador logístico para garantizar el adecuado
desarrollo del evento denominado cierre de gestión funcionarios Sucursal Florencia
año 2025.</t>
  </si>
  <si>
    <t>https://community.secop.gov.co/Public/Tendering/ContractNoticePhases/View?PPI=CO1.PPI.45647097&amp;isFromPublicArea=True&amp;isModal=False</t>
  </si>
  <si>
    <t>300-2025-0175</t>
  </si>
  <si>
    <t>Servicios de alimentos y bebidas a los aliados estratégicos adscritos a La Previsor S. A.</t>
  </si>
  <si>
    <t>https://community.secop.gov.co/Public/Tendering/ContractNoticePhases/View?PPI=CO1.PPI.45638495&amp;isFromPublicArea=True&amp;isModal=False</t>
  </si>
  <si>
    <t>300-2025-0176</t>
  </si>
  <si>
    <t xml:space="preserve">Prestar el servicio de desmonte y monte del aviso de la sucursal. </t>
  </si>
  <si>
    <t>FRANCISCO RIASCOS HERMAN</t>
  </si>
  <si>
    <t>https://community.secop.gov.co/Public/Tendering/ContractNoticePhases/View?PPI=CO1.PPI.45650743&amp;isFromPublicArea=True&amp;isModal=False</t>
  </si>
  <si>
    <t>300-2025-0177</t>
  </si>
  <si>
    <t>Realizar Inspección y mantenimiento a los sistemas de detección y extinción automática de incendio de los dos cuartos técnicos de la sucursal Medellin.</t>
  </si>
  <si>
    <t>COMEX INTERNACIONAL S.A.S</t>
  </si>
  <si>
    <t>https://community.secop.gov.co/Public/Tendering/ContractNoticePhases/View?PPI=CO1.PPI.45651980&amp;isFromPublicArea=True&amp;isModal=False</t>
  </si>
  <si>
    <t>300-2025-0178</t>
  </si>
  <si>
    <t>Servicio de almuerzo para la reunión cierre de gestión año 2025 Agentes y Agencias sucursal Pereira.</t>
  </si>
  <si>
    <t>DON ANGEL S.A.S</t>
  </si>
  <si>
    <t>https://community.secop.gov.co/Public/Tendering/ContractNoticePhases/View?PPI=CO1.PPI.44227420&amp;isFromPublicArea=True&amp;isModal=False</t>
  </si>
  <si>
    <t>300-2025-0179</t>
  </si>
  <si>
    <t>Suministro e instalación del sistema de los aires acondicionados para la sucursal.</t>
  </si>
  <si>
    <t>https://community.secop.gov.co/Public/Tendering/ContractNoticePhases/View?PPI=CO1.PPI.45654832&amp;isFromPublicArea=True&amp;isModal=False</t>
  </si>
  <si>
    <t>300-2025-0180</t>
  </si>
  <si>
    <t>Servicio de restaurante evento cierre de gestión aliados sucursal Montería.</t>
  </si>
  <si>
    <t>https://community.secop.gov.co/Public/Tendering/ContractNoticePhases/View?PPI=CO1.PPI.45648769&amp;isFromPublicArea=True&amp;isModal=False</t>
  </si>
  <si>
    <t>300-2025-0181</t>
  </si>
  <si>
    <t>Prestar los servicios para el Mantenimiento Preventivo de la planta eléctrica, de la sucursal.</t>
  </si>
  <si>
    <t>https://community.secop.gov.co/Public/Tendering/ContractNoticePhases/View?PPI=CO1.PPI.45643169&amp;isFromPublicArea=True&amp;isModal=False</t>
  </si>
  <si>
    <t>300-2025-0182</t>
  </si>
  <si>
    <t>Servicio de salón, logística, alimentación sonido, video beam y ambientación musical para la actividad de cierre de gestión año
2025 para los aliados estratégicos de la sucursal Medellin.</t>
  </si>
  <si>
    <t>GOMEZ DE MARINILLA S.A.S</t>
  </si>
  <si>
    <t>https://community.secop.gov.co/Public/Tendering/ContractNoticePhases/View?PPI=CO1.PPI.43959932&amp;isFromPublicArea=True&amp;isModal=False</t>
  </si>
  <si>
    <t>300-2025-0183</t>
  </si>
  <si>
    <t xml:space="preserve">Adquisición e instalación de planta eléctrica para la sucursal. </t>
  </si>
  <si>
    <t>LUZ STELLA PEREZ MENDEZ</t>
  </si>
  <si>
    <t>https://community.secop.gov.co/Public/Tendering/ContractNoticePhases/View?PPI=CO1.PPI.44228343&amp;isFromPublicArea=True&amp;isModal=False</t>
  </si>
  <si>
    <t>300-2025-0184</t>
  </si>
  <si>
    <t xml:space="preserve">Prestar el servicio de restaurante para el evento cierre de gestión aliados de la sucursal. </t>
  </si>
  <si>
    <t>HABITAT DE EXPERIENCIAS S.A.S</t>
  </si>
  <si>
    <t>https://community.secop.gov.co/Public/Tendering/ContractNoticePhases/View?PPI=CO1.PPI.44228823&amp;isFromPublicArea=True&amp;isModal=False</t>
  </si>
  <si>
    <t>300-2025-0185</t>
  </si>
  <si>
    <t>Adecuación física, mantenimiento correctivo y mejoramiento de la infraestructura de  la sucursal Quibdó, especificamente en la intervención de la cubierta y estructura del cielo raso.</t>
  </si>
  <si>
    <t>ROSSIER STAN PEREA PEREA</t>
  </si>
  <si>
    <t>https://community.secop.gov.co/Public/Tendering/ContractNoticePhases/View?PPI=CO1.PPI.45705892&amp;isFromPublicArea=True&amp;isModal=False</t>
  </si>
  <si>
    <t>300-2025-0186</t>
  </si>
  <si>
    <t xml:space="preserve">Evento cierre de gestión 2025 agentes y agencias. </t>
  </si>
  <si>
    <t>HOTELES DE VILLAVICENCIO SOCIEDAD POR ACCIONES SIMPLIFICADA</t>
  </si>
  <si>
    <t>300-2025-0187</t>
  </si>
  <si>
    <t>MELANIE GUISELLE CALLE QUINTERO</t>
  </si>
  <si>
    <t>https://community.secop.gov.co/Public/Tendering/ContractNoticePhases/View?PPI=CO1.PPI.44229857&amp;isFromPublicArea=True&amp;isModal=False</t>
  </si>
  <si>
    <t>300-2025-0188</t>
  </si>
  <si>
    <t>Servicio para atender la actividad de cierre de
año 2025 dirigido a agentes y agencias para presentar las cifras del año.</t>
  </si>
  <si>
    <t>RODIZIO DO BRASIL S.A.S.</t>
  </si>
  <si>
    <t>https://community.secop.gov.co/Public/Tendering/ContractNoticePhases/View?PPI=CO1.PPI.44228861&amp;isFromPublicArea=True&amp;isModal=False</t>
  </si>
  <si>
    <t>300-2025-0189</t>
  </si>
  <si>
    <t>Servicios para el desarrollo de la reunión de cierre de gestión de aliados de la sucursal
Neiva .</t>
  </si>
  <si>
    <t>OPERADORA DE NEIVA SOCIEDAD POR ACCIONES SIMPLIFICADA</t>
  </si>
  <si>
    <t>https://community.secop.gov.co/Public/Tendering/ContractNoticePhases/View?PPI=CO1.PPI.44228385&amp;isFromPublicArea=True&amp;isModal=False</t>
  </si>
  <si>
    <t>300-2025-0190</t>
  </si>
  <si>
    <t>Servicio de catering para el evento institucional cierre de gestión año 2025  Agentes y Agencias.</t>
  </si>
  <si>
    <t>ORGANIZACION EPICCO S.A.S.</t>
  </si>
  <si>
    <t>https://community.secop.gov.co/Public/Tendering/ContractNoticePhases/View?PPI=CO1.PPI.44230227&amp;isFromPublicArea=True&amp;isModal=False</t>
  </si>
  <si>
    <t>300-2025-0191</t>
  </si>
  <si>
    <t>Evento cierre de gestión funcionarios sucursal Buenaventura</t>
  </si>
  <si>
    <t>SAUL MONARD DIAZ GRANADOS</t>
  </si>
  <si>
    <t>https://community.secop.gov.co/Public/Tendering/ContractNoticePhases/View?PPI=CO1.PPI.44232489&amp;isFromPublicArea=True&amp;isModal=False</t>
  </si>
  <si>
    <t>300-2025-0192</t>
  </si>
  <si>
    <t>Evento cierre de gestión año 2025 agentes y agencias sucursal Tunja.</t>
  </si>
  <si>
    <t xml:space="preserve">SEGUNDO JOAQUIN BERNAL LOPEZ </t>
  </si>
  <si>
    <t>https://community.secop.gov.co/Public/Tendering/ContractNoticePhases/View?PPI=CO1.PPI.44233199&amp;isFromPublicArea=True&amp;isModal=False</t>
  </si>
  <si>
    <t>300-2025-0193</t>
  </si>
  <si>
    <t>Evento cierre de gestión año 2025 agentes y agencias sucursal Buenaventura</t>
  </si>
  <si>
    <t>SOCIEDAD PURPLE INVESTMENTS S.A.S</t>
  </si>
  <si>
    <t>https://community.secop.gov.co/Public/Tendering/ContractNoticePhases/View?PPI=CO1.PPI.44233124&amp;isFromPublicArea=True&amp;isModal=False</t>
  </si>
  <si>
    <t>300-2025-0194</t>
  </si>
  <si>
    <t>Evento cierre de gestión funcionarios sucursal Villavicencio.</t>
  </si>
  <si>
    <t>ANGELA ALEXANDRA MARTINEZ RAMIREZ</t>
  </si>
  <si>
    <t xml:space="preserve">https://community.secop.gov.co/Public/Tendering/ContractNoticePhases/View?PPI=CO1.PPI.44231216&amp;isFromPublicArea=True&amp;isModal=False </t>
  </si>
  <si>
    <t>300-2025-0195</t>
  </si>
  <si>
    <t xml:space="preserve">Compra de muebles de oficina (poltronas), para la sucursal. </t>
  </si>
  <si>
    <t>https://community.secop.gov.co/Public/Tendering/ContractNoticePhases/View?PPI=CO1.PPI.44233780&amp;isFromPublicArea=True&amp;isModal=False</t>
  </si>
  <si>
    <t>300-2025-0196</t>
  </si>
  <si>
    <t>Servicio para realizar la actividad de cierre de gestión del año 2025 para los funcionarios.</t>
  </si>
  <si>
    <t>https://community.secop.gov.co/Public/Tendering/ContractNoticePhases/View?PPI=CO1.PPI.44238831&amp;isFromPublicArea=True&amp;isModal=False</t>
  </si>
  <si>
    <t>300-2025-0197</t>
  </si>
  <si>
    <t>Reunión fin de año con funcionarios de la Sucursal Arauca</t>
  </si>
  <si>
    <t>https://community.secop.gov.co/Public/Tendering/ContractNoticePhases/View?PPI=CO1.PPI.44237700&amp;isFromPublicArea=True&amp;isModal=False</t>
  </si>
  <si>
    <t>300-2025-0198</t>
  </si>
  <si>
    <t>Actividad cierre año 2025 Agentes y Agencias dirigido a los aliados estratégicos. Sucursal Manizales.</t>
  </si>
  <si>
    <t>GILBERTO GIRALDO GÓMEZ</t>
  </si>
  <si>
    <t>https://community.secop.gov.co/Public/Tendering/ContractNoticePhases/View?PPI=CO1.PPI.44240014&amp;isFromPublicArea=True&amp;isModal=False</t>
  </si>
  <si>
    <t>300-2025-0199</t>
  </si>
  <si>
    <t xml:space="preserve">Servicio de mantenimiento para la puerta automatica de la entrada principal de la oficina de la sucursal. </t>
  </si>
  <si>
    <t>300-2025-0200</t>
  </si>
  <si>
    <t>Suministro de elementos con publicidad de la sucursal, acorde a la imagen actual de la compañía.</t>
  </si>
  <si>
    <t>https://community.secop.gov.co/Public/Tendering/ContractNoticePhases/View?PPI=CO1.PPI.45705313&amp;isFromPublicArea=True&amp;isModal=False</t>
  </si>
  <si>
    <t>300-2025-0201</t>
  </si>
  <si>
    <t>Cierre de año 2025 dirigido a agentes y agencias de la sucursal Riohacha con el objetivo de presentar cifras.</t>
  </si>
  <si>
    <t>ALUA INVERSIONES SAS</t>
  </si>
  <si>
    <t>https://community.secop.gov.co/Public/Tendering/ContractNoticePhases/View?PPI=CO1.PPI.44231784&amp;isFromPublicArea=True&amp;isModal=False</t>
  </si>
  <si>
    <t>300-2025-0202</t>
  </si>
  <si>
    <t>Servicio de restaurante para reunión cierre de gestión año 2025 funcionarios de la sucursal Sincelejo.</t>
  </si>
  <si>
    <t xml:space="preserve">https://community.secop.gov.co/Public/Tendering/ContractNoticePhases/View?PPI=CO1.PPI.44240046&amp;isFromPublicArea=True&amp;isModal=False </t>
  </si>
  <si>
    <t>300-2025-0203</t>
  </si>
  <si>
    <t xml:space="preserve">Suministro e instalación de sanitarios en los baños de la sucursal de Medellin. </t>
  </si>
  <si>
    <t>MUNDO INGENIERIA XXI S.A.S</t>
  </si>
  <si>
    <t>https://community.secop.gov.co/Public/Tendering/ContractNoticePhases/View?PPI=CO1.PPI.44240079&amp;isFromPublicArea=True&amp;isModal=False</t>
  </si>
  <si>
    <t>300-2025-0204</t>
  </si>
  <si>
    <t>Servicios para el desarrollo de la actividad de cierre de gestión de los funcionarios de la Sucursal Neiva.</t>
  </si>
  <si>
    <t>FENIX TRAVEL &amp; TOURS S.A.S</t>
  </si>
  <si>
    <t>https://community.secop.gov.co/Public/Tendering/ContractNoticePhases/View?PPI=CO1.PPI.44230635&amp;isFromPublicArea=True&amp;isModal=False</t>
  </si>
  <si>
    <t>300-2025-0205</t>
  </si>
  <si>
    <t>Servicio de catering para el evento del cierre 2025 de nuestros funcionarios sucursal Mocoa.</t>
  </si>
  <si>
    <t>https://community.secop.gov.co/Public/Tendering/ContractNoticePhases/View?PPI=CO1.PPI.44241368&amp;isFromPublicArea=True&amp;isModal=False</t>
  </si>
  <si>
    <t>300-2025-0206</t>
  </si>
  <si>
    <t>Mantenimiento de las instalaciones del local comercial de la sucursal.</t>
  </si>
  <si>
    <t>CIVILSUR INGENIERIA S.A.S. ZOMAC</t>
  </si>
  <si>
    <t>https://community.secop.gov.co/Public/Tendering/ContractNoticePhases/View?PPI=CO1.PPI.44241650&amp;isFromPublicArea=True&amp;isModal=False</t>
  </si>
  <si>
    <t>300-2025-0207</t>
  </si>
  <si>
    <t>Servicio de catering para el evento institucional cierre de gestión año 2025, Funcionarios Sucursal Cúcuta.</t>
  </si>
  <si>
    <t>https://community.secop.gov.co/Public/Tendering/ContractNoticePhases/View?PPI=CO1.PPI.44242799&amp;isFromPublicArea=True&amp;isModal=False</t>
  </si>
  <si>
    <t>300-2025-0208</t>
  </si>
  <si>
    <t xml:space="preserve">Servicio de salón para realizar cierre de gestión 2025 funcionarios, sucursal Tunja. </t>
  </si>
  <si>
    <t>https://community.secop.gov.co/Public/Tendering/ContractNoticePhases/View?PPI=CO1.PPI.44243752&amp;isFromPublicArea=True&amp;isModal=False</t>
  </si>
  <si>
    <t>300-2025-0209</t>
  </si>
  <si>
    <t>Actividad cierre año 2025 dirigido a los funcionarios de sucursal Manizales.</t>
  </si>
  <si>
    <t>https://community.secop.gov.co/Public/Tendering/ContractNoticePhases/View?PPI=CO1.PPI.44244196&amp;isFromPublicArea=True&amp;isModal=False</t>
  </si>
  <si>
    <t>300-2025-0210</t>
  </si>
  <si>
    <t>Contratar el servicio para atender actividad para los funcionarios de la sucursal Cali y oficina de indemnizaciones zona
occidente, con el objetivo de realizar evento de cierre de gestión 2025.</t>
  </si>
  <si>
    <t>https://community.secop.gov.co/Public/Tendering/ContractNoticePhases/View?PPI=CO1.PPI.44245701&amp;isFromPublicArea=True&amp;isModal=False</t>
  </si>
  <si>
    <t>300-2025-0211</t>
  </si>
  <si>
    <t>Realizar el cierre de gestión del año 2025 de los funcionarios de la sucursal Monteria.</t>
  </si>
  <si>
    <t>https://community.secop.gov.co/Public/Tendering/ContractNoticePhases/View?PPI=CO1.PPI.45705395&amp;isFromPublicArea=True&amp;isModal=False</t>
  </si>
  <si>
    <t>300-2025-0212</t>
  </si>
  <si>
    <t>Servicio de catering para el evento de cierre 2025 agentes y agencias de la sucursal.</t>
  </si>
  <si>
    <t>https://community.secop.gov.co/Public/Tendering/ContractNoticePhases/View?PPI=CO1.PPI.44245727&amp;isFromPublicArea=True&amp;isModal=False</t>
  </si>
  <si>
    <t>300-2025-0213</t>
  </si>
  <si>
    <t>Servicios para realización de actividad de cierre de gestión para los funcionarios de la sucursal.</t>
  </si>
  <si>
    <t>JUAN DIEGO RESTREPO CALDERON</t>
  </si>
  <si>
    <t>https://community.secop.gov.co/Public/Tendering/ContractNoticePhases/View?PPI=CO1.PPI.44244450&amp;isFromPublicArea=True&amp;isModal=False</t>
  </si>
  <si>
    <t>300-2025-0214</t>
  </si>
  <si>
    <t>RIOSA HOLDING S.A.S</t>
  </si>
  <si>
    <t>https://community.secop.gov.co/Public/Tendering/ContractNoticePhases/View?PPI=CO1.PPI.44245752&amp;isFromPublicArea=True&amp;isModal=False</t>
  </si>
  <si>
    <t>300-2025-0215</t>
  </si>
  <si>
    <t>Servicio de espacio, logística, transporte y alimentación para la actividad de cierre de gestión año 2025 para la sucursal Medellin.</t>
  </si>
  <si>
    <t>JUAN SEBASTIAN FLOREZ HURTADO</t>
  </si>
  <si>
    <t>https://community.secop.gov.co/Public/Tendering/ContractNoticePhases/View?PPI=CO1.PPI.44246268&amp;isFromPublicArea=True&amp;isModal=False</t>
  </si>
  <si>
    <t>300-2025-0216</t>
  </si>
  <si>
    <t xml:space="preserve">Servicio evento cierre de gestión para los funcionarios de la sucursal. </t>
  </si>
  <si>
    <t>https://community.secop.gov.co/Public/Tendering/ContractNoticePhases/View?PPI=CO1.PPI.44246651&amp;isFromPublicArea=True&amp;isModal=False</t>
  </si>
  <si>
    <t>300-2025-0217</t>
  </si>
  <si>
    <t>Pasadía cierre de gestión 2025 funcionarios Sucursal Ibagué.</t>
  </si>
  <si>
    <t>https://community.secop.gov.co/Public/Tendering/ContractNoticePhases/View?PPI=CO1.PPI.44246408&amp;isFromPublicArea=True&amp;isModal=False</t>
  </si>
  <si>
    <t>300-2025-0218</t>
  </si>
  <si>
    <t>Suministro e instalación de puntos eléctrico y puntos de comunicación y datos, para la sucursal.</t>
  </si>
  <si>
    <t>https://community.secop.gov.co/Public/Tendering/ContractNoticePhases/View?PPI=CO1.PPI.44240853&amp;isFromPublicArea=True&amp;isModal=False</t>
  </si>
  <si>
    <t>300-2025-0219</t>
  </si>
  <si>
    <t>Suministro, instalación y mantenimiento de luminarias, decoración de jardines y cambio de la puerta de la bodega.</t>
  </si>
  <si>
    <t>G &amp; B INVERSIONES S.A.S</t>
  </si>
  <si>
    <t>https://community.secop.gov.co/Public/Tendering/ContractNoticePhases/View?PPI=CO1.PPI.44247302&amp;isFromPublicArea=True&amp;isModal=False</t>
  </si>
  <si>
    <t>300-2025-0220</t>
  </si>
  <si>
    <t>Servicio de catering para evento cierre de gestión
funcionarios sucursal Cartagena.</t>
  </si>
  <si>
    <t>ARMANDO ALTAMIRANDO SIERRA</t>
  </si>
  <si>
    <t>https://community.secop.gov.co/Public/Tendering/ContractNoticePhases/View?PPI=CO1.PPI.44246205&amp;isFromPublicArea=True&amp;isModal=False</t>
  </si>
  <si>
    <t>300-2025-0221</t>
  </si>
  <si>
    <t>Suministro, instalación y puesta en funcionamiento de los 3 aires acondicionados.</t>
  </si>
  <si>
    <t>https://community.secop.gov.co/Public/Tendering/ContractNoticePhases/View?PPI=CO1.PPI.45655342&amp;isFromPublicArea=True&amp;isModal=False</t>
  </si>
  <si>
    <t>300-2025-0222</t>
  </si>
  <si>
    <t xml:space="preserve">Servicio de adecuación y arreglos generales en las oficias de la sucursal. </t>
  </si>
  <si>
    <t xml:space="preserve">https://community.secop.gov.co/Public/Tendering/ContractNoticePhases/View?PPI=CO1.PPI.44247368&amp;isFromPublicArea=True&amp;isModal=False </t>
  </si>
  <si>
    <t>300-2025-0223</t>
  </si>
  <si>
    <t>Suministro de sillas y muebles especiales para las oficinas de la sucursal Ibagué.</t>
  </si>
  <si>
    <t>https://community.secop.gov.co/Public/Tendering/ContractNoticePhases/View?PPI=CO1.PPI.44249663&amp;isFromPublicArea=True&amp;isModal=False</t>
  </si>
  <si>
    <t>300-2025-0224</t>
  </si>
  <si>
    <t>Realizar el mantenimiento, adecuación y mejoramiento de la oficina de Quibdó</t>
  </si>
  <si>
    <t>LEDWIN MURILLO MORENO</t>
  </si>
  <si>
    <t>https://community.secop.gov.co/Public/Tendering/ContractNoticePhases/View?PPI=CO1.PPI.44248203&amp;isFromPublicArea=True&amp;isModal=False</t>
  </si>
  <si>
    <t>300-2025-0225</t>
  </si>
  <si>
    <t>Servicios de organización y ejecución de cierre de gestión 2025 con los
intermediarios de la Sucursal.</t>
  </si>
  <si>
    <t>PARRILLA FARANDULA S.A.S</t>
  </si>
  <si>
    <t>https://community.secop.gov.co/Public/Tendering/ContractNoticePhases/View?PPI=CO1.PPI.44249680&amp;isFromPublicArea=True&amp;isModal=False</t>
  </si>
  <si>
    <t>300-2025-0226</t>
  </si>
  <si>
    <t>Recarga de los extintores de la sucursal.</t>
  </si>
  <si>
    <t>https://community.secop.gov.co/Public/Tendering/ContractNoticePhases/View?PPI=CO1.PPI.44266979&amp;isFromPublicArea=True&amp;isModal=False</t>
  </si>
  <si>
    <t>300-2025-0227</t>
  </si>
  <si>
    <t>Suministro e instalación de un sistema de oficina abierta para las oficinas de la sucursal Ibagué.</t>
  </si>
  <si>
    <t xml:space="preserve">https://community.secop.gov.co/Public/Tendering/ContractNoticePhases/View?PPI=CO1.PPI.44263278&amp;isFromPublicArea=True&amp;isModal=False </t>
  </si>
  <si>
    <t>300-2025-0228</t>
  </si>
  <si>
    <t>https://community.secop.gov.co/Public/Tendering/ContractNoticePhases/View?PPI=CO1.PPI.44267807&amp;isFromPublicArea=True&amp;isModal=False</t>
  </si>
  <si>
    <t>300-2025-0229</t>
  </si>
  <si>
    <t>Servicio para el evento de cierre de gestión de los aliados de la sucursal año 2025.</t>
  </si>
  <si>
    <t>https://community.secop.gov.co/Public/Tendering/ContractNoticePhases/View?PPI=CO1.PPI.44267371&amp;isFromPublicArea=True&amp;isModal=False</t>
  </si>
  <si>
    <t>300-2025-0230</t>
  </si>
  <si>
    <t>Compra de 5 persianas enrollables, para las oficinas de la sucursal.</t>
  </si>
  <si>
    <t>CARLOS ANDRES LOPEZ PULIDO</t>
  </si>
  <si>
    <t>https://community.secop.gov.co/Public/Tendering/ContractNoticePhases/View?PPI=CO1.PPI.44249696&amp;isFromPublicArea=True&amp;isModal=False</t>
  </si>
  <si>
    <t>300-2025-0231</t>
  </si>
  <si>
    <t>Mantenimiento correctivo y preventivo del aire acondicionado del Rack.</t>
  </si>
  <si>
    <t>https://community.secop.gov.co/Public/Tendering/ContractNoticePhases/View?PPI=CO1.PPI.44284272&amp;isFromPublicArea=True&amp;isModal=False</t>
  </si>
  <si>
    <t>300-2025-0232</t>
  </si>
  <si>
    <t>Suministro e instalación de redes eléctricas - Fase II - Sucursal Ibague</t>
  </si>
  <si>
    <t>MODERLINE S A S</t>
  </si>
  <si>
    <t xml:space="preserve">https://community.secop.gov.co/Public/Tendering/ContractNoticePhases/View?PPI=CO1.PPI.44367351&amp;isFromPublicArea=True&amp;isModal=False </t>
  </si>
  <si>
    <t>300-2025-0233</t>
  </si>
  <si>
    <t>Suministro e instalación de persianas enrollables, para las oficinas de la sucursal.</t>
  </si>
  <si>
    <t>DUPERLY ANDRADE</t>
  </si>
  <si>
    <t>https://community.secop.gov.co/Public/Tendering/ContractNoticePhases/View?PPI=CO1.PPI.45704416&amp;isFromPublicArea=True&amp;isModal=False</t>
  </si>
  <si>
    <t>300-2025-0234</t>
  </si>
  <si>
    <t>Suministro e instalación de señalización retablo en madera con adhesivo microperforado.</t>
  </si>
  <si>
    <t>https://community.secop.gov.co/Public/Tendering/ContractNoticePhases/View?PPI=CO1.PPI.45704807&amp;isFromPublicArea=True&amp;isModal=False</t>
  </si>
  <si>
    <t>300-2025-0235</t>
  </si>
  <si>
    <t>Servicio para el cambio de señalética y cambio de color de los vidrios de las oficinas de la sucursal.</t>
  </si>
  <si>
    <t>BIMEDIA STUDIO S.A.S</t>
  </si>
  <si>
    <t>https://community.secop.gov.co/Public/Tendering/ContractNoticePhases/View?PPI=CO1.PPI.44367320&amp;isFromPublicArea=True&amp;isModal=False</t>
  </si>
  <si>
    <t>300-2025-0236</t>
  </si>
  <si>
    <t>Servicio de evento fin de año aliados sucursal Cartagena.</t>
  </si>
  <si>
    <t>https://community.secop.gov.co/Public/Tendering/ContractNoticePhases/View?PPI=CO1.PPI.45704450&amp;isFromPublicArea=True&amp;isModal=False</t>
  </si>
  <si>
    <t>300-2025-0237</t>
  </si>
  <si>
    <t>Evento Cierre de Gestión 2025 con los funcionarios sucursal Riohacha.</t>
  </si>
  <si>
    <t>https://community.secop.gov.co/Public/Tendering/ContractNoticePhases/View?PPI=CO1.PPI.45457279&amp;isFromPublicArea=True&amp;isModal=False</t>
  </si>
  <si>
    <t>PORCENTAJE DE EJECUCIÓN PRESUPUESTAL
A 31 DICIEMBRE 2025</t>
  </si>
  <si>
    <t>890930614-1</t>
  </si>
  <si>
    <t>900147698-7</t>
  </si>
  <si>
    <t>800120677-2</t>
  </si>
  <si>
    <t>811047095-4</t>
  </si>
  <si>
    <t>810006362-7</t>
  </si>
  <si>
    <t>800002756-0</t>
  </si>
  <si>
    <t>900237753-0</t>
  </si>
  <si>
    <t>901150183-0</t>
  </si>
  <si>
    <t>901663753-0</t>
  </si>
  <si>
    <t>801004673-0</t>
  </si>
  <si>
    <t>900823602-0</t>
  </si>
  <si>
    <t>901927678-0</t>
  </si>
  <si>
    <t>901964379-0</t>
  </si>
  <si>
    <t>901887135-0</t>
  </si>
  <si>
    <t>900686927-0</t>
  </si>
  <si>
    <t>900339076-0</t>
  </si>
  <si>
    <t>901441542-0</t>
  </si>
  <si>
    <t>801001100-9</t>
  </si>
  <si>
    <t>901766820-9</t>
  </si>
  <si>
    <t>860513883-9</t>
  </si>
  <si>
    <t>900581931-9</t>
  </si>
  <si>
    <t>901324042-9</t>
  </si>
  <si>
    <t>890900841-9</t>
  </si>
  <si>
    <t>901935016-9</t>
  </si>
  <si>
    <t>900263903-9</t>
  </si>
  <si>
    <t>901864243-9</t>
  </si>
  <si>
    <t>800240218-1</t>
  </si>
  <si>
    <t>901828726-1</t>
  </si>
  <si>
    <t>890900943-1</t>
  </si>
  <si>
    <t>901868787-1</t>
  </si>
  <si>
    <t>901148532-1</t>
  </si>
  <si>
    <t>901662155-1</t>
  </si>
  <si>
    <t>807002365-1</t>
  </si>
  <si>
    <t>900316947-1</t>
  </si>
  <si>
    <t>900344370-1</t>
  </si>
  <si>
    <t>900278869-1</t>
  </si>
  <si>
    <t>891200153-1</t>
  </si>
  <si>
    <t>900977777-1</t>
  </si>
  <si>
    <t>901887177-1</t>
  </si>
  <si>
    <t>890200106-1</t>
  </si>
  <si>
    <t>900971863-1</t>
  </si>
  <si>
    <t>901958148-1</t>
  </si>
  <si>
    <t>900273380-1</t>
  </si>
  <si>
    <t>900455984-1</t>
  </si>
  <si>
    <t>901456696-1</t>
  </si>
  <si>
    <t>901234199-1</t>
  </si>
  <si>
    <t>901942756-1</t>
  </si>
  <si>
    <t>901343896-2</t>
  </si>
  <si>
    <t>900250120-2</t>
  </si>
  <si>
    <t>891200431-2</t>
  </si>
  <si>
    <t>901260512-2</t>
  </si>
  <si>
    <t>901675944-2</t>
  </si>
  <si>
    <t>901304554-2</t>
  </si>
  <si>
    <t>901670664-2</t>
  </si>
  <si>
    <t>900897428-2</t>
  </si>
  <si>
    <t>900684235-3</t>
  </si>
  <si>
    <t>901446210-3</t>
  </si>
  <si>
    <t>900594137-3</t>
  </si>
  <si>
    <t>901251344-3</t>
  </si>
  <si>
    <t>890500516-3</t>
  </si>
  <si>
    <t>901291054-3</t>
  </si>
  <si>
    <t>800096951-3</t>
  </si>
  <si>
    <t>892000146-3</t>
  </si>
  <si>
    <t>901920489-3</t>
  </si>
  <si>
    <t>901135299-3</t>
  </si>
  <si>
    <t>901292350-3</t>
  </si>
  <si>
    <t>901602362-3</t>
  </si>
  <si>
    <t>901431482-4</t>
  </si>
  <si>
    <t>900360261-4</t>
  </si>
  <si>
    <t>901674082-4</t>
  </si>
  <si>
    <t>901053218-4</t>
  </si>
  <si>
    <t>901118386-4</t>
  </si>
  <si>
    <t>900660695-4</t>
  </si>
  <si>
    <t>900035638-4</t>
  </si>
  <si>
    <t>900490382-4</t>
  </si>
  <si>
    <t>901404870-4</t>
  </si>
  <si>
    <t>901948234-4</t>
  </si>
  <si>
    <t>900469490-4</t>
  </si>
  <si>
    <t>900621681-5</t>
  </si>
  <si>
    <t>892115006-5</t>
  </si>
  <si>
    <t>901797146-5</t>
  </si>
  <si>
    <t>901846085-5</t>
  </si>
  <si>
    <t>890303208-5</t>
  </si>
  <si>
    <t>901936164-5</t>
  </si>
  <si>
    <t>901526993-5</t>
  </si>
  <si>
    <t>830036940-5</t>
  </si>
  <si>
    <t>835000654-6</t>
  </si>
  <si>
    <t>900009456-6</t>
  </si>
  <si>
    <t>901172924-6</t>
  </si>
  <si>
    <t>901466230-6</t>
  </si>
  <si>
    <t>901926346-6</t>
  </si>
  <si>
    <t>900192867-6</t>
  </si>
  <si>
    <t>901010849-7</t>
  </si>
  <si>
    <t>900387450-7</t>
  </si>
  <si>
    <t>901203058-7</t>
  </si>
  <si>
    <t>901190231-7</t>
  </si>
  <si>
    <t>890801733-7</t>
  </si>
  <si>
    <t>830500729-7</t>
  </si>
  <si>
    <t>901529226-8</t>
  </si>
  <si>
    <t>901292627-8</t>
  </si>
  <si>
    <t>900569385-8</t>
  </si>
  <si>
    <t>891600091-8</t>
  </si>
  <si>
    <t>891800213-8</t>
  </si>
  <si>
    <t>901602379-8</t>
  </si>
  <si>
    <t>Compra e Instalación de Aire Acondicionado tipo mini Split de 12.000 220V R410A INVERTER marca BLUELINE, para la oficina de subgerencia.</t>
  </si>
  <si>
    <t>Suministro e instalación de sistema de aire acondicionado para el complemento de climatización de oficinas área abierta en las oficinas de Pereira.</t>
  </si>
  <si>
    <t>Contratación para la compra e instalación de luminarias LED en la oficina de la Sucursal.</t>
  </si>
  <si>
    <t>Suministro e instalación y puesta en funcionamiento de equipo eléctrico y electrónico como son las unidades de aire acondicionados.</t>
  </si>
  <si>
    <t>NÚMERO DEL PROCESO CONTRACTUAL</t>
  </si>
  <si>
    <t>MODALIDAD DE SELECCIÓN 
(CONTRATACIÓN)</t>
  </si>
  <si>
    <t>FECHA TERMINACIÓN DEL CONTRATO
(inicial)</t>
  </si>
  <si>
    <t>FECHA TERMINACIÓN DEL CONTRATO
(inicial + prórroga)</t>
  </si>
  <si>
    <t>PORCENTAJE DE EJECUCIÓN FÍSICA 
2025</t>
  </si>
  <si>
    <t>PORCENTAJE DE EJECUCIÓN PRESUPUESTAL
2025</t>
  </si>
  <si>
    <t xml:space="preserve">Subgerencia De Recursos Físicos </t>
  </si>
  <si>
    <t>N/A</t>
  </si>
  <si>
    <t>012-2000</t>
  </si>
  <si>
    <t>El arrendador concede al Arrendatario el gode del inmueble indentificado en la dirección Local No. 26 del Centro Comercial Las Palmas, ubicado en la calle 57 No. 8-69 de esta ciudad. DESTINACION: El arrendatario se compromete a destinar este inmueble para el almacenamiento y conservación del archivo de consultas de las Regionales Centro, Intermediarios y Casa Matriz de La Previsora S.A.</t>
  </si>
  <si>
    <t>41607866</t>
  </si>
  <si>
    <t>LUZ EUGENIA DRESZER</t>
  </si>
  <si>
    <t>Por tratarse de un contrato de arrendamiento con prórroga automática, el cálculo de los avances físico y presupuestal, se realiza teniendo en cuenta los datos de la vigencia en ejecución.</t>
  </si>
  <si>
    <t>1277
4710
6427</t>
  </si>
  <si>
    <t>014-2000</t>
  </si>
  <si>
    <t>Arriendo del tercer piso del Edificio vima, ubicado en la Transversal 9a. No. 55-97, de la ciudad de Santa Fe de Bogotá, el cual consta de las oficinas 301, 302, 303, 304 y 305 junto con el área de recepción que allí se encuentra, cada una de las oficinas con baño privado, citófono.  Las oficinas 301 y 302 para Fimprevi, las oficinas 303 y 304 para el FEP y la oficina 305 para Asoprevi.
Otrosi.- Se modificó la cláusula 5a. del contrato inicial indicando que el canon de arrendamiento no aumenta para el año 2003, hasta el 31 de julio de 2004. firmado el 23 de mayo de 2003.
Otrosi No. 1.-Se excluye la cláusula 9a. del contrato inicial; firmado el 14 de octubre de 2009.
Adicional No. 3.- Se ajusta en el 1.06% el valor del canon mensual, modificando la cláusula 4a. inicial quedando: el canon mensual asciende a $4.637.323; firmado el 8 de agosto de 2014.
Adicional No. 4.- Se modifica la cláusula 4a. del contrato incial quedando: El canon de arrendamiento mensual para los meses de mayo, junio y julio de 2015 será de $4.745.835.  el canon mensual a partir del 1° de agosto de 2015 y hasta el 31 de julio de 2016 será de $4.915.561. Se modificó la cláusula 5a del contrato inicial a IPC + 2.34 puntos.
Modificación 5.- Se modifica la cláusula primera: Las oficinas son: 301 y 302 funciona Fimprevi, 303 y 304 funciona el FEP y 201 Asoprevi</t>
  </si>
  <si>
    <t>901776146-5</t>
  </si>
  <si>
    <t>AZUVIMAR S.A.S.</t>
  </si>
  <si>
    <t>Por tratarse de un contrato de arrendamiento con prórroga automática, el cálculo de los avances físico y presupuestal, se realiza teniendo en cuenta los datos de la vigencia en ejecución.
Cesión del 01/08/2024</t>
  </si>
  <si>
    <t>058-2010</t>
  </si>
  <si>
    <t>EL MARTILLO se compromete a ofrecer los bienes imuebles de propiedad de LA PREVISORA S.A., que ésta le indique, a través del MARTILLO DEL BANCO POPULAR, para adjudicarlos al mejor postor mediante los sistemas de Subasta Pública, Oferta Pública, Invitación a Ofrecer, o cualquier otro sistema previamente acordado por las partes.</t>
  </si>
  <si>
    <t>860007738-9</t>
  </si>
  <si>
    <t>BANCO POPULAR S.A.</t>
  </si>
  <si>
    <t>Por tratarse de un contrato con prórroga automática, el cálculo de los avances físico y presupuestal, se realiza teniendo en cuenta los datos de la vigencia en ejecución. El valor del contrato es de Cuantía Indeterminada pero determinable teniendo en cuenta el valor de la comisión. Vr. de la comisión corresponde al 2.25% del valor de venta del activo (más el IVA) y es tomado directamente por el Martillo una vez el comprador realiza el pago, por lo tanto, no existe partida presupuestal para este pago.</t>
  </si>
  <si>
    <t>039-2011</t>
  </si>
  <si>
    <t>EL MARTILLO se compromete a ofrecer los bienes muebles, enseres y vehículos de propiedad de LA PREVISORA S.A. que ésta le indique, a través de EL MARTILLO DEL BANCO POPULAR, para adjudicarlos al mejor postor mediante los sistemas de Subasta Pública, Oferta Pública, Invitación a Ofrecer, o cualquier otro sistema previamente acordado por las partes.</t>
  </si>
  <si>
    <t>El valor del contrato es de cuantía indeterminada pero determinable teniendo en cuenta el valor de la  comisión que se genere con base en el valor de la venta de los muebles, eneseres y vehículos, el IVA y demás gastos. A hoy, EL MARTILLO ha deducido la totalidad de los valores por este concepto de las ventas efectuadas en la última vigencia, por ende, se determina que la ejecución se encuentra al 100%. 
Por tratarse de un contrato con prórroga automática, el cálculo del avance físico se realiza teniendo en cuenta los datos de la vigencia en ejecución.</t>
  </si>
  <si>
    <t>055-2011</t>
  </si>
  <si>
    <t>EL ARRENDADOR concede a EL ARRENDATARIO el uso y goce del inmueble ubicado en la calle 57 No. 8B-05 int 20, de la ciudad de Bogotá, Local con régimen de propiedad horizontal.</t>
  </si>
  <si>
    <t>46350495
19351816</t>
  </si>
  <si>
    <t>LIGIA MARITZA KUSGÜEN RODRIGUEZ, LUIS ORLANDO KUSGÜEN RODRIGUEZ</t>
  </si>
  <si>
    <t>037-2012</t>
  </si>
  <si>
    <t>EL ARRENDADOR concdde al EL ARRENDATARIO el uso uy goce de la Oficina seiscientos uno (601) y el uso exclusivo de los parqueaderos uno (1), dos 82) y cuarenta y dos (42) del Edificio Tequendama ubicdo en la Carrera 7 No. 26-20 de la ciudad de Bogotá.</t>
  </si>
  <si>
    <t>860011153-6</t>
  </si>
  <si>
    <t>POSITIVA S.A.</t>
  </si>
  <si>
    <t>Corresponde a contratos de arrendamientos de inmuebles de propiedad de La Previsora Seguros, contratos con renovación automática. Incrementos del canon de arrendamiento IPC+3 puntos.</t>
  </si>
  <si>
    <t xml:space="preserve">Gerencia de Desarrollo Comercial </t>
  </si>
  <si>
    <t>92000-2016-70</t>
  </si>
  <si>
    <t>La Previsora faculta a la Agencia Promotora para que por su propia cuenta y riesgo y mediante su propia organización comercial la represente únicamente en el ejercicio de las  actividades para promover la colocacion y renovación de contratos de seguro a que se refiere el Anexo N°1 del presente contrato, cotizar y expedir físicamente las pólizas y productos autorizados, no por si misma sino por medio de los intermediarios de seguros adscritos a Previsora a través de la promotora en la ciudad de Barranquilla.</t>
  </si>
  <si>
    <t>900207694-6</t>
  </si>
  <si>
    <t>EVOLUCIONAR SEGUROS  LTDA.</t>
  </si>
  <si>
    <t>Giro del negocio no requiere CDP por lo tanto no maneja presupuesto y se paga comisión sobre recaudos.
Contrato prorrogado hasta el 31/12/2023 las demas clausulas condiciones y anexos del contrato no se modifican y continuan vigentes.
OtroSí N°5 Prórroga firmado 21/12/2023.
OtroSí N°6 Prórroga hasta 30/06/2026 firmado 26/06/2024.</t>
  </si>
  <si>
    <t>3331
7170</t>
  </si>
  <si>
    <t>026-2018</t>
  </si>
  <si>
    <t xml:space="preserve">EL ARRENDADOR en virtud de este contrato entrega en arrendamiento comercial a EL ARRENDATARIO el uso y  goce del Local Comercial No. 4 con Mezanine, del Centro Comercial y de Negocios Andino - P.H, ubicado en la Carrera 11 No. 82-01 en la ciudad de Bogotá D.C. </t>
  </si>
  <si>
    <t>830028860-0</t>
  </si>
  <si>
    <t>L.V. COLOMBIA S.A.S.</t>
  </si>
  <si>
    <t>OTROSÍ N°1 Prórroga y Adicional del 27/05/2025.
Por corresponder a contratos de arrendamientos de inmuebles de propiedad de La Previsora no se ejecutan pagos de nuestra parte.</t>
  </si>
  <si>
    <t>018-2019</t>
  </si>
  <si>
    <t>Prestar el servicio integral de impresión y escaneo de documentos, bajo la modalidad de outsourcing, para las sedes de LA PREVISORA S.A. a nivel nacional. ALCANCE: La solución debe contemplar el personal y los equipos necesarios para la solución de impresión y escaneo, el software para administración, gestión, configuración, control y auditoria, debidamente licenciados, que permitan la generación de reportes y estadísticas.</t>
  </si>
  <si>
    <t>830001637-7</t>
  </si>
  <si>
    <t>SONDA DE COLOMBIA S.A.</t>
  </si>
  <si>
    <t>Prórroga del 31/10/2024.</t>
  </si>
  <si>
    <t>https://www.secop.gov.co/CO1BusinessLine/Tendering/ProcedureEdit/View?DocUniqueIdentifier=CO1.REQ.3270525&amp;PrevCtxLbl=Work+Area&amp;PrevCtxUrl=https%3a%2f%2fwww.secop.gov.co%2fCO1BusinessLine%2fTendering%2fBuyerWorkArea%2fIndex%3fDocUniqueIdentifier%3dCO1.BDOS.3184329&amp;Messages=Modificaci%C3%B3n%20aplicada%20%20|Success</t>
  </si>
  <si>
    <t>043-2019</t>
  </si>
  <si>
    <t>Proveer un sistema de conectividad para acceder en línea a la Base de Datos RUNT.</t>
  </si>
  <si>
    <t>900153453-4</t>
  </si>
  <si>
    <t>CONCESION RUNT S.A.</t>
  </si>
  <si>
    <t>se actualiza prórroga y adicionales (10/11/23 - 22/12/2023)
Se actualiza adicional del 02/05/2024.
OTROSÍ N° 8 Adicional del 18/06/2025
Contrato tiene prórroga automática por periodos de 1 año, por ser un servicio Normativo Resol. 4170 de 2016</t>
  </si>
  <si>
    <t>https://www.contratos.gov.co/consultas/detalleProceso.do?numConstancia=19-4-10231444&amp;g-recaptcha-response=03AFcWeA6G59btstmtE_i0X7VA5m5wu9_wyzljXBsw6jPScUrt-ssAqNJqTQnOER4LJqmEHTzhYGajctAdAEgDoa8MtBKlUv1AQ7RW-7_gcpNngZjqiyJwr1FSAcZzoElcAu0OV2XOe_fkPvYee4NobgduEpvuRr-LJs_IH8uJgw1LeW7Tq2SE_SMGitL4RkCruBdhvRFfsNFpUQOk9-NuGM5EUlGuV6dKqcpHH7gsaObqmZTI7iF4MtWy91UEzQS4kNTFGjfo2S0hf1502jWCowH0oB1ndbbd6MwcHajOpJog3Kk_VgU5ECP_SOIjo6mJ18bf7AjEGzn7_dnpOJvaYByLAgwxZIKQdsoejMjGrI8troDgD-rVDu5mdBqBehqlHdEA-pY3CnW1iFywp0qrre3IrcfL8MetlPZgyzcqW24ZkhlMMp7dt0sr0yx7_oibR7e9qbxIGF8wrADoo1NqCvUEEbJQ5SHKdqV7QlFpGEDO67QdurpgEk1YqQ9usDKvSNCyN54QWaUfuRgSVCAPtsohLfYXwZiPUDASIAjdG1opacWtpzT65QILqGPx5lBCFRTvn6Bo5rzgIDvALbR6JOFiFtSG-C8A8_XfJRO9WiEXbDWWkLdu3XY</t>
  </si>
  <si>
    <t>047-2019</t>
  </si>
  <si>
    <t>EL PROVEEDOR se obliga con LA PREVISORA S.A. a suministrar, instalar, poner en funcionamiento y en prueba, Toboganes de Salvamento o Sistema de Deslizadores de cuerpo para utilizar en eventos de evacuación, los cuales deberán ser instalados en los edificios de LA PREVISORA S.A. ubicados en la calle 57 N. 9-07 y 8 B-05 de Bogotá.</t>
  </si>
  <si>
    <t>900259889-8</t>
  </si>
  <si>
    <t>COMERCIALIZADORA INTERNACIONAL GHANY COLOMBIA SOCIEDAD POR ACCIONES SIMPLIFICADA (CIGHACOLSA SAS)</t>
  </si>
  <si>
    <t>https://community.secop.gov.co/Public/Tendering/ContractNoticePhases/View?PPI=CO1.PPI.29218077&amp;isFromPublicArea=True&amp;isModal=False</t>
  </si>
  <si>
    <t>200-2019-0208</t>
  </si>
  <si>
    <t>EL PROVEEDOR se compremete con LA PREVISORA a prestar sus servicios para el desarrollo, implementación, uso, evaluacion entrega de resultados y elaboración de pruebas psicotecnicas aplicadas a candidatos a suplir vacantes de la planta de personal.</t>
  </si>
  <si>
    <t>900059124-4</t>
  </si>
  <si>
    <t>THT THE TALENT SYSTEM S.A.S.</t>
  </si>
  <si>
    <t>TERMINACION ANTICIPADA</t>
  </si>
  <si>
    <t>MDF N°1 Prórroga por 2 años (10/11/2021)
OTROSÍ N°2 Prórroga 6 meses (08/11/2023)
OTROSÍ N°3 Prórroga (07/05/2024)
Contrato terminado anticipadamente el 30/12/2024.  Acta del 20/03/2025</t>
  </si>
  <si>
    <t>https://www.secop.gov.co/CO1BusinessLine/Tendering/BuyerWorkArea/Index?docUniqueIdentifier=CO1.BDOS.2396267&amp;Messages=Modificaci%C3%B3n%20cancelada%20%20|Success</t>
  </si>
  <si>
    <t>024-2020</t>
  </si>
  <si>
    <t xml:space="preserve">EL PROVEEDOR se obliga con LA PREVISORA S.A. a suministrar, instalar, configurar, parametrizar, afinar y prestar el soporte técnico de equipos switch de borde y sus accesorios, con el fin de conservar la conectividad y disponibilidad de los servicios de red LAN de LA PREVISORA S.A. </t>
  </si>
  <si>
    <t>900335814-1</t>
  </si>
  <si>
    <t>CYMA INGENIERIA LTDA.</t>
  </si>
  <si>
    <t>https://www.secop.gov.co/CO1BusinessLine/Tendering/ProcedureEdit/View?docUniqueIdentifier=CO1.REQ.1632808&amp;prevCtxUrl=https%3a%2f%2fwww.secop.gov.co%2fCO1BusinessLine%2fTendering%2fBuyerDossierWorkspace%2fIndex%3freference%3d024-2020%26createDateFrom%3d01%2f08%2f2019+08%3a01%3a00%26createDateTo%3d01%2f02%2f2024+20%3a01%3a00%26filteringState%3d0%26sortingState%3dLastModifiedDESC%26showAdvancedSearch%3dTrue%26showAdvancedSearchFields%3dFalse%26advSrchFolderCode%3dALL%26selectedDossier%3dCO1.BDOS.1583513%26selectedRequest%3dCO1.REQ.1632808%26&amp;prevCtxLbl=Procesos+de+la+Entidad+Estatal</t>
  </si>
  <si>
    <t>Subgerencia De Impuestos</t>
  </si>
  <si>
    <t>026-2020</t>
  </si>
  <si>
    <t>Prestar sus servicios profesionales de asesoría permanente y emisión de conceptos en materia tributaria aplicable a los impuestos nacionales y municipales para LA PREVISORA S.A. así como el servicio de soporte para la Gerencia Contable y Tributaria de LA PREVISORA S.A. en los procesos de planeación supervisión y revisión de la declaración de renta y complementarios y brindar apoyo en la contestación de requerimientos realizados por los entes de control a nivel interno y externo.</t>
  </si>
  <si>
    <t>TRIBUTAR ASESORES S.A.S.</t>
  </si>
  <si>
    <t>https://www.secop.gov.co/CO1BusinessLine/Tendering/ProcedureEdit/View?DocUniqueIdentifier=CO1.REQ.1632760&amp;PrevCtxLbl=Work+Area&amp;PrevCtxUrl=https%3a%2f%2fwww.secop.gov.co%2fCO1BusinessLine%2fTendering%2fBuyerWorkArea%2fIndex%3fDocUniqueIdentifier%3dCO1.BDOS.1583522&amp;Messages=Modificaci%C3%B3n%20aplicada%20%20|Success</t>
  </si>
  <si>
    <t>030-2020</t>
  </si>
  <si>
    <t>EL PROVEEDOR se obliga con LA PREVISORA S.A. a suministrar equipos de cómputo portátiles, sus accesorios y monitores adicionales a demanda bajo la modalidad de DaaS (Dispositivo como servicio), así como el servicio de administración y soporte de equipos a nivel nacional con las respectivas herramientas de Gestión.</t>
  </si>
  <si>
    <t>800015583-1</t>
  </si>
  <si>
    <t>COLSOF S.A.</t>
  </si>
  <si>
    <t>https://community.secop.gov.co/Public/Tendering/ContractNoticePhases/View?PPI=CO1.PPI.29440508&amp;isFromPublicArea=True&amp;isModal=False</t>
  </si>
  <si>
    <t>4426 /5847 /  6252</t>
  </si>
  <si>
    <t>036-2020</t>
  </si>
  <si>
    <t>Prestar sus servicios de peritaje especializado a los daños sufridos por los vehículos asegurados y/o los causados por éstos a vehículos de terceros que afecten las pólizas expedidas por LA PREVISORA S.A. bajo el ramo de automóviles obteniendo de esta manera una evaluación y valoración de los daños</t>
  </si>
  <si>
    <t>860053523-8</t>
  </si>
  <si>
    <t>COMPAÑÍA COLOMBIANA DE SERVICIO AUTOMOTRIZ COLSERAUTO S.A.</t>
  </si>
  <si>
    <t>Prórroga y adicional $963.900.000. (24/08/2023)
Prórroga y adicional $ 702.233280. (29/02/2024)</t>
  </si>
  <si>
    <t>https://community.secop.gov.co/Public/Tendering/ContractNoticePhases/View?PPI=CO1.PPI.35082242&amp;isFromPublicArea=True&amp;isModal=False</t>
  </si>
  <si>
    <t>Gerencia De Servicio</t>
  </si>
  <si>
    <t>4408 /5840 /5939 /6500 / 6615</t>
  </si>
  <si>
    <t>039-2020</t>
  </si>
  <si>
    <t>30 OTROS / OUTSOURCING CONTACT CENTER</t>
  </si>
  <si>
    <t>EL PROVEEDOR se obliga con LA PREVISORA S.A. bajo la modalidad de outsourcing a la prestación del servicio de operación y administración del Contact Center a nivel nacional con la tecnología y conexiones pertinentes en las ciudades de Bogotá y Medellín (o en la ciudad donde opere el data center principal y alterno de LA PREVISORA S.A.</t>
  </si>
  <si>
    <t>800237456-5</t>
  </si>
  <si>
    <t>EMTELCO S.A.S.</t>
  </si>
  <si>
    <t>OTROSÍ N° 1 prórroga y adicional del 08/09/23 
OTROSÍ N° 2 del 28/09/2023
OTROSÍ N° 3 del 26/07/2024
OTROSÍ N°4 Prórroga y adición del 27/09/2024.</t>
  </si>
  <si>
    <t>https://www.secop.gov.co/CO1BusinessLine/Tendering/ProcedureEdit/View?DocUniqueIdentifier=CO1.REQ.1526735&amp;PrevCtxLbl=Work+Area&amp;PrevCtxUrl=https%3a%2f%2fwww.secop.gov.co%2fCO1BusinessLine%2fTendering%2fBuyerWorkArea%2fIndex%3fDocUniqueIdentifier%3dCO1.BDOS.1482092&amp;Messages=Modificaci%C3%B3n%20aplicada%20%20|Success</t>
  </si>
  <si>
    <t>045-2020</t>
  </si>
  <si>
    <t>El proveedor se obliga con La Preisora S.A. a prestar el servicio de implementacion, gestion y mantenimiento de la solución de antivirus con modelo EDR incluyendo el licenciamiento.</t>
  </si>
  <si>
    <t>900418656-1</t>
  </si>
  <si>
    <t>GRUPO MICROSISTEMAS COLOMBIA SAS</t>
  </si>
  <si>
    <t>https://www.secop.gov.co/CO1BusinessLine/Tendering/ProcedureEdit/View?docUniqueIdentifier=CO1.REQ.1633858&amp;prevCtxUrl=https%3a%2f%2fwww.secop.gov.co%2fCO1BusinessLine%2fTendering%2fBuyerDossierWorkspace%2fIndex%3freference%3d045-2020%26createDateFrom%3d01%2f08%2f2020+08%3a06%3a00%26createDateTo%3d01%2f02%2f2024+20%3a06%3a00%26filteringState%3d0%26sortingState%3dLastModifiedDESC%26showAdvancedSearch%3dTrue%26showAdvancedSearchFields%3dFalse%26advSrchFolderCode%3dALL%26selectedDossier%3dCO1.BDOS.1584536%26selectedRequest%3dCO1.REQ.1633858%26&amp;prevCtxLbl=Procesos+de+la+Entidad+Estatal</t>
  </si>
  <si>
    <t>600-2020-0089</t>
  </si>
  <si>
    <t>EL COMODANTE (LA PREVISORA S.A.) ENTREGA A TÍTULO DE COMODATO AL BANCO Y ÉSTE RECIBE AL MISMO TÍTULO, EL USO DE UN ESPACIO DE DOS Y MEDIO (2.5) METROS CUADRADOS UBICADOS DENTRO DE UN BIEN INMUEBLE DE SU PROPIEDAD, UBICADO EN LA CALLE 57 NO. 8-93 EDIF</t>
  </si>
  <si>
    <t>860002964-4</t>
  </si>
  <si>
    <t>BANCO DE BOGOTÁ</t>
  </si>
  <si>
    <t>Espacio designado para operación del Cajero autómatico del Banco de Bogotá en el edificio de La Previsora. No genera valores de gasto, ni ingreso.
Prórroga por 5 años según carta del Banco de Bogotá del 02/04/2025.</t>
  </si>
  <si>
    <t>013-2021</t>
  </si>
  <si>
    <t>Prestación del servicio de proveeduría o suministro de información para la valoración de las inversiones de la compañía, de acuerdo con las metodologías de valoración de EL PROVEEDOR incluyendo las no objetadas Superintendencia Financiera de Colombia</t>
  </si>
  <si>
    <t>PRECIA PROVEEDOR DE PRECIOS PARA VALORACIÓN S.A.</t>
  </si>
  <si>
    <t>https://www.secop.gov.co/CO1BusinessLine/Tendering/ProcedureEdit/View?docUniqueIdentifier=CO1.REQ.1964131&amp;prevCtxUrl=https%3a%2f%2fwww.secop.gov.co%2fCO1BusinessLine%2fTendering%2fBuyerDossierWorkspace%2fIndex%3freference%3d013-2021%26createDateFrom%3d01%2f08%2f2019+07%3a47%3a00%26createDateTo%3d01%2f02%2f2024+19%3a47%3a00%26filteringState%3d0%26sortingState%3dLastModifiedDESC%26showAdvancedSearch%3dTrue%26showAdvancedSearchFields%3dFalse%26advSrchFolderCode%3dALL%26selectedDossier%3dCO1.BDOS.1911333%26selectedRequest%3dCO1.REQ.1964131%26&amp;prevCtxLbl=Procesos+de+la+Entidad+Estatal</t>
  </si>
  <si>
    <t>5560
6428</t>
  </si>
  <si>
    <t>018-2021</t>
  </si>
  <si>
    <t>Mediante el presente contrato EL ARRENDADOR entrega en arrendamiento a EL ARRENDATARIO el uso y goce de la oficina cuatrocientos uno (401) del inmueble ubicado en la transversal 9° No. 55-67 del Edificio El Triángulo de la ciudad de Bogotá D.C., donde funciona SINTRAPREVI.</t>
  </si>
  <si>
    <t>901776985-8</t>
  </si>
  <si>
    <t>MAGUVIGO S.A.S.</t>
  </si>
  <si>
    <t>Por tratarse de un contrato de arrendamiento con prórroga automática, el cálculo de los avances físico y presupuestal, se realiza teniendo en cuenta los datos de la vigencia en ejecución.
Cesión del 30/07/2024</t>
  </si>
  <si>
    <t>029-2021</t>
  </si>
  <si>
    <t xml:space="preserve">EL PROVEEDOR se compromete con LA PREVISORA S.A. a prestar los servicios de infraestructura de cómputo en un modelo de solución híbrida (Collocation + IaaS en modelo de despliegue de nube privada) tanto para el “Datacenter” principal como para el alterno, junto con los servicios de gestión y administración que cubran las necesidades de LA PREVISORA S.A. Adicionalmente se debe suministrar una solución de Recuperación de Desastres (Disaster Recovery Solution) alineado a las necesidades y servicios críticos del negocio. </t>
  </si>
  <si>
    <t>800153993-7</t>
  </si>
  <si>
    <t>COMUNICACIÓN CELULAR S.A. COMCEL S.A.</t>
  </si>
  <si>
    <t>https://www.secop.gov.co/CO1BusinessLine/Tendering/ProcedureEdit/View?DocUniqueIdentifier=CO1.REQ.2173936&amp;PrevCtxLbl=Work+Area&amp;PrevCtxUrl=https%3a%2f%2fwww.secop.gov.co%2fCO1BusinessLine%2fTendering%2fBuyerWorkArea%2fIndex%3fDocUniqueIdentifier%3dCO1.BDOS.2114292&amp;Messages=Modificaci%C3%B3n%20aplicada%20%20|Success</t>
  </si>
  <si>
    <t>030-2021</t>
  </si>
  <si>
    <t xml:space="preserve">EL PROVEEDOR se compromete a suministrar una solución y servicios de comunicaciones para LA PREVISORA S.A., que cumplan la necesidad de servicio de internet en cada sede, internet móvil y conectividad, interconexión de sus servicios (data center principal y alterno) y sucursales a nivel nacional con enlaces dedicados, anchos de banda óptimo, con esquema SD-WAN garantizando alta disponibilidad, así como su gestión, seguridad y monitoreo. </t>
  </si>
  <si>
    <t>OTROSÍ N°1 Prórroga y adicional del 05/08/2024</t>
  </si>
  <si>
    <t>https://www.secop.gov.co/CO1BusinessLine/Tendering/ProcedureEdit/View?docUniqueIdentifier=CO1.REQ.2148925&amp;prevCtxUrl=https%3a%2f%2fwww.secop.gov.co%2fCO1BusinessLine%2fTendering%2fBuyerDossierWorkspace%2fIndex%3freference%3d030-2021%26createDateFrom%3d01%2f08%2f2020+07%3a49%3a00%26createDateTo%3d01%2f02%2f2024+19%3a49%3a00%26filteringState%3d0%26sortingState%3dLastModifiedDESC%26showAdvancedSearch%3dTrue%26showAdvancedSearchFields%3dFalse%26advSrchFolderCode%3dALL%26selectedDossier%3dCO1.BDOS.2089695%26selectedRequest%3dCO1.REQ.2148925%26&amp;prevCtxLbl=Procesos+de+la+Entidad+Estatal</t>
  </si>
  <si>
    <t>4825 / 5259
6554 / 6653</t>
  </si>
  <si>
    <t>036-2021</t>
  </si>
  <si>
    <t>Prestar servicios profesionales especializados en seguridad informática y SOC Nivel 2, para la protección de la infraestructura y los activos tecnológicos que soportan los procesos de LA PREVISORA S.A.</t>
  </si>
  <si>
    <t>900255873-2</t>
  </si>
  <si>
    <t>O4IT COLOMBIA S.A.S.</t>
  </si>
  <si>
    <t>OTROSÍ N°1 Prórroga y adicional del 30/08/2024
OTROSÍ N°2 Prórroga y adicional del 31/10/2024</t>
  </si>
  <si>
    <t>https://www.secop.gov.co/CO1BusinessLine/Tendering/ProcedureEdit/View?docUniqueIdentifier=CO1.REQ.2242880&amp;prevCtxUrl=https%3a%2f%2fwww.secop.gov.co%2fCO1BusinessLine%2fTendering%2fBuyerDossierWorkspace%2fIndex%3freference%3d036%26createDateFrom%3d01%2f12%2f2019+07%3a02%3a00%26createDateTo%3d01%2f06%2f2022+19%3a02%3a00%26filteringState%3d0%26sortingState%3dLastModifiedDESC%26showAdvancedSearch%3dTrue%26showAdvancedSearchFields%3dFalse%26advSrchFolderCode%3dALL%26selectedDossier%3dCO1.BDOS.2182999%26selectedRequest%3dCO1.REQ.2242880%26&amp;prevCtxLbl=Procesos+de+la+Entidad+Estatal</t>
  </si>
  <si>
    <t>038-2021</t>
  </si>
  <si>
    <t>Prestar sus servicios especializados para estabilizar y asegurar la operación del proceso de facturación en medios y formatos electrónicos el cual contempla la expedición entrega aceptación rechazo exhibición y conservación de facturas por y en medios y formatos electrónicos de acuerdo con lo establecido.</t>
  </si>
  <si>
    <t>Adicional N°1 del 16/06/2022 ($26.557.825.)
Adicional N°2 del 04/04/2024 ($318.418.166.)
OTROSÍ N°3 prórroga y adicional del 13/08/2024 ($195.114.333.)</t>
  </si>
  <si>
    <t>https://community.secop.gov.co/Public/Tendering/ContractNoticePhases/View?PPI=CO1.PPI.15622976&amp;isFromPublicArea=True&amp;isModal=False</t>
  </si>
  <si>
    <t>049-2021</t>
  </si>
  <si>
    <t>contratar los servicios profesionales con una compañía especializada en pruebas de software, para certificar la calidad de los componentes de nuevos desarrollos y/o evolutivos entregados por los proveedores de software de la entidad, principalmente para el Core de seguros</t>
  </si>
  <si>
    <t>804013213-5</t>
  </si>
  <si>
    <t>TOOL CONSULTING S.A.S.</t>
  </si>
  <si>
    <t>https://www.secop.gov.co/CO1BusinessLine/Tendering/ProcedureEdit/View?DocUniqueIdentifier=CO1.REQ.2392773&amp;PrevCtxLbl=Work+Area&amp;PrevCtxUrl=https%3a%2f%2fwww.secop.gov.co%2fCO1BusinessLine%2fTendering%2fBuyerWorkArea%2fIndex%3fDocUniqueIdentifier%3dCO1.BDOS.2326459&amp;Messages=Modificaci%C3%B3n%20aplicada%20%20|Success</t>
  </si>
  <si>
    <t>053-2021</t>
  </si>
  <si>
    <t>prestar el servicio de mantenimiento preventivo, correctivo, suministro de repuestos, soporte técnico, servicio especializado de adecuaciones eléctricas y suministro de baterías para los sistemas de corriente ininterrumpida (UPS) marca Mitsubishi de propiedad de LA PREVISORA S.A., que soportan la plataforma tecnológica con cargas en misión crítica de alta disponibilidad y la red regulada, equipos instalados en el edificio de casa matriz de LA PREVISORA S.A. en Bogotá</t>
  </si>
  <si>
    <t>POWER QUALITY SOLUTIONS</t>
  </si>
  <si>
    <t>https://www.secop.gov.co/CO1BusinessLine/Tendering/ProcedureEdit/View?docUniqueIdentifier=CO1.REQ.2492519&amp;prevCtxUrl=https%3a%2f%2fwww.secop.gov.co%2fCO1BusinessLine%2fTendering%2fBuyerDossierWorkspace%2fIndex%3freference%3d053-2021%26createDateFrom%3d01%2f08%2f2020+07%3a52%3a00%26createDateTo%3d01%2f02%2f2024+19%3a52%3a00%26filteringState%3d0%26sortingState%3dLastModifiedDESC%26showAdvancedSearch%3dTrue%26showAdvancedSearchFields%3dFalse%26advSrchFolderCode%3dALL%26selectedDossier%3dCO1.BDOS.2417373%26selectedRequest%3dCO1.REQ.2492519%26&amp;prevCtxLbl=Procesos+de+la+Entidad+Estatal</t>
  </si>
  <si>
    <t>057-2021</t>
  </si>
  <si>
    <t>ADMINISTRAR Y CUSTODIAR LOS VEHÍCULOS DE INVERSIÓN DE PROPIEDAD DE LA PREVISORA, ASÍ COMO LA COMPENSACIÓN Y LIQUIDACIÓN DE LAS OPERACIONES REALIZADAS SOBRE DICHOS VALORES, LOS CUALES RESPALDAN LAS RESERVAS TÉCNICAS DE LA COMPAÑÍA.</t>
  </si>
  <si>
    <t>900635607-0</t>
  </si>
  <si>
    <t>BNP PARIBAS SECURITIES SERVICES COLOMBIA</t>
  </si>
  <si>
    <t>https://www.secop.gov.co/CO1BusinessLine/Tendering/ProcedureEdit/View?DocUniqueIdentifier=CO1.REQ.2506281&amp;PrevCtxLbl=Work+Area&amp;PrevCtxUrl=https%3a%2f%2fwww.secop.gov.co%2fCO1BusinessLine%2fTendering%2fBuyerWorkArea%2fIndex%3fDocUniqueIdentifier%3dCO1.BDOS.2431706&amp;Messages=Modificaci%C3%B3n%20aplicada%20%20|Success</t>
  </si>
  <si>
    <t>060-2021</t>
  </si>
  <si>
    <t>941677765-</t>
  </si>
  <si>
    <t>BNP PARIBAS NY BRANCH</t>
  </si>
  <si>
    <t>Prórroga y Adicional del 27/11/2024.</t>
  </si>
  <si>
    <t>https://www.secop.gov.co/CO1BusinessLine/Tendering/ProcedureEdit/View?docUniqueIdentifier=CO1.REQ.2545516&amp;prevCtxUrl=https%3a%2f%2fwww.secop.gov.co%2fCO1BusinessLine%2fTendering%2fBuyerDossierWorkspace%2fIndex%3freference%3d060-2021%26createDateFrom%3d01%2f08%2f2021+07%3a55%3a00%26createDateTo%3d01%2f02%2f2024+19%3a55%3a00%26filteringState%3d0%26sortingState%3dLastModifiedDESC%26showAdvancedSearch%3dTrue%26showAdvancedSearchFields%3dFalse%26advSrchFolderCode%3dALL%26selectedDossier%3dCO1.BDOS.2466480%26selectedRequest%3dCO1.REQ.2545516%26&amp;prevCtxLbl=Procesos+de+la+Entidad+Estatal</t>
  </si>
  <si>
    <t>066-2021</t>
  </si>
  <si>
    <t>EL PROVEEDOR se compromete a prestar el servicio de mantenimiento preventivo y correctivo a la planta eléctrica de emergencia marca FG WILSON P425E de propiedad de LA PREVISORA S.A.</t>
  </si>
  <si>
    <t>Se actualiza Cesión de contrato firmada del 28/07/2024.
Cedente Controlec Ltda. NIT. 860.051.872-4</t>
  </si>
  <si>
    <t>https://www.secop.gov.co/CO1BusinessLine/Tendering/ProcedureEdit/View?docUniqueIdentifier=CO1.REQ.3021427&amp;prevCtxUrl=https%3a%2f%2fwww.secop.gov.co%2fCO1BusinessLine%2fTendering%2fBuyerDossierWorkspace%2fIndex%3freference%3d066-2021%26createDateFrom%3d01%2f08%2f2020+08%3a00%3a00%26createDateTo%3d01%2f02%2f2024+20%3a00%3a00%26filteringState%3d0%26sortingState%3dLastModifiedDESC%26showAdvancedSearch%3dTrue%26showAdvancedSearchFields%3dFalse%26advSrchFolderCode%3dALL%26selectedDossier%3dCO1.BDOS.2940728%26selectedRequest%3dCO1.REQ.3021427%26&amp;prevCtxLbl=Procesos+de+la+Entidad+Estatal</t>
  </si>
  <si>
    <t>4991 / 5297
 5650 / 6343
6849 / 7220</t>
  </si>
  <si>
    <t>076-2021</t>
  </si>
  <si>
    <t>prestar el servicio de soporte mantenimiento consultoría y actualización de la aplicación de Conciliación DATA MATCH CONCISO WEB (nuevo versionamiento modelo SAAS)</t>
  </si>
  <si>
    <t>800135532-9</t>
  </si>
  <si>
    <t>ASESORES DE SISTEMAS ESPECIALIZADOS EN SOFTWARE S.A.S.</t>
  </si>
  <si>
    <t>OTROSÍ N°1 Adicional ($5.581.923) del 25/08/2022
OTROSÍ N°2 Modif. De Claúsulas (01/03/2023)
OTROSÍ N°3 Prórroga y adicional ($52.618.136.) del 30/04/2024
OTROSÍ N°4 Prórroga y adición del 31/12/2024 ($30.370.480.)
OTROSÍ N°5 Prórroga y adición del 27/06/2025 ($35.607.040.)</t>
  </si>
  <si>
    <t>https://www.secop.gov.co/CO1BusinessLine/Tendering/ProcedureEdit/View?DocUniqueIdentifier=CO1.REQ.2834519&amp;PrevCtxLbl=Work+Area&amp;PrevCtxUrl=https%3a%2f%2fwww.secop.gov.co%2fCO1BusinessLine%2fTendering%2fBuyerWorkArea%2fIndex%3fDocUniqueIdentifier%3dCO1.BDOS.2703977&amp;Messages=Modificaci%C3%B3n%20aplicada%20%20|Success</t>
  </si>
  <si>
    <t>5753 - 5924</t>
  </si>
  <si>
    <t>077-2021</t>
  </si>
  <si>
    <t>Realizar el suministro de un software de litigios y Vigía Judicial bajo la modalidad de arrendamiento de licencia bajo un esquema Cloud Computing.</t>
  </si>
  <si>
    <t>INMERSYS S.A.S.</t>
  </si>
  <si>
    <t>https://www.secop.gov.co/CO1BusinessLine/Tendering/ProcedureEdit/View?DocUniqueIdentifier=CO1.REQ.2890205&amp;PrevCtxLbl=Work+Area&amp;PrevCtxUrl=https%3a%2f%2fwww.secop.gov.co%2fCO1BusinessLine%2fTendering%2fBuyerWorkArea%2fIndex%3fDocUniqueIdentifier%3dCO1.BDOS.2809384&amp;Messages=Modificaci%C3%B3n%20aplicada%20%20|Success</t>
  </si>
  <si>
    <t>080-2021</t>
  </si>
  <si>
    <t>contratar el servicio de renovación del licenciamiento y soporte para los 18 cores productivos de las Bases de datos SAP ASE SYBASE con los que cuenta La Previsora S.A.</t>
  </si>
  <si>
    <t>900387076-5</t>
  </si>
  <si>
    <t>INETUM ESPAÑA S.A. SUCURSAL COLOMBIA</t>
  </si>
  <si>
    <t>Contrato en dólares USD 495.32</t>
  </si>
  <si>
    <t>https://www.secop.gov.co/CO1BusinessLine/Tendering/ProcedureEdit/View?docUniqueIdentifier=CO1.REQ.2910603&amp;prevCtxUrl=https%3a%2f%2fwww.secop.gov.co%2fCO1BusinessLine%2fTendering%2fBuyerDossierWorkspace%2fIndex%3freference%3d080-2021%26createDateFrom%3d01%2f08%2f2020+07%3a59%3a00%26createDateTo%3d01%2f02%2f2024+19%3a59%3a00%26filteringState%3d0%26sortingState%3dLastModifiedDESC%26showAdvancedSearch%3dTrue%26showAdvancedSearchFields%3dFalse%26advSrchFolderCode%3dALL%26selectedDossier%3dCO1.BDOS.2833410%26selectedRequest%3dCO1.REQ.2910603%26&amp;prevCtxLbl=Procesos+de+la+Entidad+Estatal</t>
  </si>
  <si>
    <t>041-2022</t>
  </si>
  <si>
    <t>Prestación de servicios de vigilancia y seguridad privada, con medio humano, armado, equipos de comunicación y de seguridad tecnológicos en las instalaciones de LA PREVISORA S.A., a nivel nacional.</t>
  </si>
  <si>
    <t>860518504-5</t>
  </si>
  <si>
    <t>COMPAÑÍA DE SEGURIDAD NACIONAL COMSENAL LTDA.</t>
  </si>
  <si>
    <t>OTROSÍ N°1 Adicional del 26/12/2024.
OTROSÍ N°2 del 03/03/2025 prórroga y adicional ($337.440.863.)</t>
  </si>
  <si>
    <t>https://www.secop.gov.co/CO1BusinessLine/Tendering/ProcedureEdit/View?docUniqueIdentifier=CO1.REQ.3030165&amp;prevCtxUrl=https%3a%2f%2fwww.secop.gov.co%2fCO1BusinessLine%2fTendering%2fBuyerDossierWorkspace%2fIndex%3freference%3d041-2022%26createDateFrom%3d01%2f01%2f2022+13%3a42%3a00%26createDateTo%3d01%2f02%2f2024+13%3a42%3a00%26filteringState%3d0%26sortingState%3dLastModifiedDESC%26showAdvancedSearch%3dTrue%26showAdvancedSearchFields%3dFalse%26advSrchFolderCode%3dALL%26selectedDossier%3dCO1.BDOS.2949357%26selectedRequest%3dCO1.REQ.3030165%26&amp;prevCtxLbl=Procesos+de+la+Entidad+Estatal</t>
  </si>
  <si>
    <t>Subgerencia Administración De Personal</t>
  </si>
  <si>
    <t>047-2022</t>
  </si>
  <si>
    <t>Prestar los servicios de agencia de viajes para realizar los trámites de emisión de tiquetes aéreos y reservas hoteleras (habitaciones y salas de reunión) en destinos nacionales e internacionales.</t>
  </si>
  <si>
    <t xml:space="preserve">MAYATUR S.A.S. </t>
  </si>
  <si>
    <t>https://www.secop.gov.co/CO1BusinessLine/Tendering/ProcedureEdit/View?docUniqueIdentifier=CO1.REQ.3775580&amp;prevCtxUrl=https%3a%2f%2fwww.secop.gov.co%2fCO1BusinessLine%2fTendering%2fBuyerDossierWorkspace%2fIndex%3fallWords2Search%3d047-2022%26createDateFrom%3d10%2f02%2f2021+12%3a46%3a00%26createDateTo%3d11%2f08%2f2025+00%3a46%3a00%26filteringState%3d0%26sortingState%3dLastModifiedDESC%26showAdvancedSearch%3dTrue%26showAdvancedSearchFields%3dTrue%26advSrchFolderCode%3dALL%26selectedDossier%3dCO1.BDOS.3680022%26selectedRequest%3dCO1.REQ.3775580%26&amp;prevCtxLbl=Procesos+de+la+Entidad+Estatal</t>
  </si>
  <si>
    <t>5243
7167</t>
  </si>
  <si>
    <t>061-2022</t>
  </si>
  <si>
    <t xml:space="preserve">prestar los servicios para la administración lógica y física de los equipos LAN/WLAN de LA PREVISORA S.A., a nivel nacional, manteniéndolos configurados y monitoreados para conservar la seguridad y disponibilidad del servicio. </t>
  </si>
  <si>
    <t>OTROSÍ N°1 Prórroga y adicional del 26/06/2025</t>
  </si>
  <si>
    <t>https://community.secop.gov.co/Public/Tendering/OpportunityDetail/Index?noticeUID=CO1.NTC.3268661&amp;isFromPublicArea=True&amp;isModal=False</t>
  </si>
  <si>
    <t>063-2022</t>
  </si>
  <si>
    <t>30 OTROS (SOFTWARE)</t>
  </si>
  <si>
    <t xml:space="preserve">EL PROVEEDOR proporcionará a LA PREVISORA S.A. el software con licencia para su uso en los sistemas de LA PREVISORA S.A. ("Software" y/o “Solución”) y / o servicios (incluidos los servicios SaaS, cuando aplique) (los "Servicios") identificados en este contrato y subsidiariamente en las Ordenes adjuntas </t>
  </si>
  <si>
    <t>371490331-</t>
  </si>
  <si>
    <t xml:space="preserve">FIS CAPITAL MARKETS US LLC </t>
  </si>
  <si>
    <t>072-2022</t>
  </si>
  <si>
    <t>prestar los servicios de infraestructura, suscripción, diseño de experiencia, diseño web, migración, desarrollo web, estrategia SEO (Search Engine Optimization – Optimización de motores de búsqueda), actividades de web máster, implementación y soporte del portal web y portal de aliados de LA PREVISORA S.A sobre la plataforma de experiencia digital Liferay DXP Cloud</t>
  </si>
  <si>
    <t>830075303-1</t>
  </si>
  <si>
    <t xml:space="preserve">ARIA PSW S.A.S. </t>
  </si>
  <si>
    <t>Oficina De Control Interno</t>
  </si>
  <si>
    <t>083-2022</t>
  </si>
  <si>
    <t>prestar el servicio de auditoría interna, valoración del riesgo, auditoría de calidad, ambiental, innovación y seguimiento del Sistema de Control Interno</t>
  </si>
  <si>
    <t>ERNST &amp; YOUNG S.A.S.</t>
  </si>
  <si>
    <t>085-2022</t>
  </si>
  <si>
    <t>prestar el servicio de mantenimiento y soporte al software ScoreBoard/QuickScore, incluyendo mejoras del producto a través de parches y nuevas versiones.</t>
  </si>
  <si>
    <t>https://www.secop.gov.co/CO1BusinessLine/Tendering/ProcedureEdit/View?docUniqueIdentifier=CO1.REQ.3549460&amp;prevCtxUrl=https%3a%2f%2fwww.secop.gov.co%2fCO1BusinessLine%2fTendering%2fBuyerDossierWorkspace%2fIndex%3freference%3d085-2022%26createDateFrom%3d01%2f08%2f2021+14%3a51%3a00%26createDateTo%3d01%2f02%2f2024+14%3a51%3a00%26filteringState%3d0%26sortingState%3dLastModifiedDESC%26showAdvancedSearch%3dTrue%26showAdvancedSearchFields%3dFalse%26advSrchFolderCode%3dALL%26selectedDossier%3dCO1.BDOS.3458099%26selectedRequest%3dCO1.REQ.3549460%26&amp;prevCtxLbl=Procesos+de+la+Entidad+Estatal</t>
  </si>
  <si>
    <t>5261 / 6170
6454 / 6469
 6836 / 7033
7385</t>
  </si>
  <si>
    <t>091-2022</t>
  </si>
  <si>
    <t xml:space="preserve">Prestar los servicios de auditoría concurrente, médica, técnica, documental y jurídica de los reclamos presentados a nivel nacional, tanto por personas naturales como jurídicas, que afecten los amparo de las pólizas de los ramos de SOAT y Accidentes Personales expedidas por la Compañía. </t>
  </si>
  <si>
    <t>901643782-9</t>
  </si>
  <si>
    <t xml:space="preserve">UNION TEMPORAL PREVISORA 2022 
</t>
  </si>
  <si>
    <t>OTROSÍ N° 1 Modificación de cláusulas 14/02/2024
OTROSÍ N° 2 Modificación de cláusulas y Supervisor 01/08/2024
OTROSÍ N°3 Modif. Valor total del contrato a $48.411.293.846. del 26/12/2024.
OTROSÍ N°4 Modif. Claúsula 34. (29/04/2025)
OTROSÍ N°5 Modif. Valor total del contrato a $65.278.668.809. del 12/09/2025</t>
  </si>
  <si>
    <t>https://community.secop.gov.co/Public/Tendering/ContractNoticePhases/View?PPI=CO1.PPI.23092358&amp;isFromPublicArea=True&amp;isModal=False</t>
  </si>
  <si>
    <t>Gerencia De Riesgos</t>
  </si>
  <si>
    <t>099-2022</t>
  </si>
  <si>
    <t>Prestar el servicio de licenciamiento, mantenimiento y actualización del Software Midas.</t>
  </si>
  <si>
    <t>HEINSOHN BUSINESS TECHNOLOGY S.A.</t>
  </si>
  <si>
    <t>https://community.secop.gov.co/Public/Tendering/ContractNoticePhases/View?PPI=CO1.PPI.21817514&amp;isFromPublicArea=True&amp;isModal=False</t>
  </si>
  <si>
    <t>101-2022</t>
  </si>
  <si>
    <t>Bajo la modalidad de software como servicio (SaaS) EL PROVEEDOR TECNOLÓGICO en su calidad de propietario y titular del derecho de explotación de la licencia de la solución tecnológica ofrecida con la cual se garantiza a LA PREVISORA S.A. la disponibilidad del servicio de operación de una solución tecnológica para dar cumplimiento a las Circulares Conjuntas Nro. 001 del 20 de agosto de 2021 y 002 del 23 de diciembre de 2021 proferidas por la Superintendencia Financiera de Colombia.</t>
  </si>
  <si>
    <t>Adicional del 24/09/2024.</t>
  </si>
  <si>
    <t>https://www.secop.gov.co/CO1BusinessLine/Tendering/ProcedureEdit/View?docUniqueIdentifier=CO1.REQ.4052591&amp;prevCtxUrl=https%3a%2f%2fwww.secop.gov.co%2fCO1BusinessLine%2fTendering%2fBuyerDossierWorkspace%2fIndex%3freference%3d101-2022%26createDateFrom%3d01%2f08%2f2021+14%3a57%3a00%26createDateTo%3d01%2f02%2f2024+14%3a57%3a00%26filteringState%3d0%26sortingState%3dLastModifiedDESC%26showAdvancedSearch%3dTrue%26showAdvancedSearchFields%3dFalse%26advSrchFolderCode%3dALL%26selectedDossier%3dCO1.BDOS.3956662%26selectedRequest%3dCO1.REQ.4052591%26&amp;prevCtxLbl=Procesos+de+la+Entidad+Estatal</t>
  </si>
  <si>
    <t>103-2022</t>
  </si>
  <si>
    <t>Realizar todas las gestiones para la publicación de avisos de prensa en diarios de amplia circulación nacional referente a temas como Asambleas Ordinarias y Extraordinarias publicación de fallecimientos de pensionados o personal activo de la Compañía reclamaciones de acreencias laborales cierres y aperturas de sucursales entre otros avisos relacionados con la gestión administrativa de la Compañía.</t>
  </si>
  <si>
    <t>830058081-8</t>
  </si>
  <si>
    <t>WPP MEDIA MANAGEMENT COLOMBIA SAS</t>
  </si>
  <si>
    <t>https://www.secop.gov.co/CO1BusinessLine/Tendering/ProcedureEdit/View?DocUniqueIdentifier=CO1.REQ.3538232&amp;PrevCtxLbl=Work+Area&amp;PrevCtxUrl=https%3a%2f%2fwww.secop.gov.co%2fCO1BusinessLine%2fTendering%2fBuyerWorkArea%2fIndex%3fDocUniqueIdentifier%3dCO1.BDOS.3446844&amp;Messages=Modificaci%C3%B3n%20aplicada%20%20|Success</t>
  </si>
  <si>
    <t>105-2022</t>
  </si>
  <si>
    <t>Prestación del servicio de mantenimiento y soporte a los aplicativos LevinAssets (LA) y LevinAssets Mobile (LAM) y de Equipos terminales PocketPC [EDA Motorola MC65 (SSB-MC65XX)] e Impresoras Zebra GK420, así como los servicios profesionales para usos múltiples.</t>
  </si>
  <si>
    <t>ORGANIZACIÓN LEVIN DE COLOMBIA S.A.S.</t>
  </si>
  <si>
    <t>https://www.secop.gov.co/CO1BusinessLine/Tendering/ProcedureEdit/View?docUniqueIdentifier=CO1.REQ.3659613&amp;prevCtxUrl=https%3a%2f%2fwww.secop.gov.co%2fCO1BusinessLine%2fTendering%2fBuyerDossierWorkspace%2fIndex%3freference%3d105-2022%26createDateFrom%3d01%2f08%2f2020+14%3a59%3a00%26createDateTo%3d01%2f02%2f2024+14%3a59%3a00%26filteringState%3d0%26sortingState%3dLastModifiedDESC%26showAdvancedSearch%3dTrue%26showAdvancedSearchFields%3dFalse%26advSrchFolderCode%3dALL%26selectedDossier%3dCO1.BDOS.3533728%26selectedRequest%3dCO1.REQ.3659613%26&amp;prevCtxLbl=Procesos+de+la+Entidad+Estatal</t>
  </si>
  <si>
    <t>106-2022</t>
  </si>
  <si>
    <t>suministrar sistemas de audio y video para las salas y la consola de sonido y los altavoces de los espacios internos de la compañía que LA PREVISORA S.A.  designe. Estos elementos se deben entregar con la correspondiente instalación, configuración, garantía, soporte técnico por treinta y seis (36) meses, y capacitación del manejo sobre los mismos.</t>
  </si>
  <si>
    <t>109-2022</t>
  </si>
  <si>
    <t>prestar el servicio de mantenimiento, revisión, nivelación, recarga y descarga, de los extintores de fuego de propiedad de LA PREVISORA S.A. en la ciudad de Bogotá.</t>
  </si>
  <si>
    <t>115-2022</t>
  </si>
  <si>
    <t>prestar los servicios de suministro, renovación y soporte al licenciamiento en la plataforma Microsoft Office 365 y Real Connect, para uso de LA PREVISORA S.A.</t>
  </si>
  <si>
    <t>Prórroga y adicional del 14/11/2024.</t>
  </si>
  <si>
    <t>https://community.secop.gov.co/Public/Tendering/ContractNoticePhases/View?PPI=CO1.PPI.24902099&amp;isFromPublicArea=True&amp;isModal=False</t>
  </si>
  <si>
    <t>116-2022</t>
  </si>
  <si>
    <t>servicios de mantenimiento preventivo y correctivo del equipo de bombeo en el edificio de Casa Matriz y el equipo de inyectores y extractores en el aparcadero Las Palmas, ubicados en la ciudad de Bogotá.</t>
  </si>
  <si>
    <t xml:space="preserve">SOCIEDAD IBH INGENIEROS EN BOMBAS HIDRAULICAS SAS </t>
  </si>
  <si>
    <t>Prórroga del 13/11/2024.</t>
  </si>
  <si>
    <t>https://community.secop.gov.co/Public/Tendering/ContractNoticePhases/View?PPI=CO1.PPI.24551054&amp;isFromPublicArea=True&amp;isModal=False</t>
  </si>
  <si>
    <t>5434
7406</t>
  </si>
  <si>
    <t>123-2022</t>
  </si>
  <si>
    <t>prestar los servicios de impresión de formularios de asegurabilidad y designación de beneficiarios para las pólizas de Vida Grupo Subsidiado y Voluntario del Ministerio de Defensa Nacional derivado de la Licitación 008 del año 2022</t>
  </si>
  <si>
    <t>900518919-2</t>
  </si>
  <si>
    <t>ENSAMBLY PRODUCCIONES S.A.S.</t>
  </si>
  <si>
    <t>OTROSÍ N°1 Adicional del 23/10/2025</t>
  </si>
  <si>
    <t>https://www.secop.gov.co/CO1BusinessLine/Tendering/ProcedureEdit/View?docUniqueIdentifier=CO1.REQ.4248780&amp;prevCtxUrl=https%3a%2f%2fwww.secop.gov.co%2fCO1BusinessLine%2fTendering%2fBuyerDossierWorkspace%2fIndex%3freference%3d123-2022%26createDateFrom%3d01%2f08%2f2021+07%3a29%3a00%26createDateTo%3d01%2f02%2f2024+19%3a29%3a00%26filteringState%3d0%26sortingState%3dLastModifiedDESC%26showAdvancedSearch%3dTrue%26showAdvancedSearchFields%3dFalse%26advSrchFolderCode%3dALL%26selectedDossier%3dCO1.BDOS.4151591%26selectedRequest%3dCO1.REQ.4248780%26&amp;prevCtxLbl=Procesos+de+la+Entidad+Estatal</t>
  </si>
  <si>
    <t>124-2022</t>
  </si>
  <si>
    <t>realizar el mantenimiento preventivo, correctivo y a brindar soporte técnico especializado a la Solución Adobe Present Central Pro-Output Server y Adobe Present Output Designer.</t>
  </si>
  <si>
    <t>800210453-6</t>
  </si>
  <si>
    <t>MULTISOFTWARE TRANSACCIONAL S.A.S.</t>
  </si>
  <si>
    <t>https://www.secop.gov.co/CO1BusinessLine/Tendering/ProcedureEdit/View?docUniqueIdentifier=CO1.REQ.4505243&amp;prevCtxUrl=https%3a%2f%2fwww.secop.gov.co%2fCO1BusinessLine%2fTendering%2fBuyerDossierWorkspace%2fIndex%3freference%3d124-2022%26createDateFrom%3d01%2f08%2f2021+07%3a30%3a00%26createDateTo%3d01%2f02%2f2024+19%3a30%3a00%26filteringState%3d0%26sortingState%3dLastModifiedDESC%26showAdvancedSearch%3dTrue%26showAdvancedSearchFields%3dFalse%26advSrchFolderCode%3dALL%26selectedDossier%3dCO1.BDOS.4404163%26selectedRequest%3dCO1.REQ.4505243%26&amp;prevCtxLbl=Procesos+de+la+Entidad+Estatal</t>
  </si>
  <si>
    <t>125-2022</t>
  </si>
  <si>
    <t>Suministrar los derechos de uso de software BIG SAS para almacenar la digitalización y digitación de información que se encuentra registrada en los formularios de las pólizas de seguros de vida del Ministerio de Defensa Nacional.</t>
  </si>
  <si>
    <t>900687292-7</t>
  </si>
  <si>
    <t>BIG-BUSINESS INTERNATIONAL GROUP S.A.S.</t>
  </si>
  <si>
    <t>https://www.secop.gov.co/CO1BusinessLine/Tendering/ProcedureEdit/View?docUniqueIdentifier=CO1.REQ.3969488&amp;prevCtxUrl=https%3a%2f%2fwww.secop.gov.co%2fCO1BusinessLine%2fTendering%2fBuyerDossierWorkspace%2fIndex%3freference%3d125-2022%26createDateFrom%3d01%2f08%2f2021+07%3a30%3a00%26createDateTo%3d01%2f02%2f2024+19%3a30%3a00%26filteringState%3d0%26sortingState%3dLastModifiedDESC%26showAdvancedSearch%3dTrue%26showAdvancedSearchFields%3dFalse%26advSrchFolderCode%3dALL%26selectedDossier%3dCO1.BDOS.3874013%26selectedRequest%3dCO1.REQ.3969488%26&amp;prevCtxLbl=Procesos+de+la+Entidad+Estatal</t>
  </si>
  <si>
    <t>129-2022</t>
  </si>
  <si>
    <t xml:space="preserve">PayU ofrece al Usuario el uso de un Sistema electrónico el cual consiste en una plataforma de internet que permite al Usuario recibir pagos por la venta de bienes y servicios ofrecidos por el Usuario mediante transacciones con diferentes medios de pago. </t>
  </si>
  <si>
    <t>830109723-8</t>
  </si>
  <si>
    <t>PayU COLOMBIA S.A.S.</t>
  </si>
  <si>
    <t>Si antes del vencimiento del plazo del Acuerdo ninguna de las partes comunica a la otra su intención de no prorrogarlo con una anticipación de por lo menos treinta (30) días calendario, se entenderá que éste se prorrogará en forma sucesiva, y bajo las mismas condiciones, por un período igual al inicialmente previsto y así sucesivamente.
El porcentaje de ejecución fisica y presupuestal se encuentra ejecutado al 100% hasta el anexo de tarifas que vencia el 20/12/2025.</t>
  </si>
  <si>
    <t>https://www.secop.gov.co/CO1BusinessLine/Tendering/ProcedureEdit/View?docUniqueIdentifier=CO1.REQ.4506036&amp;prevCtxUrl=https%3a%2f%2fwww.secop.gov.co%2fCO1BusinessLine%2fTendering%2fBuyerDossierWorkspace%2fIndex%3freference%3d129-2022%26createDateFrom%3d01%2f08%2f2021+07%3a31%3a00%26createDateTo%3d01%2f02%2f2024+19%3a31%3a00%26filteringState%3d0%26sortingState%3dLastModifiedDESC%26showAdvancedSearch%3dTrue%26showAdvancedSearchFields%3dFalse%26advSrchFolderCode%3dALL%26selectedDossier%3dCO1.BDOS.4405625%26selectedRequest%3dCO1.REQ.4506036%26&amp;prevCtxLbl=Procesos+de+la+Entidad+Estatal</t>
  </si>
  <si>
    <t>130-2022</t>
  </si>
  <si>
    <t>servicio de suscripción vía web por medio de su producto vLex Colombia Profesional el cual contiene boletines diarios e información sobre legislación, jurisprudencia, doctrina, códigos, estatutos y regímenes económicos, para todos los funcionarios de La Previsora, con 15 licencias especiales.</t>
  </si>
  <si>
    <t>901004967-3</t>
  </si>
  <si>
    <t xml:space="preserve">COLOMBIA INFORMACION LEGAL SAS </t>
  </si>
  <si>
    <t>https://www.secop.gov.co/CO1BusinessLine/Tendering/ProcedureEdit/View?docUniqueIdentifier=CO1.REQ.4056910&amp;prevCtxUrl=https%3a%2f%2fwww.secop.gov.co%2fCO1BusinessLine%2fTendering%2fBuyerDossierWorkspace%2fIndex%3freference%3d130-2022%26createDateFrom%3d01%2f08%2f2021+07%3a32%3a00%26createDateTo%3d01%2f02%2f2024+19%3a32%3a00%26filteringState%3d0%26sortingState%3dLastModifiedDESC%26showAdvancedSearch%3dTrue%26showAdvancedSearchFields%3dFalse%26advSrchFolderCode%3dALL%26selectedDossier%3dCO1.BDOS.3961303%26selectedRequest%3dCO1.REQ.4056910%26&amp;prevCtxLbl=Procesos+de+la+Entidad+Estatal</t>
  </si>
  <si>
    <t>5438
7364</t>
  </si>
  <si>
    <t>136-2022</t>
  </si>
  <si>
    <t>Prestar el servicio de mantenimiento preventivo, correctivo y soporte técnico de la plataforma TOTAL REPORT, incluyendo los desarrollos en el aplicativo que sean requeridos por LA PREVISORA S.A.</t>
  </si>
  <si>
    <t>OTROSÍ N°1 Adicional del 15/10/2025</t>
  </si>
  <si>
    <t>5284
5987
6387</t>
  </si>
  <si>
    <t>137-2022</t>
  </si>
  <si>
    <t xml:space="preserve">Implementar la herramienta actuarial y contable PROPHET, para cumplir con los requerimientos normativos de la NIIF 17. </t>
  </si>
  <si>
    <t>FIS CAPITAL MARKETS US LLC</t>
  </si>
  <si>
    <t>OTROSÍ N° 1 Prórroga del 21/12/2023.
OTROSÍ N°2 del 30/04/2024 se establece prórroga automática por periodos de 3 meses (30/04/2024).
Con la prorroga automática, se ampía la fecha de terminación del contrato por 3 meses, hasta que el proveedor finalice la implementación.</t>
  </si>
  <si>
    <t>https://www.secop.gov.co/CO1BusinessLine/Tendering/ProcedureEdit/View?DocUniqueIdentifier=CO1.REQ.3971088&amp;PrevCtxLbl=Work+Area&amp;PrevCtxUrl=https%3a%2f%2fwww.secop.gov.co%2fCO1BusinessLine%2fTendering%2fBuyerWorkArea%2fIndex%3fDocUniqueIdentifier%3dCO1.BDOS.3875640&amp;Messages=Modificaci%C3%B3n%20aplicada%20%20|Success</t>
  </si>
  <si>
    <t>141-2022</t>
  </si>
  <si>
    <t>Constitución de Patrimonio Autónomo integrado por los recursos recibidos de los garantizados aportantes como requisito para la expedición de pólizas por el Fideicomitente ( Previsora Seguros) , con el fin de facilitar el derecho de subrogación que le otorga la ley</t>
  </si>
  <si>
    <t>860525148-5</t>
  </si>
  <si>
    <t>FIDUCIARIA LA PREVISORA S.A.</t>
  </si>
  <si>
    <t>5552
6806</t>
  </si>
  <si>
    <t>145-2022</t>
  </si>
  <si>
    <t>Prestar los servicios para la realización de estudios de seguridad a cada uno de los candidatos seleccionados para cubrir las vacantes de LA PREVISORA S.A., a través de la verificación de antecedentes penales y judiciales ante organismos del Estado, verificación de referencias laborales, académicas y personales, visita domiciliaria, entre otras, en cumplimiento de las especificaciones definidas en el Manual de Vinculación.</t>
  </si>
  <si>
    <t>830076042-7</t>
  </si>
  <si>
    <t>SOLUCIONES EN INGREGRIDAD Y CUMPLIMIENTO LTDA.</t>
  </si>
  <si>
    <t>Prórroga y Adicional del 27/12/2024.</t>
  </si>
  <si>
    <t>159-2022</t>
  </si>
  <si>
    <t>Prestar el servicio de Software que permita la automatización digital bajo la modalidad de SaaS (Software as a Service) para la gestión integral del proceso de diligenciamiento del formulario de conocimiento del cliente para personas naturales y jurídicas cumpliendo los establecidos por la SFC.</t>
  </si>
  <si>
    <t>https://www.secop.gov.co/CO1BusinessLine/Tendering/ProcedureEdit/View?docUniqueIdentifier=CO1.REQ.4741760&amp;prevCtxUrl=https%3a%2f%2fwww.secop.gov.co%2fCO1BusinessLine%2fTendering%2fBuyerDossierWorkspace%2fIndex%3freference%3d159-2022%26createDateFrom%3d01%2f08%2f2021+07%3a46%3a00%26createDateTo%3d01%2f02%2f2024+19%3a46%3a00%26filteringState%3d0%26sortingState%3dLastModifiedDESC%26showAdvancedSearch%3dTrue%26showAdvancedSearchFields%3dFalse%26advSrchFolderCode%3dALL%26selectedDossier%3dCO1.BDOS.4410426%26selectedRequest%3dCO1.REQ.4741760%26&amp;prevCtxLbl=Procesos+de+la+Entidad+Estatal</t>
  </si>
  <si>
    <t>147-2022</t>
  </si>
  <si>
    <t>Renovar el licenciamiento y prestar el servicio de soporte y mantenimiento de la herramienta de gestión de identidades denomina Oracle Identity Governance (OIG).</t>
  </si>
  <si>
    <t>800103052-8</t>
  </si>
  <si>
    <t>ORACLE COLOMBIA LIMITADA</t>
  </si>
  <si>
    <t>Contrato de Adhesión no se liquida.</t>
  </si>
  <si>
    <t>https://www.secop.gov.co/CO1BusinessLine/Tendering/ProcedureEdit/View?docUniqueIdentifier=CO1.REQ.4248935&amp;prevCtxUrl=https%3a%2f%2fwww.secop.gov.co%2fCO1BusinessLine%2fTendering%2fBuyerDossierWorkspace%2fIndex%3freference%3d147-2022%26createDateFrom%3d27%2f01%2f2023+18%3a58%3a00%26createDateTo%3d27%2f07%2f2023+18%3a58%3a00%26filteringState%3d0%26sortingState%3dLastModifiedDESC%26showAdvancedSearch%3dTrue%26showAdvancedSearchFields%3dTrue%26advSrchFolderCode%3dALL%26selectedDossier%3dCO1.BDOS.4151761%26selectedRequest%3dCO1.REQ.4248935%26&amp;prevCtxLbl=Procesos+de+la+Entidad+Estatal</t>
  </si>
  <si>
    <t xml:space="preserve">Subgerencia Desarrollo De Talento Humano </t>
  </si>
  <si>
    <t>5582 - 6076</t>
  </si>
  <si>
    <t>Prestar servicios en formación y capacitación para el desarrollo de habilidades en tecnologías de la información, ofimática y analítica de datos, por medio de plataformas de ambientes colaborativos usando las diferentes aplicaciones de la suite de Microsoft Office 365 y herramientas para la analítica de datos; así como el suministro de la plataforma para la aplicación de evaluaciones técnicas en Microsoft Excel durante las fases de los procesos de selección.</t>
  </si>
  <si>
    <t xml:space="preserve">EDUCO - EDUCACION Y CONSULTORIA SAS </t>
  </si>
  <si>
    <t>https://www.secop.gov.co/CO1BusinessLine/Tendering/ProcedureEdit/View?docUniqueIdentifier=CO1.REQ.4209297&amp;prevCtxUrl=https%3a%2f%2fwww.secop.gov.co%2fCO1BusinessLine%2fTendering%2fBuyerDossierWorkspace%2fIndex%3freference%3d004-2023%26createDateFrom%3d01%2f01%2f2022+15%3a07%3a00%26createDateTo%3d17%2f05%2f2023+15%3a07%3a00%26filteringState%3d1%26sortingState%3dLastModifiedDESC%26showAdvancedSearch%3dTrue%26showAdvancedSearchFields%3dFalse%26advSrchFolderCode%3dALL%26selectedDossier%3dCO1.BDOS.4113208%26selectedRequest%3dCO1.REQ.4209297%26&amp;prevCtxLbl=Procesos+de+la+Entidad+Estatal</t>
  </si>
  <si>
    <t>Prestar sus servicios en Colombia en calidad de operador de la información de acuerdo a la Ley 1266 de 2008 y norma que a futuro la modifique o complemente de consulta en línea y en batch de datos personales información comercial de personas naturales y/o jurídicas que se encuentren en procesos de vinculación y/o vinculadas comercialmente con LA PREVISORA S.A. así como la generación de procesos que permitan gestionar el riesgo al que se pueda ver expuesta LA PREVISORA S.A. en el desarrollo de sus relaciones comerciales con clientes e intermediarios.</t>
  </si>
  <si>
    <t>EXPERIAN COLOMBIA S.A.</t>
  </si>
  <si>
    <t>Gerencia de Cartera:
Gerencia técnica de Seguros PyV:
Oficina de Cumplimiento y LF:100%
Gerencia de Servicio: 100%
Gerencia de Desarrollo Comercial:
Subgerencia de Recobros y Salvamentos</t>
  </si>
  <si>
    <t>Gerencia de Cartera:
Gerencia técnica de Seguros PyV:
Oficina de Cumplimiento y LF:54.85%
Gerencia de Servicio: 17%
Gerencia de Desarrollo Comercial:
Subgerencia de Recobros y Salvamentos</t>
  </si>
  <si>
    <t>Gerencia de Cartera:
Gerencia técnica de Seguros PyV:
Oficina de Cumplimiento y LF:$239.235.423
Gerencia de Servicio: $64,379,087.00
Gerencia de Desarrollo Comercial:
Subgerencia de Recobros y Salvamentos</t>
  </si>
  <si>
    <t>https://www.secop.gov.co/CO1BusinessLine/Tendering/ProcedureEdit/Amendment?ProfileName=CCE-11-Procedimiento_Publicidad&amp;PPI=CO1.PPI.23658873&amp;DocUniqueName=Aditamento&amp;DocTypeName=NextWay.Entities.Marketplace.Tendering.RequestAmendment&amp;ProfileVersion=10&amp;DocUniqueIdentifier=CO1.AMD.3225743&amp;prevCtxUrl=https%3a%2f%2fwww.secop.gov.co%3a443%2fCO1BusinessLine%2fTendering%2fProcedureEdit%2fAmendment%3fDocUniqueIdentifier%3dCO1.AMD.3225743&amp;prevCtxLbl=Proceso</t>
  </si>
  <si>
    <t>5364
6845
7479</t>
  </si>
  <si>
    <t>Prestación del servicio de inspección (vehículos livianos pesados motos y bicicletas) marcación vehicular (segmento livianos) y revisión técnico-mecánica de acuerdo con los términos y condiciones establecidas por LA PREVISORA S.A.</t>
  </si>
  <si>
    <t>901664317-7</t>
  </si>
  <si>
    <t>AUTOMAS UNION TEMPORAL PRE021-2022</t>
  </si>
  <si>
    <t>OTROSÍ N°1 prórroga 30/01/2025
OTROSÍ N°2 adicional del 14/11/2025</t>
  </si>
  <si>
    <t>https://www.secop.gov.co/CO1BusinessLine/Tendering/BuyerWorkArea/Index?docUniqueIdentifier=CO1.BDOS.4258603&amp;prevCtxUrl=https%3a%2f%2fwww.secop.gov.co%2fCO1BusinessLine%2fTendering%2fBuyerDossierWorkspace%2fIndex%3freference%3d008-2023%26createDateFrom%3d07%2f01%2f2023+10%3a50%3a00%26createDateTo%3d07%2f11%2f2023+22%3a50%3a00%26filteringState%3d0%26sortingState%3dLastModifiedDESC%26showAdvancedSearch%3dTrue%26showAdvancedSearchFields%3dFalse%26advSrchFolderCode%3dALL%26selectedDossier%3dCO1.BDOS.4258603%26selectedRequest%3dCO1.REQ.5062042%26&amp;prevCtxLbl=Procesos+de+la+Entidad+Estatal</t>
  </si>
  <si>
    <t>Subgerencia De Infraestructura Y Servicios De TI</t>
  </si>
  <si>
    <t>EL PROVEEDOR se compromete con LA PREVISORA S.A. a realizar el suministro y actualización sobre el licenciamiento del software Adobe Creative Cloud y el licenciamiento de Adobe Acrobat Pro.</t>
  </si>
  <si>
    <t>830014795-9</t>
  </si>
  <si>
    <t>DISCOVERY ENTERPRISE BUSINESS S.A.S EN REORGANIZACION</t>
  </si>
  <si>
    <t>Prórroga y adicional del 10/12/2024.</t>
  </si>
  <si>
    <t>https://www.secop.gov.co/CO1BusinessLine/Tendering/ProcedureEdit/View?docUniqueIdentifier=CO1.REQ.4236778&amp;prevCtxUrl=https%3a%2f%2fwww.secop.gov.co%2fCO1BusinessLine%2fTendering%2fBuyerDossierWorkspace%2fIndex%3freference%3d010-2023%26createDateFrom%3d17%2f01%2f2022+15%3a22%3a00%26createDateTo%3d17%2f05%2f2023+15%3a22%3a00%26filteringState%3d0%26sortingState%3dLastModifiedDESC%26showAdvancedSearch%3dTrue%26showAdvancedSearchFields%3dFalse%26advSrchFolderCode%3dALL%26selectedDossier%3dCO1.BDOS.4139831%26selectedRequest%3dCO1.REQ.4236778%26&amp;prevCtxLbl=Procesos+de+la+Entidad+Estatal</t>
  </si>
  <si>
    <t>Prestar el servicio de administración del proceso de emisión de pagarés desmaterializados, así como su custodia y registro de los títulos bajo el sistema de anotación en cuenta, de conformidad con lo regulado en las leyes 27 de 1990, 527 de 1999, 964 de 2005, el decreto 2555 de 2010, el Reglamente de Operaciones de Deceval y demás normas que se ocupen o se llegaren a ocupar del tema.</t>
  </si>
  <si>
    <t>800182091-2</t>
  </si>
  <si>
    <t>DEPÓSITO CENTRALIZADO DE VALORES DE COLOMBIA, DECEVAL S.A.</t>
  </si>
  <si>
    <t>https://www.secop.gov.co/CO1BusinessLine/Tendering/ProcedureEdit/View?ProfileName=CCE-11-Procedimiento_Publicidad&amp;PPI=CO1.PPI.26286079&amp;DocUniqueName=Consulta&amp;DocTypeName=NextWay.Entities.Marketplace.Tendering.ProcedureRequest&amp;ProfileVersion=11&amp;DocUniqueIdentifier=CO1.REQ.4853846&amp;prevCtxUrl=https%3a%2f%2fwww.secop.gov.co%2fCO1BusinessLine%2fTendering%2fBuyerWorkArea%2fIndex%3fDocUniqueIdentifier%3dCO1.BDOS.4747151&amp;prevCtxLbl=&amp;Messages=Publicado%20|Success</t>
  </si>
  <si>
    <t>Prestar servicios de desarrollo (evolutivo y proyectos), soporte y mantenimiento de productos de software (bajo un modelo operativo tipo fábrica de software) y al SISTEMA, así como los servicios de Outsourcing que permita facilitar y optimizar la gestión de LA PREVISORA S.A.</t>
  </si>
  <si>
    <t>830047891-1</t>
  </si>
  <si>
    <t xml:space="preserve">SISTRAN DE COLOMBIA S.A. </t>
  </si>
  <si>
    <t>https://www.secop.gov.co/CO1BusinessLine/Tendering/ProcedureEdit/View?docUniqueIdentifier=CO1.REQ.4686815&amp;prevCtxUrl=https%3a%2f%2fwww.secop.gov.co%2fCO1BusinessLine%2fTendering%2fBuyerDossierWorkspace%2fIndex%3freference%3d023-2023%26createDateFrom%3d19%2f01%2f2023+16%3a49%3a00%26createDateTo%3d19%2f07%2f2023+16%3a49%3a00%26filteringState%3d0%26sortingState%3dLastModifiedDESC%26showAdvancedSearch%3dTrue%26showAdvancedSearchFields%3dTrue%26advSrchFolderCode%3dALL%26selectedDossier%3dCO1.BDOS.4582812%26selectedRequest%3dCO1.REQ.4686815%26&amp;prevCtxLbl=Procesos+de+la+Entidad+Estatal</t>
  </si>
  <si>
    <t>5588 - 6075</t>
  </si>
  <si>
    <t>Inscribir a los funcionarios que designe la Compañía en los  diferentes  cursos,  congresos,  foros  y  seminarios  que  realiza la ASOCIACIÓN BANCARIA Y DE ENTIDADES FINANCIERAS DE COLOMBIA –ASOBANCARIA</t>
  </si>
  <si>
    <t xml:space="preserve">ASOCIACIÓN BANCARIA Y DE ENTIDADES FINANCIERAS DE COLOMBIA –ASOBANCARIA </t>
  </si>
  <si>
    <t>https://www.secop.gov.co/CO1BusinessLine/Tendering/ProcedureEdit/View?docUniqueIdentifier=CO1.REQ.4358032&amp;prevCtxUrl=https%3a%2f%2fwww.secop.gov.co%2fCO1BusinessLine%2fTendering%2fBuyerDossierWorkspace%2fIndex%3freference%3d026-2023%26createDateFrom%3d01%2f01%2f2022+15%3a47%3a00%26createDateTo%3d17%2f05%2f2023+15%3a47%3a00%26filteringState%3d0%26sortingState%3dLastModifiedDESC%26showAdvancedSearch%3dTrue%26showAdvancedSearchFields%3dTrue%26advSrchFolderCode%3dALL%26selectedDossier%3dCO1.BDOS.4258652%26selectedRequest%3dCO1.REQ.4358032%26&amp;prevCtxLbl=Procesos+de+la+Entidad+Estatal</t>
  </si>
  <si>
    <t>033-2023</t>
  </si>
  <si>
    <t>EL PROVEEDOR, se compromete con LA PREVISORA S.A., a realizar mantenimiento preventivo y correctivo al sistema de alarma y detección de incendios de las sedes de Casa Matriz, Sucursal Estatal, Vicepresidencia de Indemnizaciones o, Bodega, Almacén y demás áreas que se requiera.</t>
  </si>
  <si>
    <t>https://www.secop.gov.co/CO1BusinessLine/Tendering/ProcedureEdit/View?docUniqueIdentifier=CO1.REQ.4303083&amp;prevCtxUrl=https%3a%2f%2fwww.secop.gov.co%2fCO1BusinessLine%2fTendering%2fBuyerDossierWorkspace%2fIndex%3freference%3d033-2023%26createDateFrom%3d01%2f01%2f2022+16%3a10%3a00%26createDateTo%3d17%2f05%2f2023+16%3a10%3a00%26filteringState%3d0%26sortingState%3dLastModifiedDESC%26showAdvancedSearch%3dTrue%26showAdvancedSearchFields%3dFalse%26advSrchFolderCode%3dALL%26selectedDossier%3dCO1.BDOS.4204885%26selectedRequest%3dCO1.REQ.4303083%26&amp;prevCtxLbl=Procesos+de+la+Entidad+Estatal</t>
  </si>
  <si>
    <t>5566
6834</t>
  </si>
  <si>
    <t>034-2023</t>
  </si>
  <si>
    <t xml:space="preserve">Suministro de bonos y/o tarjetas electrónicas redimibles en una amplia red de establecimientos comerciales y con un rango amplio de posibilidades de elección a nivel nacional. </t>
  </si>
  <si>
    <t>800219876-9</t>
  </si>
  <si>
    <t>SODEXO SERVICIOS DE BENEFICIOS E INCENTIVOS COLOMBIA S.A.S</t>
  </si>
  <si>
    <t>OTROSÍ N°1 Prórroga y adición del 13/01/2025 ($ 1,524,171,276.)</t>
  </si>
  <si>
    <t>https://www.secop.gov.co/CO1BusinessLine/Tendering/ProcedureEdit/View?ProfileName=CCE-11-Procedimiento_Publicidad&amp;PPI=CO1.PPI.26291825&amp;DocUniqueName=Consulta&amp;DocTypeName=NextWay.Entities.Marketplace.Tendering.ProcedureRequest&amp;ProfileVersion=11&amp;DocUniqueIdentifier=CO1.REQ.4855632&amp;prevCtxUrl=https%3a%2f%2fwww.secop.gov.co%2fCO1BusinessLine%2fTendering%2fBuyerWorkArea%2fIndex%3fDocUniqueIdentifier%3dCO1.BDOS.4748925&amp;prevCtxLbl=&amp;Messages=Publicado%20|Success</t>
  </si>
  <si>
    <t>5665
6946</t>
  </si>
  <si>
    <t>036-2023</t>
  </si>
  <si>
    <t>Prestar sus servicios profesionales especializados, en todos los temas laborales, derecho colectivo y de seguridad social integral de los que LA PREVISORA S.A. requiera asesoría legal</t>
  </si>
  <si>
    <t>VALDES ABOGADOS - ASLABOR LTDA</t>
  </si>
  <si>
    <t>OTROSÍ N°1 prórroga y adición del 07/03/2025 ($ 16.268.567.)</t>
  </si>
  <si>
    <t>https://www.secop.gov.co/CO1BusinessLine/Tendering/ProcedureEdit/View?docUniqueIdentifier=CO1.REQ.4305746&amp;prevCtxUrl=https%3a%2f%2fwww.secop.gov.co%2fCO1BusinessLine%2fTendering%2fBuyerDossierWorkspace%2fIndex%3freference%3d036-2023%26createDateFrom%3d17%2f11%2f2022+16%3a13%3a00%26createDateTo%3d17%2f05%2f2023+16%3a13%3a00%26filteringState%3d1%26sortingState%3dLastModifiedDESC%26showAdvancedSearch%3dTrue%26showAdvancedSearchFields%3dFalse%26advSrchFolderCode%3dALL%26selectedDossier%3dCO1.BDOS.4207735%26selectedRequest%3dCO1.REQ.4305746%26&amp;prevCtxLbl=Procesos+de+la+Entidad+Estatal</t>
  </si>
  <si>
    <t>038-2023</t>
  </si>
  <si>
    <t>EL PROVEEDOR se compromete con LA PREVISORA S.A a prestar los servicios de implementación y apoyo en la ejecución del Plan de Capacitación a los colaboradores a nivel nacional, cuyo objetivo es fortalecer las capacidades, habilidades, destrezas, conocimientos y competencias, dando lugar al mejoramiento continuo y prácticas innovadoras en los procesos en los cuales ellos intervengan.</t>
  </si>
  <si>
    <t>https://www.secop.gov.co/CO1BusinessLine/Tendering/ProcedureEdit/View?docUniqueIdentifier=CO1.REQ.4400437&amp;prevCtxUrl=https%3a%2f%2fwww.secop.gov.co%2fCO1BusinessLine%2fTendering%2fBuyerDossierWorkspace%2fIndex%3freference%3d038-2023%26createDateFrom%3d01%2f01%2f2022+16%3a15%3a00%26createDateTo%3d17%2f05%2f2023+16%3a15%3a00%26filteringState%3d0%26sortingState%3dLastModifiedDESC%26showAdvancedSearch%3dTrue%26showAdvancedSearchFields%3dTrue%26advSrchFolderCode%3dALL%26selectedDossier%3dCO1.BDOS.4300634%26selectedRequest%3dCO1.REQ.4400437%26&amp;prevCtxLbl=Procesos+de+la+Entidad+Estatal</t>
  </si>
  <si>
    <t>5508 / 7676
7719</t>
  </si>
  <si>
    <t>046-2023</t>
  </si>
  <si>
    <t>30 OTROS / OUTSOURCING BPO</t>
  </si>
  <si>
    <t>Contratar un proveedor que preste bajo la modalidad de outsourcing los servicios de BPO (Business Process Outsourcing) para la gestión integral de la documentación física y electrónica producida y recibida la administración del archivo de LA PREVISORA S.A COMPAÑÍA DE SEGUROS derivados de los procesos que se lleven a cabo debido a su objeto social la prestación del servicio de custodia organización y bodegaje de los archivos de gestión y central.</t>
  </si>
  <si>
    <t>901695387-5</t>
  </si>
  <si>
    <t>CONSORCIO DATAFILE PROCESOS Y SERVICIOS</t>
  </si>
  <si>
    <t xml:space="preserve">OTROSÍ N°1 Adición y Modif. Cláusulas del 05/12/2025
OTROSÍ N°2 Prórroga y Adición del 31/12/2025 </t>
  </si>
  <si>
    <t>https://www.secop.gov.co/CO1BusinessLine/Tendering/ProcedureEdit/View?docUniqueIdentifier=CO1.REQ.4686045&amp;prevCtxUrl=https%3a%2f%2fwww.secop.gov.co%2fCO1BusinessLine%2fTendering%2fBuyerDossierWorkspace%2fIndex%3freference%3d046-2023%26createDateFrom%3d26%2f01%2f2023+20%3a18%3a00%26createDateTo%3d26%2f07%2f2023+20%3a18%3a00%26filteringState%3d0%26sortingState%3dLastModifiedDESC%26showAdvancedSearch%3dTrue%26showAdvancedSearchFields%3dTrue%26advSrchFolderCode%3dALL%26selectedDossier%3dCO1.BDOS.4258295%26selectedRequest%3dCO1.REQ.4686045%26&amp;prevCtxLbl=Procesos+de+la+Entidad+Estatal</t>
  </si>
  <si>
    <t>5701
6982</t>
  </si>
  <si>
    <t>048-2023</t>
  </si>
  <si>
    <t>Prestar el servicio de mensajería especializada bajo la modalidad de outsourcing a nivel nacional, para el manejo, recepción, distribución y entrega de la correspondencia urbana y demás comunicaciones oficiales enviadas y recibidas.</t>
  </si>
  <si>
    <t>SERVICIOS POSTALES NACIONALES S.A.S -  472</t>
  </si>
  <si>
    <t>OTROSÍ N°1 del 07/03/2025 prórroga.</t>
  </si>
  <si>
    <t>https://www.secop.gov.co/CO1BusinessLine/Tendering/ProcedureEdit/View?ProfileName=CCE-11-Procedimiento_Publicidad&amp;PPI=CO1.PPI.26398462&amp;DocUniqueName=Consulta&amp;DocTypeName=NextWay.Entities.Marketplace.Tendering.ProcedureRequest&amp;ProfileVersion=11&amp;DocUniqueIdentifier=CO1.REQ.5315342&amp;prevCtxUrl=https%3a%2f%2fwww.secop.gov.co%2fCO1BusinessLine%2fTendering%2fBuyerWorkArea%2fIndex%3fDocUniqueIdentifier%3dCO1.BDOS.4769073&amp;prevCtxLbl=&amp;Messages=Publicado%20|Success</t>
  </si>
  <si>
    <t>050-2023</t>
  </si>
  <si>
    <t>Realizar la consultoría para la elaboración del estudio técnico de rediseño institucional de LA PREVISORA S.A. de acuerdo con los lineamientos definidos por el Departamento Administrativo de la Función Pública – DAFP, la Guía para el Rediseño Institucional de Entidades Públicas y el Decreto 1227 de 2005, así como brindar el acompañamiento a LA PREVISORA S.A. para su socialización y gestión ante las instancias internas y externas establecidas por ley para surtir este trámite.</t>
  </si>
  <si>
    <t>830037444-8</t>
  </si>
  <si>
    <t>FUNDACION DE ESTUDIOS PARA EL DESARROLLO DE LA PARTICIPACION Y LA INTEGRACION POLITICA Y SOCIAL EN COLOMBIA-CREAMOS COLOMBIA</t>
  </si>
  <si>
    <t>Prórroga y adicional del 17/04/2024 ($204.680.000.)
Prórroga del 12/09/2024</t>
  </si>
  <si>
    <t>https://www.secop.gov.co/CO1BusinessLine/Tendering/ProcedureEdit/View?docUniqueIdentifier=CO1.REQ.4662979&amp;prevCtxUrl=https%3a%2f%2fwww.secop.gov.co%2fCO1BusinessLine%2fTendering%2fBuyerDossierWorkspace%2fIndex%3freference%3d050-2023%26createDateFrom%3d26%2f01%2f2023+21%3a42%3a00%26createDateTo%3d26%2f07%2f2023+21%3a42%3a00%26filteringState%3d1%26sortingState%3dLastModifiedDESC%26showAdvancedSearch%3dTrue%26showAdvancedSearchFields%3dFalse%26advSrchFolderCode%3dALL%26selectedDossier%3dCO1.BDOS.4307356%26selectedRequest%3dCO1.REQ.4662979%26&amp;prevCtxLbl=Procesos+de+la+Entidad+Estatal</t>
  </si>
  <si>
    <t>054-2023</t>
  </si>
  <si>
    <t>Realizar el mantenimiento preventivo y correctivo de manera integral al sistema de control de acceso del edificio de casa matriz, oficinas de la vicepresidencia de indemnizaciones, sucursal estatal y parqueadero de la PREVISORA S.A, ubicados en la calle 57 No. 9-07, 8B – 05 y 8-69 de la ciudad de Bogotá D.C</t>
  </si>
  <si>
    <t>900152543-4</t>
  </si>
  <si>
    <t>CABLECON INGENIERIA DE REDES S.A.S</t>
  </si>
  <si>
    <t>https://www.secop.gov.co/CO1BusinessLine/Tendering/ProcedureEdit/View?docUniqueIdentifier=CO1.REQ.4400924&amp;prevCtxUrl=https%3a%2f%2fwww.secop.gov.co%2fCO1BusinessLine%2fTendering%2fBuyerDossierWorkspace%2fIndex%3freference%3d054-2023%26createDateFrom%3d01%2f01%2f2022+16%3a46%3a00%26createDateTo%3d17%2f05%2f2023+16%3a46%3a00%26filteringState%3d0%26sortingState%3dLastModifiedDESC%26showAdvancedSearch%3dTrue%26showAdvancedSearchFields%3dTrue%26advSrchFolderCode%3dALL%26selectedDossier%3dCO1.BDOS.4300816%26selectedRequest%3dCO1.REQ.4400924%26&amp;prevCtxLbl=Procesos+de+la+Entidad+Estatal</t>
  </si>
  <si>
    <t>064-2023</t>
  </si>
  <si>
    <t>Servicios especializados para la implementación de una solución que permita la administración identificación detección protección y respuesta frente a posibles brechas de seguridad a nivel de fuga de información como lo es la solución de DLP (en inglés Data Loss Prevention).</t>
  </si>
  <si>
    <t>https://www.secop.gov.co/CO1BusinessLine/Tendering/ProcedureEdit/View?ProfileName=CCE-11-Procedimiento_Publicidad&amp;PPI=CO1.PPI.25592232&amp;DocUniqueName=Consulta&amp;DocTypeName=NextWay.Entities.Marketplace.Tendering.ProcedureRequest&amp;ProfileVersion=11&amp;DocUniqueIdentifier=CO1.REQ.4675354&amp;prevCtxUrl=https%3a%2f%2fwww.secop.gov.co%2fCO1BusinessLine%2fTendering%2fBuyerWorkArea%2fIndex%3fDocUniqueIdentifier%3dCO1.BDOS.4570700&amp;prevCtxLbl=&amp;Messages=Publicado%20|Success</t>
  </si>
  <si>
    <t>065-2023</t>
  </si>
  <si>
    <t>El proveedor se compromete a prestar los servicios de mantenimiento y soporte de la plataforma de planeación financiera DATACIPRES.</t>
  </si>
  <si>
    <t>DIGIDATA DE COLOMBIA LIMITADA</t>
  </si>
  <si>
    <t>https://www.secop.gov.co/CO1BusinessLine/Tendering/ProcedureEdit/View?docUniqueIdentifier=CO1.REQ.4663571&amp;prevCtxUrl=https%3a%2f%2fwww.secop.gov.co%2fCO1BusinessLine%2fTendering%2fBuyerDossierWorkspace%2fIndex%3freference%3d065-2023%26createDateFrom%3d27%2f01%2f2023+14%3a23%3a00%26createDateTo%3d27%2f07%2f2023+14%3a23%3a00%26filteringState%3d0%26sortingState%3dLastModifiedDESC%26showAdvancedSearch%3dTrue%26showAdvancedSearchFields%3dFalse%26advSrchFolderCode%3dALL%26selectedDossier%3dCO1.BDOS.4559984%26selectedRequest%3dCO1.REQ.4663571%26&amp;prevCtxLbl=Procesos+de+la+Entidad+Estatal</t>
  </si>
  <si>
    <t>070-2023</t>
  </si>
  <si>
    <t>Realizar los trámites de saneamiento de los vehículos ante las entidades de tránsito en nombre de la Compañía.</t>
  </si>
  <si>
    <t>901212388-0</t>
  </si>
  <si>
    <t>ASISTE MAS S.A.S.</t>
  </si>
  <si>
    <t>https://www.secop.gov.co/CO1BusinessLine/Tendering/BuyerWorkArea/Index?docUniqueIdentifier=CO1.BDOS.4566615&amp;prevCtxUrl=https%3a%2f%2fwww.secop.gov.co%2fCO1BusinessLine%2fTendering%2fBuyerDossierWorkspace%2fIndex%3freference%3d070-2023%26createDateFrom%3d04%2f03%2f2023+20%3a21%3a00%26createDateTo%3d04%2f09%2f2023+20%3a21%3a00%26filteringState%3d0%26sortingState%3dLastModifiedDESC%26showAdvancedSearch%3dTrue%26showAdvancedSearchFields%3dFalse%26advSrchFolderCode%3dALL%26selectedDossier%3dCO1.BDOS.4566615%26selectedRequest%3dCO1.REQ.4670079%26&amp;prevCtxLbl=Procesos+de+la+Entidad+Estatal</t>
  </si>
  <si>
    <t>073-2023</t>
  </si>
  <si>
    <t>Proveer el servicio de software informativo financiero sobre noticias y datos macroeconómicos locales e internacionales que integra bases de datos, noticias, gráficos, calculadoras, e-mail, chat, información multimedia y herramientas de negociación electrónica.</t>
  </si>
  <si>
    <t>https://www.secop.gov.co/CO1BusinessLine/Tendering/BuyerWorkArea/Index?docUniqueIdentifier=CO1.BDOS.5137796&amp;prevCtxUrl=https%3a%2f%2fwww.secop.gov.co%2fCO1BusinessLine%2fTendering%2fBuyerDossierWorkspace%2fIndex%3freference%3d073-2023%26createDateFrom%3d08%2f05%2f2023+22%3a50%3a00%26createDateTo%3d08%2f11%2f2023+22%3a50%3a00%26filteringState%3d0%26sortingState%3dLastModifiedDESC%26showAdvancedSearch%3dTrue%26showAdvancedSearchFields%3dFalse%26advSrchFolderCode%3dALL%26selectedDossier%3dCO1.BDOS.5137796%26selectedRequest%3dCO1.REQ.5252083%26&amp;prevCtxLbl=Procesos+de+la+Entidad+Estatal</t>
  </si>
  <si>
    <t>081-2023</t>
  </si>
  <si>
    <t xml:space="preserve">Prestar los servicios de ajuste a los siniestros de los ramos generales y patrimoniales, dentro del marco de las actividades relacionadas con la Vicepresidencia de Indemnizaciones. </t>
  </si>
  <si>
    <t>900114521-0</t>
  </si>
  <si>
    <t>ASESORIAS INTEGRALES EN SEGUROS AISEG LTDA.</t>
  </si>
  <si>
    <t>Contrato de cuantía indeterminada.  El valor que se reporta es el tomado para suscripción de la garantía. 
Avance Presupuestal: este contrato no requiere CDP, el pago del servicio de ajuste se realiza con cargo al rubro Gastos de siniestros. 
Contrato tiene cláusula de renovación automática por el mismo periodo de tiempo inicialmente pactado.</t>
  </si>
  <si>
    <t>https://www.secop.gov.co/CO1BusinessLine/Tendering/BuyerWorkArea/Index?docUniqueIdentifier=CO1.BDOS.5213431&amp;prevCtxUrl=https%3a%2f%2fwww.secop.gov.co%2fCO1BusinessLine%2fTendering%2fBuyerDossierWorkspace%2fIndex%3freference%3d081-2023%26createDateFrom%3d12%2f06%2f2023+20%3a16%3a00%26createDateTo%3d12%2f12%2f2023+20%3a16%3a00%26filteringState%3d0%26sortingState%3dLastModifiedDESC%26showAdvancedSearch%3dTrue%26showAdvancedSearchFields%3dFalse%26advSrchFolderCode%3dALL%26selectedDossier%3dCO1.BDOS.5213431%26selectedRequest%3dCO1.REQ.5329870%26&amp;prevCtxLbl=Procesos+de+la+Entidad+Estatal</t>
  </si>
  <si>
    <t>084-2023</t>
  </si>
  <si>
    <t>Prestar el servicio de saneamiento administrativo y jurídico para aquellos inmuebles que no estén actualizados en el Certificado de Tradición y Libertad de los inmuebles de LA PREVISORA S.A., a nivel nacional, descritos en el Anexo No. 1.</t>
  </si>
  <si>
    <t xml:space="preserve">FILFER SOCIEDAD DE INVERSIONES SAS </t>
  </si>
  <si>
    <t>Se actualiza prórroga y adicional del 08/07/2024</t>
  </si>
  <si>
    <t>https://community.secop.gov.co/Public/Tendering/ContractNoticePhases/View?PPI=CO1.PPI.28551002&amp;isFromPublicArea=True&amp;isModal=False</t>
  </si>
  <si>
    <t xml:space="preserve">Subgerencia de Planeación Comercial </t>
  </si>
  <si>
    <t>5731 - 6016</t>
  </si>
  <si>
    <t>092-2023</t>
  </si>
  <si>
    <t>EL PROVEEDOR, se obliga con LA PREVISORA S.A. a prestar el servicio de soporte y mantenimiento especializado de la herramienta SALESFORCE.COM incluido Analytics CRM y cualquier herramienta del paquete/Suite SALESFORCE que LA PREVISORA S.A. adquiera durante la vigencia de este contrato, así como la realización de mejoras de la plataforma.</t>
  </si>
  <si>
    <t>900218578-7</t>
  </si>
  <si>
    <t>SISTEMAS COLOMBIA S.A.S.</t>
  </si>
  <si>
    <t>https://www.secop.gov.co/CO1BusinessLine/Tendering/BuyerWorkArea/Index?docUniqueIdentifier=CO1.BDOS.4913239&amp;prevCtxUrl=https%3a%2f%2fwww.secop.gov.co%2fCO1BusinessLine%2fTendering%2fBuyerDossierWorkspace%2fIndex%3freference%3d092-2023%26createDateFrom%3d07%2f01%2f2023+10%3a56%3a00%26createDateTo%3d07%2f11%2f2023+22%3a56%3a00%26filteringState%3d0%26sortingState%3dLastModifiedDESC%26showAdvancedSearch%3dTrue%26showAdvancedSearchFields%3dFalse%26advSrchFolderCode%3dALL%26selectedDossier%3dCO1.BDOS.4913239%26selectedRequest%3dCO1.REQ.5022679%26&amp;prevCtxLbl=Procesos+de+la+Entidad+Estatal</t>
  </si>
  <si>
    <t>5669
7173</t>
  </si>
  <si>
    <t>095-2023</t>
  </si>
  <si>
    <t>Contratar los servicios de una fábrica de software de nivel cinco (5) de acuerdo con el Modelo de Madurez de Capacidad Integrado (CMMI), que garantice la integración con aplicaciones legadas y la construcción de nuevos productos y servicios de software con plataformas modernas, alineadas con las nuevas prácticas ágiles de la industria, que mantengan y fortalezcan el logro de la estrategia de transformación digital de La Previsora Compañía de Seguros S.A.</t>
  </si>
  <si>
    <t>800167494-4</t>
  </si>
  <si>
    <t xml:space="preserve">UNIÓN TEMPORAL ADA </t>
  </si>
  <si>
    <t>OTROSÍ N°1 Adicional</t>
  </si>
  <si>
    <t>https://www.secop.gov.co/CO1BusinessLine/Tendering/BuyerWorkArea/Index?docUniqueIdentifier=CO1.BDOS.5084509&amp;prevCtxUrl=https%3a%2f%2fwww.secop.gov.co%2fCO1BusinessLine%2fTendering%2fBuyerDossierWorkspace%2fIndex%3freference%3d095-2023%26createDateFrom%3d07%2f05%2f2023+22%3a58%3a00%26createDateTo%3d07%2f11%2f2023+22%3a58%3a00%26filteringState%3d0%26sortingState%3dLastModifiedDESC%26showAdvancedSearch%3dTrue%26showAdvancedSearchFields%3dFalse%26advSrchFolderCode%3dALL%26selectedDossier%3dCO1.BDOS.5084509%26selectedRequest%3dCO1.REQ.5229958%26&amp;prevCtxLbl=Procesos+de+la+Entidad+Estatal</t>
  </si>
  <si>
    <t>097-2023</t>
  </si>
  <si>
    <t>Prestación de Servicios a través de una persona jurídica especializada para apoyar la gestión de la Seguridad de la Información y la Ciberseguridad de la compañía.</t>
  </si>
  <si>
    <t>860046645-9</t>
  </si>
  <si>
    <t>PRICEWATERHOUSECOOPERS ASESORES GERENCIALES S.A.S.</t>
  </si>
  <si>
    <t>https://www.secop.gov.co/CO1BusinessLine/Tendering/ProcedureEdit/View?docUniqueIdentifier=CO1.REQ.5325588&amp;prevCtxUrl=https%3a%2f%2fwww.secop.gov.co%2fCO1BusinessLine%2fTendering%2fBuyerDossierWorkspace%2fIndex%3ffilteringState%3d0%26sortingState%3dLastModifiedDESC%26showAdvancedSearch%3dFalse%26showAdvancedSearchFields%3dFalse%26folderCode%3dALL%26selectedDossier%3dCO1.BDOS.5202434%26selectedRequest%3dCO1.REQ.5325588%26&amp;prevCtxLbl=Procesos+de+la+Entidad+Estatal</t>
  </si>
  <si>
    <t>098-2023</t>
  </si>
  <si>
    <t xml:space="preserve">EL PROVEEDOR  se compromete a prestar los servicios de migración del esquema de autenticación en la red de LA PREVISORA S.A. y al suministro e instalación de equipos Access Point para el servicio de wifi, garantizando la continuidad y operatividad en el acceso a la red.	</t>
  </si>
  <si>
    <t>https://www.secop.gov.co/CO1BusinessLine/Tendering/BuyerWorkArea/Index?docUniqueIdentifier=CO1.BDOS.5109844&amp;prevCtxUrl=https%3a%2f%2fwww.secop.gov.co%2fCO1BusinessLine%2fTendering%2fBuyerDossierWorkspace%2fIndex%3freference%3d098-2023%26createDateFrom%3d07%2f05%2f2023+22%3a57%3a00%26createDateTo%3d07%2f11%2f2023+22%3a57%3a00%26filteringState%3d0%26sortingState%3dLastModifiedDESC%26showAdvancedSearch%3dTrue%26showAdvancedSearchFields%3dFalse%26advSrchFolderCode%3dALL%26selectedDossier%3dCO1.BDOS.5109844%26selectedRequest%3dCO1.REQ.5224646%26&amp;prevCtxLbl=Procesos+de+la+Entidad+Estatal</t>
  </si>
  <si>
    <t>105-2023</t>
  </si>
  <si>
    <t>Prestar a nivel nacional el servicio de resguardo de repuestos, sobrantes y recolección de chatarra para el ramo de automóviles, así como servicio de resguardo, recolección de salvamentos de seguros generales y destrucción, disposición final de materiales no reutilizables para todos los ramos de LA PREVISORA S.A.</t>
  </si>
  <si>
    <t>901086699-5</t>
  </si>
  <si>
    <t>BODEGAS SALVAMENTOS Y GENERALES SAS - BSG SALVAMENTOS</t>
  </si>
  <si>
    <t>Contrato tiene cláusula de Renovación automática por el mismo periodo de tiempo inicialmente pactado o podrá ser inferior.</t>
  </si>
  <si>
    <t>https://www.secop.gov.co/CO1BusinessLine/Tendering/BuyerWorkArea/Index?docUniqueIdentifier=CO1.BDOS.5115505&amp;prevCtxUrl=https%3a%2f%2fwww.secop.gov.co%2fCO1BusinessLine%2fTendering%2fBuyerDossierWorkspace%2fIndex%3freference%3d105-2023%26createDateFrom%3d07%2f05%2f2023+23%3a04%3a00%26createDateTo%3d07%2f11%2f2023+23%3a04%3a00%26filteringState%3d0%26sortingState%3dLastModifiedDESC%26showAdvancedSearch%3dTrue%26showAdvancedSearchFields%3dFalse%26advSrchFolderCode%3dALL%26selectedDossier%3dCO1.BDOS.5115505%26selectedRequest%3dCO1.REQ.5229718%26&amp;prevCtxLbl=Procesos+de+la+Entidad+Estatal</t>
  </si>
  <si>
    <t>5807
7264</t>
  </si>
  <si>
    <t>109-2023</t>
  </si>
  <si>
    <t xml:space="preserve">EL PROVEEDOR se obliga con LA PREVISORA S.A. a: 1. Otorgar el uso de la herramienta tecnológica de su propiedad denominada "Auda Claims Gold" con el fin que la PREVISORA pueda utilizar la misma para realizar todo el proceso de gestión de la atención integrar a los siniestros derivados de las pólizas del ramo de automóviles que se expida. 2. A prestar los servicios de mesa de repuestos. 3 Brindar la asesoría técnica requerida para el manejo de la herramienta.  </t>
  </si>
  <si>
    <t>OTROSÍ N°1 Prórroga y Adicional</t>
  </si>
  <si>
    <t>https://www.secop.gov.co/CO1BusinessLine/Tendering/BuyerWorkArea/Index?docUniqueIdentifier=CO1.BDOS.5116515&amp;prevCtxUrl=https%3a%2f%2fwww.secop.gov.co%2fCO1BusinessLine%2fTendering%2fBuyerDossierWorkspace%2fIndex%3freference%3d109-2023%26createDateFrom%3d07%2f05%2f2023+23%3a12%3a00%26createDateTo%3d07%2f11%2f2023+23%3a12%3a00%26filteringState%3d0%26sortingState%3dLastModifiedDESC%26showAdvancedSearch%3dTrue%26showAdvancedSearchFields%3dFalse%26advSrchFolderCode%3dALL%26selectedDossier%3dCO1.BDOS.5116515%26selectedRequest%3dCO1.REQ.5230848%26&amp;prevCtxLbl=Procesos+de+la+Entidad+Estatal</t>
  </si>
  <si>
    <t>113-2023</t>
  </si>
  <si>
    <t>EL PROVEEDOR se compromete a suministrar el servicio transaccional para la comercialización, administración y recaudo del ramo SOAT en ambiente WEB para todos los canales habilitados, con la integración total al sistema “core” de LA PREVISORA S.A. de acuerdo con las especificaciones del mercado, cumpliendo con los parámetros exigidos por LA PREVISORA S.A. y los requerimientos establecidos en las normas que regulan el SOAT.</t>
  </si>
  <si>
    <t>https://www.secop.gov.co/CO1BusinessLine/Tendering/BuyerWorkArea/Index?docUniqueIdentifier=CO1.BDOS.5115894&amp;prevCtxUrl=https%3a%2f%2fwww.secop.gov.co%2fCO1BusinessLine%2fTendering%2fBuyerDossierWorkspace%2fIndex%3freference%3d112-2023%26createDateFrom%3d07%2f05%2f2023+23%3a13%3a00%26createDateTo%3d07%2f11%2f2023+23%3a13%3a00%26filteringState%3d0%26sortingState%3dLastModifiedDESC%26showAdvancedSearch%3dTrue%26showAdvancedSearchFields%3dFalse%26advSrchFolderCode%3dALL%26selectedDossier%3dCO1.BDOS.5115894%26selectedRequest%3dCO1.REQ.5230326%26&amp;prevCtxLbl=Procesos+de+la+Entidad+Estatal</t>
  </si>
  <si>
    <t>116-2023</t>
  </si>
  <si>
    <t>EL PROVEEDOR se obliga con LA PREVISORA S.A. a prestar el servicio de soporte, integración y mantenimiento de los micrositios y aplicativos integrados en el portal web www.previsora.gov.co, portal de proveedores, formulario de Autos, Formulario IPS y el Portal externo de Bancamía, incluyendo los mantenimientos evolutivos que se acuerden entre las partes.</t>
  </si>
  <si>
    <t>https://www.secop.gov.co/CO1BusinessLine/Tendering/BuyerWorkArea/Index?docUniqueIdentifier=CO1.BDOS.4914344&amp;prevCtxUrl=https%3a%2f%2fwww.secop.gov.co%2fCO1BusinessLine%2fTendering%2fBuyerDossierWorkspace%2fIndex%3freference%3d116-2023%26createDateFrom%3d07%2f05%2f2023+23%3a09%3a00%26createDateTo%3d07%2f11%2f2023+23%3a09%3a00%26filteringState%3d0%26sortingState%3dLastModifiedDESC%26showAdvancedSearch%3dTrue%26showAdvancedSearchFields%3dFalse%26advSrchFolderCode%3dALL%26selectedDossier%3dCO1.BDOS.4914344%26selectedRequest%3dCO1.REQ.5024405%26&amp;prevCtxLbl=Procesos+de+la+Entidad+Estatal</t>
  </si>
  <si>
    <t>121-2023</t>
  </si>
  <si>
    <t>EL PROVEEDOR se compromete con LA PREVISORA S.A., prestar el servicio de Defensoría del Consumidor Financiero principal y suplente.</t>
  </si>
  <si>
    <t>CONSULTORIAS EN INNOVACIÓN FINANCIERA S.A.S.</t>
  </si>
  <si>
    <t>https://www.secop.gov.co/CO1BusinessLine/Tendering/BuyerWorkArea/Index?docUniqueIdentifier=CO1.BDOS.4913752&amp;prevCtxUrl=https%3a%2f%2fwww.secop.gov.co%2fCO1BusinessLine%2fTendering%2fBuyerDossierWorkspace%2fIndex%3freference%3d121-2023%26createDateFrom%3d07%2f05%2f2023+23%3a16%3a00%26createDateTo%3d07%2f11%2f2023+23%3a16%3a00%26filteringState%3d0%26sortingState%3dLastModifiedDESC%26showAdvancedSearch%3dTrue%26showAdvancedSearchFields%3dFalse%26advSrchFolderCode%3dALL%26selectedDossier%3dCO1.BDOS.4913752%26selectedRequest%3dCO1.REQ.5023260%26&amp;prevCtxLbl=Procesos+de+la+Entidad+Estatal</t>
  </si>
  <si>
    <t>126-2023</t>
  </si>
  <si>
    <t>EL PROVEEDOR se compromete con LA PREVISORA S.A a prestar el servicio y puesta a punto de un sistema de grabación en el esquema de canales SIP para grabación de contingencia.</t>
  </si>
  <si>
    <t>830045792-1</t>
  </si>
  <si>
    <t>CALL PROCESSING TECHNOLOGIES S.A.</t>
  </si>
  <si>
    <t>https://www.secop.gov.co/CO1BusinessLine/Tendering/BuyerWorkArea/Index?docUniqueIdentifier=CO1.BDOS.5116529&amp;prevCtxUrl=https%3a%2f%2fwww.secop.gov.co%2fCO1BusinessLine%2fTendering%2fBuyerDossierWorkspace%2fIndex%3freference%3d126-2023%26createDateFrom%3d07%2f05%2f2023+23%3a18%3a00%26createDateTo%3d07%2f11%2f2023+23%3a18%3a00%26filteringState%3d0%26sortingState%3dLastModifiedDESC%26showAdvancedSearch%3dTrue%26showAdvancedSearchFields%3dFalse%26advSrchFolderCode%3dALL%26selectedDossier%3dCO1.BDOS.5116529%26selectedRequest%3dCO1.REQ.5231108%26&amp;prevCtxLbl=Procesos+de+la+Entidad+Estatal</t>
  </si>
  <si>
    <t>127-2023</t>
  </si>
  <si>
    <t xml:space="preserve">EL PROVEEDOR se compromete con LA PREVISORA S.A a prestar los servicios de ajuste a los siniestros de los ramos generales y patrimoniales, dentro del marco de las actividades relacionadas con la Vicepresidencia de Indemnizaciones. </t>
  </si>
  <si>
    <t>900133128-1</t>
  </si>
  <si>
    <t>CASTIBLANCO &amp; ASOCIADOS AJUSTADORES DE SEGUROS SAS.</t>
  </si>
  <si>
    <t>Contrato de cuantía indeterminada.  El valor que se reporta es el tomado para suscripción de la garantía. 
Avance Presupuestal: este contrato no requiere CDP, el pago del servicio de ajuste se realiza con cargo al rubro Gastos de siniestros. 
Contrato tiene cláusula de renovación automática por el mismo periodo de tiempo inicialmente pactado de un (1) año.</t>
  </si>
  <si>
    <t>https://www.secop.gov.co/CO1BusinessLine/Tendering/BuyerWorkArea/Index?docUniqueIdentifier=CO1.BDOS.5120464&amp;prevCtxUrl=https%3a%2f%2fwww.secop.gov.co%2fCO1BusinessLine%2fTendering%2fBuyerDossierWorkspace%2fIndex%3freference%3d127-2023%26createDateFrom%3d09%2f05%2f2023+14%3a43%3a00%26createDateTo%3d09%2f11%2f2023+14%3a43%3a00%26filteringState%3d0%26sortingState%3dLastModifiedDESC%26showAdvancedSearch%3dTrue%26showAdvancedSearchFields%3dFalse%26advSrchFolderCode%3dALL%26selectedDossier%3dCO1.BDOS.5120464%26selectedRequest%3dCO1.REQ.5235312%26&amp;prevCtxLbl=Procesos+de+la+Entidad+Estatal</t>
  </si>
  <si>
    <t>129-2023</t>
  </si>
  <si>
    <t>830512240-1</t>
  </si>
  <si>
    <t>HHGUERRERO Y COMPAÑIA LTDA ANALISTAS DE RIESGOS</t>
  </si>
  <si>
    <t>https://www.secop.gov.co/CO1BusinessLine/Tendering/BuyerWorkArea/Index?docUniqueIdentifier=CO1.BDOS.5116739&amp;prevCtxUrl=https%3a%2f%2fwww.secop.gov.co%2fCO1BusinessLine%2fTendering%2fBuyerDossierWorkspace%2fIndex%3freference%3d129-2023%26createDateFrom%3d09%2f05%2f2023+14%3a39%3a00%26createDateTo%3d09%2f11%2f2023+14%3a39%3a00%26filteringState%3d0%26sortingState%3dLastModifiedDESC%26showAdvancedSearch%3dTrue%26showAdvancedSearchFields%3dFalse%26advSrchFolderCode%3dALL%26selectedDossier%3dCO1.BDOS.5116739%26selectedRequest%3dCO1.REQ.5231107%26&amp;prevCtxLbl=Procesos+de+la+Entidad+Estatal</t>
  </si>
  <si>
    <t>130-2023</t>
  </si>
  <si>
    <t>EL PROVEEDOR se compromete con LA PREVISORA S.A. a suministrar el derecho a uso que permita el uso de la herramienta Agility para el correcto funcionamiento y ejecución de los asistentes robóticos desarrollados e implementados en el servidor suministrado por LA PREVISORA S.A., así como también el servicio especializado de acompañamiento, soporte y mantenimiento a través de Bolsa de Horas Cross, para atender los ajustes requeridos a dichos asistentes.</t>
  </si>
  <si>
    <t>900332892-2</t>
  </si>
  <si>
    <t>ENTERDEV  S.A.S</t>
  </si>
  <si>
    <t>https://www.secop.gov.co/CO1BusinessLine/Tendering/BuyerWorkArea/Index?docUniqueIdentifier=CO1.BDOS.5114673&amp;prevCtxUrl=https%3a%2f%2fwww.secop.gov.co%2fCO1BusinessLine%2fTendering%2fBuyerDossierWorkspace%2fIndex%3freference%3d130-2023%26createDateFrom%3d09%2f05%2f2023+14%3a45%3a00%26createDateTo%3d09%2f11%2f2023+14%3a45%3a00%26filteringState%3d0%26sortingState%3dLastModifiedDESC%26showAdvancedSearch%3dTrue%26showAdvancedSearchFields%3dFalse%26advSrchFolderCode%3dALL%26selectedDossier%3dCO1.BDOS.5114673%26selectedRequest%3dCO1.REQ.5229185%26&amp;prevCtxLbl=Procesos+de+la+Entidad+Estatal</t>
  </si>
  <si>
    <t>131-2023</t>
  </si>
  <si>
    <t>PROFESIONALES EN SERVICIOS PORTUARIOS PROSERPUERTOS S.A.S.</t>
  </si>
  <si>
    <t>https://www.secop.gov.co/CO1BusinessLine/Tendering/ProcedureEdit/View?docUniqueIdentifier=CO1.REQ.5621694&amp;prevCtxUrl=https%3a%2f%2fwww.secop.gov.co%2fCO1BusinessLine%2fTendering%2fBuyerDossierWorkspace%2fIndex%3freference%3d131-2023%26createDateFrom%3d29%2f07%2f2023+14%3a01%3a00%26createDateTo%3d29%2f01%2f2024+14%3a01%3a00%26filteringState%3d0%26sortingState%3dLastModifiedDESC%26showAdvancedSearch%3dTrue%26showAdvancedSearchFields%3dFalse%26advSrchFolderCode%3dALL%26selectedDossier%3dCO1.BDOS.5459782%26selectedRequest%3dCO1.REQ.5621694%26&amp;prevCtxLbl=Procesos+de+la+Entidad+Estatal</t>
  </si>
  <si>
    <t>132-2023</t>
  </si>
  <si>
    <t>830050499-6</t>
  </si>
  <si>
    <t>MCLARENS COLOMBIA LIMITADA.</t>
  </si>
  <si>
    <t>https://community.secop.gov.co/Public/Tendering/ContractNoticePhases/View?PPI=CO1.PPI.30592103&amp;isFromPublicArea=True&amp;isModal=False</t>
  </si>
  <si>
    <t>134-2023</t>
  </si>
  <si>
    <t>GENERAL CLAIMS AND RISK CONSULTING LTDA.</t>
  </si>
  <si>
    <t>https://www.secop.gov.co/CO1BusinessLine/Tendering/ProcedureEdit/View?docUniqueIdentifier=CO1.REQ.5956708&amp;prevCtxUrl=https%3a%2f%2fwww.secop.gov.co%2fCO1BusinessLine%2fTendering%2fBuyerDossierWorkspace%2fIndex%3fallWords2Search%3d134-2023%26createDateFrom%3d08%2f02%2f2023+10%3a11%3a00%26createDateTo%3d08%2f08%2f2025+22%3a11%3a00%26filteringState%3d0%26sortingState%3dLastModifiedDESC%26showAdvancedSearch%3dTrue%26showAdvancedSearchFields%3dFalse%26advSrchFolderCode%3dALL%26selectedDossier%3dCO1.BDOS.5839204%26selectedRequest%3dCO1.REQ.5956708%26&amp;prevCtxLbl=Procesos+de+la+Entidad+Estatal</t>
  </si>
  <si>
    <t>135-2023</t>
  </si>
  <si>
    <t>901372699-1</t>
  </si>
  <si>
    <t>INSULARI CONSULTORES S.A.S</t>
  </si>
  <si>
    <t>https://community.secop.gov.co/Public/Tendering/ContractNoticePhases/View?PPI=CO1.PPI.29010641&amp;isFromPublicArea=True&amp;isModal=False</t>
  </si>
  <si>
    <t>137-2023</t>
  </si>
  <si>
    <t>LOSSGROUP CRITERIA LCC SAS.</t>
  </si>
  <si>
    <t>https://www.secop.gov.co/CO1BusinessLine/Tendering/BuyerWorkArea/Index?docUniqueIdentifier=CO1.BDOS.5840249&amp;prevCtxUrl=https%3a%2f%2fwww.secop.gov.co%2fCO1BusinessLine%2fTendering%2fBuyerDossierWorkspace%2fIndex%3fallWords2Search%3d137-2023%26createDateFrom%3d27%2f09%2f2023+16%3a15%3a02%26createDateTo%3d27%2f03%2f2024+16%3a15%3a02%26filteringState%3d0%26sortingState%3dLastModifiedDESC%26showAdvancedSearch%3dFalse%26showAdvancedSearchFields%3dFalse%26folderCode%3dALL%26selectedDossier%3dCO1.BDOS.5840249%26selectedRequest%3dCO1.REQ.5957392%26&amp;prevCtxLbl=Procesos+de+la+Entidad+Estatal</t>
  </si>
  <si>
    <t>138-2023</t>
  </si>
  <si>
    <t>830120079-7</t>
  </si>
  <si>
    <t>D &amp; G ASESORES LTDA.</t>
  </si>
  <si>
    <t>https://www.secop.gov.co/CO1BusinessLine/Tendering/BuyerWorkArea/Index?docUniqueIdentifier=CO1.BDOS.5226870&amp;prevCtxUrl=https%3a%2f%2fwww.secop.gov.co%2fCO1BusinessLine%2fTendering%2fBuyerDossierWorkspace%2fIndex%3freference%3d138-2023%26createDateFrom%3d12%2f06%2f2023+20%3a20%3a00%26createDateTo%3d12%2f12%2f2023+20%3a20%3a00%26filteringState%3d0%26sortingState%3dLastModifiedDESC%26showAdvancedSearch%3dTrue%26showAdvancedSearchFields%3dFalse%26advSrchFolderCode%3dALL%26selectedDossier%3dCO1.BDOS.5226870%26selectedRequest%3dCO1.REQ.5343791%26&amp;prevCtxLbl=Procesos+de+la+Entidad+Estatal</t>
  </si>
  <si>
    <t>139-2023</t>
  </si>
  <si>
    <t>900110855-7</t>
  </si>
  <si>
    <t>INGETECH COLOMBIAN GROUP S A S CLAIMS &amp; RISK MANAGMENT</t>
  </si>
  <si>
    <t>https://www.secop.gov.co/CO1BusinessLine/Tendering/BuyerWorkArea/Index?docUniqueIdentifier=CO1.BDOS.5220103&amp;prevCtxUrl=https%3a%2f%2fwww.secop.gov.co%2fCO1BusinessLine%2fTendering%2fBuyerDossierWorkspace%2fIndex%3freference%3d139-2023%26createDateFrom%3d12%2f06%2f2023+20%3a22%3a00%26createDateTo%3d12%2f12%2f2023+20%3a22%3a00%26filteringState%3d0%26sortingState%3dLastModifiedDESC%26showAdvancedSearch%3dTrue%26showAdvancedSearchFields%3dFalse%26advSrchFolderCode%3dALL%26selectedDossier%3dCO1.BDOS.5220103%26selectedRequest%3dCO1.REQ.5336260%26&amp;prevCtxLbl=Procesos+de+la+Entidad+Estatal</t>
  </si>
  <si>
    <t>141-2023</t>
  </si>
  <si>
    <t>890326247-1</t>
  </si>
  <si>
    <t>AJUSTADORES DE OCCIDENTE S.A.S.</t>
  </si>
  <si>
    <t>https://www.secop.gov.co/CO1BusinessLine/Tendering/BuyerWorkArea/Index?docUniqueIdentifier=CO1.BDOS.5219663&amp;prevCtxUrl=https%3a%2f%2fwww.secop.gov.co%2fCO1BusinessLine%2fTendering%2fBuyerDossierWorkspace%2fIndex%3freference%3d141-2023%26createDateFrom%3d12%2f06%2f2023+20%3a19%3a00%26createDateTo%3d12%2f12%2f2023+20%3a19%3a00%26filteringState%3d0%26sortingState%3dLastModifiedDESC%26showAdvancedSearch%3dTrue%26showAdvancedSearchFields%3dFalse%26advSrchFolderCode%3dALL%26selectedDossier%3dCO1.BDOS.5219663%26selectedRequest%3dCO1.REQ.5335791%26&amp;prevCtxLbl=Procesos+de+la+Entidad+Estatal</t>
  </si>
  <si>
    <t>142-2023</t>
  </si>
  <si>
    <t>830013802-8</t>
  </si>
  <si>
    <t>PROTECCION ASEGURADORES COLOMBIANOS S.A. PROASCOL S.A.</t>
  </si>
  <si>
    <t>https://community.secop.gov.co/Public/Tendering/ContractNoticePhases/View?PPI=CO1.PPI.29606682&amp;isFromPublicArea=True&amp;isModal=False</t>
  </si>
  <si>
    <t>5876
6432</t>
  </si>
  <si>
    <t>145-2023</t>
  </si>
  <si>
    <t>30 OTROS /OUTSOURCING  MESA DE SERVICIOS</t>
  </si>
  <si>
    <t xml:space="preserve">Prestar el servicio bajo la modalidad de outsourcing de gestión de la mesa de servicios tecnológicos de TI a través de un equipo de trabajo idóneo y especializado, aplicando las buenas prácticas de ITIL en su última versión y marcos de referencia de mejora continua, donde incluya entre otros, los siguientes componentes asociados a la gestión: Administración y gestión de la mesa de servicio, soporte técnico en sitio, gestores de operación del servicio, entrega oportuna del servicio, seguimiento del ciclo de vida de los servicios de TI, generación de valor de los servicios tecnológicos entregados y la alineación con la estrategia corporativa. </t>
  </si>
  <si>
    <t>800114672-1</t>
  </si>
  <si>
    <t xml:space="preserve">INFORMÁTICA &amp; TECNOLOGÍA STEFANINI S.A.  </t>
  </si>
  <si>
    <t>https://community.secop.gov.co/Public/Tendering/ContractNoticePhases/View?PPI=CO1.PPI.28173247&amp;isFromPublicArea=True&amp;isModal=False</t>
  </si>
  <si>
    <t>147-2023</t>
  </si>
  <si>
    <t>EL PROVEEDOR se obliga con LA PREVISORA S.A., a Suministrar la Suite de Licenciamiento de la herramienta de gestión de servicios tecnológicos de la mesa de servicio, instalación, parametrización, soporte y mantenimiento.</t>
  </si>
  <si>
    <t xml:space="preserve">ARANDA SOFTWARE ANDINA S.A.S. </t>
  </si>
  <si>
    <t>https://www.secop.gov.co/CO1BusinessLine/Tendering/BuyerWorkArea/Index?docUniqueIdentifier=CO1.BDOS.5116301&amp;prevCtxUrl=https%3a%2f%2fwww.secop.gov.co%2fCO1BusinessLine%2fTendering%2fBuyerDossierWorkspace%2fIndex%3freference%3d147-2023%26createDateFrom%3d08%2f05%2f2023+22%3a49%3a00%26createDateTo%3d08%2f11%2f2023+22%3a49%3a00%26filteringState%3d0%26sortingState%3dLastModifiedDESC%26showAdvancedSearch%3dTrue%26showAdvancedSearchFields%3dFalse%26advSrchFolderCode%3dALL%26selectedDossier%3dCO1.BDOS.5116301%26selectedRequest%3dCO1.REQ.5230440%26&amp;prevCtxLbl=Procesos+de+la+Entidad+Estatal</t>
  </si>
  <si>
    <t>151-2023</t>
  </si>
  <si>
    <t>EL PROVEEDOR se compromete con LA PREVISORA S.A a prestar los servicios de ajuste a los siniestros de los ramos generales y patrimoniales, dentro del marco de las actividades relacionadas con la Vicepresidencia de Indemnizaciones.</t>
  </si>
  <si>
    <t>JOSE A CACERES Y CIA LTDA.</t>
  </si>
  <si>
    <t>https://www.secop.gov.co/CO1BusinessLine/Tendering/BuyerWorkArea/Index?docUniqueIdentifier=CO1.BDOS.5122284&amp;prevCtxUrl=https%3a%2f%2fwww.secop.gov.co%2fCO1BusinessLine%2fTendering%2fBuyerDossierWorkspace%2fIndex%3freference%3d151-2023%26createDateFrom%3d12%2f06%2f2023+20%3a19%3a00%26createDateTo%3d12%2f12%2f2023+20%3a19%3a00%26filteringState%3d0%26sortingState%3dLastModifiedDESC%26showAdvancedSearch%3dTrue%26showAdvancedSearchFields%3dFalse%26advSrchFolderCode%3dALL%26selectedDossier%3dCO1.BDOS.5122284%26selectedRequest%3dCO1.REQ.5236681%26&amp;prevCtxLbl=Procesos+de+la+Entidad+Estatal</t>
  </si>
  <si>
    <t>152-2023</t>
  </si>
  <si>
    <t>900896022-1</t>
  </si>
  <si>
    <t>ECOINSA CONSULTORIA EN INDEMNIZACIONES Y RECLAMACIONES S.A.S.</t>
  </si>
  <si>
    <t>Contrato de cuantía indeterminada.  El valor que se reporta es el tomado para suscripción de la garantía. 
Avance Presupuestal: este contrato no requiere CDP, el pago del servicio de ajuste se realiza con cargo al rubro Gastos de siniestros. 
Acta de terminación anticipada de mutuo auerdo firmada el 08/09/2025</t>
  </si>
  <si>
    <t>https://www.secop.gov.co/CO1BusinessLine/Tendering/BuyerWorkArea/Index?docUniqueIdentifier=CO1.BDOS.5122424&amp;prevCtxUrl=https%3a%2f%2fwww.secop.gov.co%2fCO1BusinessLine%2fTendering%2fBuyerDossierWorkspace%2fIndex%3freference%3d152-2023%26createDateFrom%3d12%2f06%2f2023+20%3a18%3a00%26createDateTo%3d12%2f12%2f2023+20%3a18%3a00%26filteringState%3d0%26sortingState%3dLastModifiedDESC%26showAdvancedSearch%3dTrue%26showAdvancedSearchFields%3dFalse%26advSrchFolderCode%3dALL%26selectedDossier%3dCO1.BDOS.5122424%26selectedRequest%3dCO1.REQ.5236778%26&amp;prevCtxLbl=Procesos+de+la+Entidad+Estatal</t>
  </si>
  <si>
    <t>5913/6304</t>
  </si>
  <si>
    <t>155-2023</t>
  </si>
  <si>
    <t xml:space="preserve">Prestar el servicio de envío de correo electrónico certificado incluido soporte y mantenimiento. </t>
  </si>
  <si>
    <t>901312112-4</t>
  </si>
  <si>
    <t>CAMERFIRMA COLOMBIA S.A.S.</t>
  </si>
  <si>
    <t>Prórroga del 29/04/2024</t>
  </si>
  <si>
    <t>https://community.secop.gov.co/Public/Tendering/ContractNoticePhases/View?PPI=CO1.PPI.28171245&amp;isFromPublicArea=True&amp;isModal=False</t>
  </si>
  <si>
    <t>159-2023</t>
  </si>
  <si>
    <t>900141987-3</t>
  </si>
  <si>
    <t>ASEGÚRATE LTDA. AUDITORIA TECNICA EN SEGUROS LIMITADA</t>
  </si>
  <si>
    <t>0,55%</t>
  </si>
  <si>
    <t>https://www.secop.gov.co/CO1BusinessLine/Tendering/ProcedureEdit/View?ProfileName=CCE-11-Procedimiento_Publicidad&amp;PPI=CO1.PPI.28523704&amp;DocUniqueName=Consulta&amp;DocTypeName=NextWay.Entities.Marketplace.Tendering.ProcedureRequest&amp;ProfileVersion=11&amp;DocUniqueIdentifier=CO1.REQ.5326099&amp;prevCtxUrl=https%3a%2f%2fwww.secop.gov.co%2fCO1BusinessLine%2fTendering%2fBuyerWorkArea%2fIndex%3fDocUniqueIdentifier%3dCO1.BDOS.5207234&amp;prevCtxLbl=&amp;Messages=Publicado%20|Success</t>
  </si>
  <si>
    <t>161-2023</t>
  </si>
  <si>
    <t>EL INTERMEDIARIO DE SEGUROS se compromete a prestar los servicios de intermediación, asesoría y administración del programa de seguros de LA PREVISORA S.A, para los ramos de Todo Riesgo Daños Materiales, Manejo, Transporte de Valores, Responsabilidad Civil Extracontractual, Automóviles, Responsabilidad Civil Servidores Públicos, Riesgos Cibernéticos, Infidelidad y Riesgos Financieros, Vida Exequial, Vida Grupo, Vida Deudor, Incendio y Terremoto y todas aquellas que pueda llegar a requerir la Compañía.</t>
  </si>
  <si>
    <t>890901604-4</t>
  </si>
  <si>
    <t>WILLIS TOWERS WATSON COLOMBIA CORREDORES DE SEGUROS SA</t>
  </si>
  <si>
    <t>El contrato de corredor de seguros no contempla valor para Previsora S.A.
Prórroga del 31/10/2024.</t>
  </si>
  <si>
    <t>https://www.secop.gov.co/CO1BusinessLine/Tendering/ProcedureEdit/View?docUniqueIdentifier=CO1.REQ.5252842&amp;prevCtxUrl=https%3a%2f%2fwww.secop.gov.co%2fCO1BusinessLine%2fTendering%2fBuyerDossierWorkspace%2fIndex%3freference%3d161-2023%26createDateFrom%3d20%2f05%2f2023+20%3a25%3a00%26createDateTo%3d20%2f11%2f2023+20%3a25%3a00%26filteringState%3d0%26sortingState%3dLastModifiedDESC%26showAdvancedSearch%3dTrue%26showAdvancedSearchFields%3dFalse%26advSrchFolderCode%3dALL%26selectedDossier%3dCO1.BDOS.5138042%26selectedRequest%3dCO1.REQ.5252842%26&amp;prevCtxLbl=Procesos+de+la+Entidad+Estatal</t>
  </si>
  <si>
    <t>revisar vigencia</t>
  </si>
  <si>
    <t>162-2023</t>
  </si>
  <si>
    <t xml:space="preserve">EL PROVEEDOR se obliga con LA PREVISORA S.A. a prestar bajo la figura de alquiler el servicio especializado de vehículo de reemplazo a los asegurados de LA PREVISORA del seguro de vehículos livianos.    </t>
  </si>
  <si>
    <t>811011779-8</t>
  </si>
  <si>
    <t>RENTING COLOMBIA S.A.S.</t>
  </si>
  <si>
    <t>https://www.secop.gov.co/CO1BusinessLine/Tendering/BuyerWorkArea/Index?docUniqueIdentifier=CO1.BDOS.5109564&amp;prevCtxUrl=https%3a%2f%2fwww.secop.gov.co%2fCO1BusinessLine%2fTendering%2fBuyerDossierWorkspace%2fIndex%3freference%3d162-2023%26createDateFrom%3d22%2f06%2f2023+17%3a51%3a00%26createDateTo%3d22%2f12%2f2023+17%3a51%3a00%26filteringState%3d0%26sortingState%3dLastModifiedDESC%26showAdvancedSearch%3dTrue%26showAdvancedSearchFields%3dFalse%26advSrchFolderCode%3dALL%26selectedDossier%3dCO1.BDOS.5109564%26selectedRequest%3dCO1.REQ.5223881%26&amp;prevCtxLbl=Procesos+de+la+Entidad+Estatal</t>
  </si>
  <si>
    <t>163-2023</t>
  </si>
  <si>
    <t xml:space="preserve">prestar los servicios de ajuste a los siniestros de los ramos generales y patrimoniales, dentro del marco de las actividades relacionadas con la Vicepresidencia de Indemnizaciones. </t>
  </si>
  <si>
    <t>901687362-8</t>
  </si>
  <si>
    <t>RM AJUSTADORES S.A.S.</t>
  </si>
  <si>
    <t>https://www.secop.gov.co/CO1BusinessLine/Tendering/ProcedureEdit/View?docUniqueIdentifier=CO1.REQ.5617857&amp;prevCtxUrl=https%3a%2f%2fwww.secop.gov.co%2fCO1BusinessLine%2fTendering%2fBuyerDossierWorkspace%2fIndex%3freference%3d163-2023%26createDateFrom%3d29%2f07%2f2023+14%3a00%3a00%26createDateTo%3d29%2f01%2f2024+14%3a00%3a00%26filteringState%3d0%26sortingState%3dLastModifiedDESC%26showAdvancedSearch%3dTrue%26showAdvancedSearchFields%3dFalse%26advSrchFolderCode%3dALL%26selectedDossier%3dCO1.BDOS.5500456%26selectedRequest%3dCO1.REQ.5617857%26&amp;prevCtxLbl=Procesos+de+la+Entidad+Estatal</t>
  </si>
  <si>
    <t>5862
7398
7417</t>
  </si>
  <si>
    <t>164-2023</t>
  </si>
  <si>
    <t>prestar servicios de adquisición, renovación, revocación y reposición de los certificados digitales para sitio seguro SSL de las páginas web publicadas por La Previsora y para firmas digitales asignadas al personal de la compañía.</t>
  </si>
  <si>
    <t>900210800-1</t>
  </si>
  <si>
    <t>ANDES SERVICIO DE CERTIFICACION DIGITAL S.A.</t>
  </si>
  <si>
    <t>OTROSÍ N°1 Prórroga y Adición del 10/11/2025</t>
  </si>
  <si>
    <t>https://www.secop.gov.co/CO1BusinessLine/Tendering/BuyerWorkArea/Index?docUniqueIdentifier=CO1.BDOS.5435331&amp;prevCtxUrl=https%3a%2f%2fwww.secop.gov.co%2fCO1BusinessLine%2fTendering%2fBuyerDossierWorkspace%2fIndex%3fcreateDateFrom%3d17%2f07%2f2023+18%3a13%3a52%26createDateTo%3d17%2f01%2f2024+18%3a13%3a52%26filteringState%3d1%26sortingState%3dLastModifiedDESC%26showAdvancedSearch%3dFalse%26showAdvancedSearchFields%3dFalse%26folderCode%3dALL%26selectedDossier%3dCO1.BDOS.5435331%26selectedRequest%3dCO1.REQ.5552451%26&amp;prevCtxLbl=Procesos+de+la+Entidad+Estatal</t>
  </si>
  <si>
    <t>5954 / 6604
7492</t>
  </si>
  <si>
    <t>165-2023</t>
  </si>
  <si>
    <t xml:space="preserve">EL ARRENDADOR entrega en arriendo a EL ARRENDATARIO el uso y goce del apartamento M1 ubicado en la calle 59 # 8 - 21 del edificio Tundana de la cuidad de Bogotá. </t>
  </si>
  <si>
    <t>900111713-4</t>
  </si>
  <si>
    <t>INDUSTRIALMEDIA S.A.</t>
  </si>
  <si>
    <t>Contrato puede ser prórrogado por las partes. 
OTROSÍ N° 1 Prórroga y Adicional del 05/11/2024
OTROSÍ N° 2 prórroga y adicional del 07/11/2025</t>
  </si>
  <si>
    <t>https://www.secop.gov.co/CO1BusinessLine/Tendering/BuyerWorkArea/Index?docUniqueIdentifier=CO1.BDOS.5172798&amp;prevCtxUrl=https%3a%2f%2fwww.secop.gov.co%2fCO1BusinessLine%2fTendering%2fBuyerDossierWorkspace%2fIndex%3freference%3d165-2023%26createDateFrom%3d22%2f06%2f2023+17%3a53%3a00%26createDateTo%3d22%2f12%2f2023+17%3a53%3a00%26filteringState%3d0%26sortingState%3dLastModifiedDESC%26showAdvancedSearch%3dTrue%26showAdvancedSearchFields%3dFalse%26advSrchFolderCode%3dALL%26selectedDossier%3dCO1.BDOS.5172798%26selectedRequest%3dCO1.REQ.5288562%26&amp;prevCtxLbl=Procesos+de+la+Entidad+Estatal</t>
  </si>
  <si>
    <t>169-2023</t>
  </si>
  <si>
    <t>Prestar el mantenimiento preventivo y correctivo del sistema de apantallamiento (pararrayos), sistema de puesta a tierra, Instalación de DPS, para el edificio de la Casa Matriz calle 57 No. 9-07, parqueaderos y Regional Estatal oficina de Indemnizaciones zona Centro, bajo las normas estándares y normativas vigentes, incluida la mano de obra y los repuestos.</t>
  </si>
  <si>
    <t>Cesión del 25/07/2024</t>
  </si>
  <si>
    <t>https://community.secop.gov.co/Public/Tendering/ContractNoticePhases/View?PPI=CO1.PPI.29507152&amp;isFromPublicArea=True&amp;isModal=False</t>
  </si>
  <si>
    <t>171-2023</t>
  </si>
  <si>
    <t>Prestar el servicio de mantenimiento preventivo y correctivo a las unidades de aire acondicionado de precisión y confort instalados en Bogotá en las oficinas de la Vicepresidencia de Indemnizaciones, Sucursal Estatal y el edificio de Casa Matriz de LA PREVISORA S.A.</t>
  </si>
  <si>
    <t>AIR CONTROL SYSTEMS S.A.S</t>
  </si>
  <si>
    <t>OTROSÍ N°1 Prórroga del 29/11/2024</t>
  </si>
  <si>
    <t>https://www.secop.gov.co/CO1BusinessLine/Tendering/ProcedureEdit/View?ProfileName=CCE-11-Procedimiento_Publicidad&amp;PPI=CO1.PPI.29507723&amp;DocUniqueName=Consulta&amp;DocTypeName=NextWay.Entities.Marketplace.Tendering.ProcedureRequest&amp;ProfileVersion=12&amp;DocUniqueIdentifier=CO1.REQ.5643704&amp;prevCtxUrl=https%3a%2f%2fwww.secop.gov.co%2fCO1BusinessLine%2fTendering%2fBuyerWorkArea%2fIndex%3fDocUniqueIdentifier%3dCO1.BDOS.5526269&amp;prevCtxLbl=&amp;Messages=Publicado%20|Success</t>
  </si>
  <si>
    <t>172-2023</t>
  </si>
  <si>
    <t>EL PROVEEDOR actuando con sus propios medios, bajo su cuenta y riesgo, con autonomía técnica y administrativa se obliga con LA PREVISORA S.A. a suministrar y distribuir elementos de oficina, útiles, papelería, elementos de aseo y cafetería a nivel nacional, bajo un esquema de proveeduría integral.</t>
  </si>
  <si>
    <t>901775413-2</t>
  </si>
  <si>
    <t>UNIÓN TEMPORAL IMAGEN 2023</t>
  </si>
  <si>
    <t>https://www.secop.gov.co/CO1BusinessLine/Tendering/ProcedureEdit/View?ProfileName=CCE-11-Procedimiento_Publicidad&amp;PPI=CO1.PPI.28968475&amp;DocUniqueName=Consulta&amp;DocTypeName=NextWay.Entities.Marketplace.Tendering.ProcedureRequest&amp;ProfileVersion=12&amp;DocUniqueIdentifier=CO1.REQ.5451007&amp;prevCtxUrl=https%3a%2f%2fwww.secop.gov.co%2fCO1BusinessLine%2fTendering%2fBuyerWorkArea%2fIndex%3fDocUniqueIdentifier%3dCO1.BDOS.5332826&amp;prevCtxLbl=&amp;Messages=Publicado%20|Success</t>
  </si>
  <si>
    <t>173-2023</t>
  </si>
  <si>
    <t>Prestar el servicio de mantenimiento preventivo y correctivo para las puertas de seguridad y avisos luminosos de propiedad de LA PREVISORA S.A.</t>
  </si>
  <si>
    <t>https://www.secop.gov.co/CO1BusinessLine/Tendering/ProcedureEdit/View?ProfileName=CCE-11-Procedimiento_Publicidad&amp;PPI=CO1.PPI.29507493&amp;DocUniqueName=Consulta&amp;DocTypeName=NextWay.Entities.Marketplace.Tendering.ProcedureRequest&amp;ProfileVersion=12&amp;DocUniqueIdentifier=CO1.REQ.5643665&amp;prevCtxUrl=https%3a%2f%2fwww.secop.gov.co%2fCO1BusinessLine%2fTendering%2fBuyerWorkArea%2fIndex%3fDocUniqueIdentifier%3dCO1.BDOS.5526258&amp;prevCtxLbl=&amp;Messages=Publicado%20|Success</t>
  </si>
  <si>
    <t>174-2023</t>
  </si>
  <si>
    <t>Prestar el servicio de licenciamiento, mantenimiento, actualización del Software CERTAX.</t>
  </si>
  <si>
    <t>900309191-1</t>
  </si>
  <si>
    <t>CONSULTORES PROFESIONALES ESPECIALIZADOS CONPROES S.A.S.</t>
  </si>
  <si>
    <t>https://www.secop.gov.co/CO1BusinessLine/Tendering/ProcedureEdit/View?docUniqueIdentifier=CO1.REQ.5670699&amp;prevCtxUrl=https%3a%2f%2fwww.secop.gov.co%2fCO1BusinessLine%2fTendering%2fBuyerDossierWorkspace%2fIndex%3freference%3d174-2023%26createDateFrom%3d02%2f08%2f2023+14%3a35%3a00%26createDateTo%3d02%2f02%2f2024+14%3a35%3a00%26filteringState%3d0%26sortingState%3dLastModifiedDESC%26showAdvancedSearch%3dTrue%26showAdvancedSearchFields%3dFalse%26advSrchFolderCode%3dALL%26selectedDossier%3dCO1.BDOS.5554120%26selectedRequest%3dCO1.REQ.5670699%26&amp;prevCtxLbl=Procesos+de+la+Entidad+Estatal</t>
  </si>
  <si>
    <t>176-2023</t>
  </si>
  <si>
    <t>prestar sus servicios especializados sobre la herramienta de Sistema Gestor de Identidades, de actualización soporte y mantenimiento a la plataforma Oracle Identity Governance y Oracle Identity Manager.</t>
  </si>
  <si>
    <t>900197910-8</t>
  </si>
  <si>
    <t>SOAINT SOFTWARE ASSOCIATES S.A.S.</t>
  </si>
  <si>
    <t>https://www.secop.gov.co/CO1BusinessLine/Tendering/ProcedureEdit/View?ProfileName=CCE-11-Procedimiento_Publicidad&amp;PPI=CO1.PPI.29497521&amp;DocUniqueName=Consulta&amp;DocTypeName=NextWay.Entities.Marketplace.Tendering.ProcedureRequest&amp;ProfileVersion=12&amp;DocUniqueIdentifier=CO1.REQ.5640698&amp;prevCtxUrl=https%3a%2f%2fwww.secop.gov.co%2fCO1BusinessLine%2fTendering%2fBuyerWorkArea%2fIndex%3fDocUniqueIdentifier%3dCO1.BDOS.5523630&amp;prevCtxLbl=&amp;Messages=Publicado%20|Success</t>
  </si>
  <si>
    <t>177-2023</t>
  </si>
  <si>
    <t>Entrega en arrendamiento comercial a EL ARRENDATARIO el uso y goce del inmueble ubicado en la dirección calle 6 No. 11-61 Local 01 de la ciudad de Florencia.</t>
  </si>
  <si>
    <t>891100247-4</t>
  </si>
  <si>
    <t>CAESCA S.A.S.</t>
  </si>
  <si>
    <t>Prórroga por periodos de hasta un año.</t>
  </si>
  <si>
    <t>https://www.secop.gov.co/CO1BusinessLine/Tendering/ProcedureEdit/View?docUniqueIdentifier=CO1.REQ.5640633&amp;prevCtxUrl=https%3a%2f%2fwww.secop.gov.co%2fCO1BusinessLine%2fTendering%2fBuyerDossierWorkspace%2fIndex%3freference%3d177-2023%26createDateFrom%3d29%2f07%2f2023+14%3a15%3a00%26createDateTo%3d29%2f01%2f2024+14%3a15%3a00%26filteringState%3d0%26sortingState%3dLastModifiedDESC%26showAdvancedSearch%3dTrue%26showAdvancedSearchFields%3dFalse%26advSrchFolderCode%3dALL%26selectedDossier%3dCO1.BDOS.5523410%26selectedRequest%3dCO1.REQ.5640633%26&amp;prevCtxLbl=Procesos+de+la+Entidad+Estatal</t>
  </si>
  <si>
    <t>178-2023</t>
  </si>
  <si>
    <t>900438988-7</t>
  </si>
  <si>
    <t>AJUSEGUROS S.A.S.</t>
  </si>
  <si>
    <t>https://community.secop.gov.co/Public/Tendering/ContractNoticePhases/View?PPI=CO1.PPI.30592160&amp;isFromPublicArea=True&amp;isModal=False</t>
  </si>
  <si>
    <t>182-2023</t>
  </si>
  <si>
    <t>prestar el servicio para la consulta de las aplicaciones informáticas SISA y CEXPER y envío de información en línea vía internet para la obtención de resultados de siniestralidad de los riesgos consultados cifras estadísticas del ramo cifras estadísticas del sector y demás actividades propias que administre FASECOLDA y que tenga que ver con el sector asegurador en el ramo de Automóviles.</t>
  </si>
  <si>
    <t>https://www.secop.gov.co/CO1BusinessLine/Tendering/BuyerWorkArea/Index?docUniqueIdentifier=CO1.BDOS.5435406&amp;prevCtxUrl=https%3a%2f%2fwww.secop.gov.co%2fCO1BusinessLine%2fTendering%2fBuyerDossierWorkspace%2fIndex%3fcreateDateFrom%3d17%2f07%2f2023+18%3a15%3a13%26createDateTo%3d17%2f01%2f2024+18%3a15%3a13%26filteringState%3d1%26sortingState%3dLastModifiedDESC%26showAdvancedSearch%3dFalse%26showAdvancedSearchFields%3dFalse%26folderCode%3dALL%26selectedDossier%3dCO1.BDOS.5435406%26selectedRequest%3dCO1.REQ.5552473%26&amp;prevCtxLbl=Procesos+de+la+Entidad+Estatal</t>
  </si>
  <si>
    <t>184-2023</t>
  </si>
  <si>
    <t>Adquirir los servicios especializados de INFOLAFT en el ámbito de SARLAFT (Sistema de Administración de Riesgos para la Prevención del Lavado de Activos y Financiamiento del Terrorismo), con un enfoque específico en el manejo de Listas de Personas Expuestas Políticamente (PEP). Donde INFOLAFT se compromete a entregar Listas de Personas Expuestas Políticamente (PEP) y contar con listas de Personas Expuestas Políticamente de forma actualizada.</t>
  </si>
  <si>
    <t>https://www.secop.gov.co/CO1BusinessLine/Tendering/ProcedureEdit/View?docUniqueIdentifier=CO1.REQ.5558786&amp;prevCtxUrl=https%3a%2f%2fwww.secop.gov.co%2fCO1BusinessLine%2fTendering%2fBuyerDossierWorkspace%2fIndex%3freference%3d184-2023%26createDateFrom%3d29%2f07%2f2023+14%3a14%3a00%26createDateTo%3d29%2f01%2f2024+14%3a14%3a00%26filteringState%3d0%26sortingState%3dLastModifiedDESC%26showAdvancedSearch%3dTrue%26showAdvancedSearchFields%3dFalse%26advSrchFolderCode%3dALL%26selectedDossier%3dCO1.BDOS.5440354%26selectedRequest%3dCO1.REQ.5558786%26&amp;prevCtxLbl=Procesos+de+la+Entidad+Estatal</t>
  </si>
  <si>
    <t>186-2023</t>
  </si>
  <si>
    <t>prestar los servicios profesionales especializados para apoyar el direccionamiento de procesos asociados al fortalecimiento de una cultura de sostenibilidad y Responsabilidad Social Empresarial (RSE).</t>
  </si>
  <si>
    <t>https://www.secop.gov.co/CO1BusinessLine/Tendering/ProcedureEdit/View?ProfileName=CCE-11-Procedimiento_Publicidad&amp;PPI=CO1.PPI.29509131&amp;DocUniqueName=Consulta&amp;DocTypeName=NextWay.Entities.Marketplace.Tendering.ProcedureRequest&amp;ProfileVersion=12&amp;DocUniqueIdentifier=CO1.REQ.5644202&amp;prevCtxUrl=https%3a%2f%2fwww.secop.gov.co%2fCO1BusinessLine%2fTendering%2fBuyerWorkArea%2fIndex%3fDocUniqueIdentifier%3dCO1.BDOS.5526776&amp;prevCtxLbl=&amp;Messages=Publicado%20|Success</t>
  </si>
  <si>
    <t>187-2023</t>
  </si>
  <si>
    <t>prestar en las instalaciones de la Previsora S.A. Compañía de Seguros de la ciudad de Bogotá el servicio de saneamiento ambiental, fumigación, consistente en el control de insectos, roedores, plagas y microorganismos.</t>
  </si>
  <si>
    <t>900066695-7</t>
  </si>
  <si>
    <t>B.P.F. FUMIBEL LTDA</t>
  </si>
  <si>
    <t>https://www.secop.gov.co/CO1BusinessLine/Tendering/ProcedureEdit/View?docUniqueIdentifier=CO1.REQ.5551523&amp;prevCtxUrl=https%3a%2f%2fwww.secop.gov.co%2fCO1BusinessLine%2fTendering%2fBuyerDossierWorkspace%2fIndex%3freference%3d187-2023%26createDateFrom%3d29%2f07%2f2023+14%3a11%3a00%26createDateTo%3d29%2f01%2f2024+14%3a11%3a00%26filteringState%3d0%26sortingState%3dLastModifiedDESC%26showAdvancedSearch%3dTrue%26showAdvancedSearchFields%3dFalse%26advSrchFolderCode%3dALL%26selectedDossier%3dCO1.BDOS.5434120%26selectedRequest%3dCO1.REQ.5551523%26&amp;prevCtxLbl=Procesos+de+la+Entidad+Estatal</t>
  </si>
  <si>
    <t>5914
6682</t>
  </si>
  <si>
    <t>188-2023</t>
  </si>
  <si>
    <t>Prestar y garantizar el servicio integral de bodegaje almacenamiento y custodia de salvamentos de seguros generales (muebles enseres entre otros) y vehículos asegurados por LA PREVISORA S.A.</t>
  </si>
  <si>
    <t>900272403-6</t>
  </si>
  <si>
    <t>SERVICIOS INTEGRADOS AUTOMOTRIZ S.A.S.</t>
  </si>
  <si>
    <t>https://www.secop.gov.co/CO1BusinessLine/Tendering/ProcedureEdit/View?docUniqueIdentifier=CO1.REQ.5646667&amp;prevCtxUrl=https%3a%2f%2fwww.secop.gov.co%2fCO1BusinessLine%2fTendering%2fBuyerDossierWorkspace%2fIndex%3fallWords2Search%3d188-2023%26createDateFrom%3d11%2f02%2f2022+14%3a00%3a00%26createDateTo%3d11%2f08%2f2025+14%3a00%3a00%26filteringState%3d1%26sortingState%3dLastModifiedDESC%26showAdvancedSearch%3dTrue%26showAdvancedSearchFields%3dFalse%26advSrchFolderCode%3dALL%26selectedDossier%3dCO1.BDOS.5529183%26selectedRequest%3dCO1.REQ.5646667%26&amp;prevCtxLbl=Procesos+de+la+Entidad+Estatal</t>
  </si>
  <si>
    <t>189-2023</t>
  </si>
  <si>
    <t xml:space="preserve">prestar los servicios para el soporte y mantenimiento de la última versión de PORFIN, realizar los desarrollos requeridos por parte de LA PREVISORA S.A. y prestar el servicio de arrendamiento de infraestructura que soporta el funcionamiento del aplicativo. </t>
  </si>
  <si>
    <t>SISTEMAS GESTIÓN Y CONSULTORÍA ALFA GL S.A.S.</t>
  </si>
  <si>
    <t>https://www.secop.gov.co/CO1BusinessLine/Tendering/ProcedureEdit/View?docUniqueIdentifier=CO1.REQ.5670369&amp;prevCtxUrl=https%3a%2f%2fwww.secop.gov.co%2fCO1BusinessLine%2fTendering%2fBuyerDossierWorkspace%2fIndex%3freference%3d189-2023%26createDateFrom%3d02%2f08%2f2023+14%3a36%3a00%26createDateTo%3d02%2f02%2f2024+14%3a36%3a00%26filteringState%3d0%26sortingState%3dLastModifiedDESC%26showAdvancedSearch%3dTrue%26showAdvancedSearchFields%3dFalse%26advSrchFolderCode%3dALL%26selectedDossier%3dCO1.BDOS.5553433%26selectedRequest%3dCO1.REQ.5670369%26&amp;prevCtxLbl=Procesos+de+la+Entidad+Estatal</t>
  </si>
  <si>
    <t>5997
7390</t>
  </si>
  <si>
    <t>190-2023</t>
  </si>
  <si>
    <t>prestar el servicio de renovación del derecho de soporte para los elementos que componen la infraestructura de VoIp como el software Assurance (SWA), soporte de fábrica, soporte técnico, mantenimiento, troncales SIP y la administración de telefonía VoIp.</t>
  </si>
  <si>
    <t>OTROSÍ N°1 Adicional de 25/11/2025</t>
  </si>
  <si>
    <t>https://www.secop.gov.co/CO1BusinessLine/Tendering/ProcedureEdit/View?docUniqueIdentifier=CO1.REQ.5557513&amp;prevCtxUrl=https%3a%2f%2fwww.secop.gov.co%2fCO1BusinessLine%2fTendering%2fBuyerDossierWorkspace%2fIndex%3freference%3d190-2023%26createDateFrom%3d29%2f07%2f2023+14%3a14%3a00%26createDateTo%3d29%2f01%2f2024+14%3a14%3a00%26filteringState%3d0%26sortingState%3dLastModifiedDESC%26showAdvancedSearch%3dTrue%26showAdvancedSearchFields%3dFalse%26advSrchFolderCode%3dALL%26selectedDossier%3dCO1.BDOS.5440116%26selectedRequest%3dCO1.REQ.5557513%26&amp;prevCtxLbl=Procesos+de+la+Entidad+Estatal</t>
  </si>
  <si>
    <t>191-2023</t>
  </si>
  <si>
    <t>prestar el servicio especializado de administración, cobranza, conciliación de cartera a nivel nacional, mediante la gestión de campañas preventivas para recordación de pago y la gestión a la cartera vencida.</t>
  </si>
  <si>
    <t>900342562-1</t>
  </si>
  <si>
    <t>FINLECO BPO S.A.S.</t>
  </si>
  <si>
    <t>https://www.secop.gov.co/CO1BusinessLine/Tendering/BuyerWorkArea/Index?docUniqueIdentifier=CO1.BDOS.5435363&amp;prevCtxUrl=https%3a%2f%2fwww.secop.gov.co%2fCO1BusinessLine%2fTendering%2fBuyerDossierWorkspace%2fIndex%3fcreateDateFrom%3d17%2f07%2f2023+18%3a15%3a53%26createDateTo%3d17%2f01%2f2024+18%3a15%3a53%26filteringState%3d1%26sortingState%3dLastModifiedDESC%26showAdvancedSearch%3dFalse%26showAdvancedSearchFields%3dFalse%26folderCode%3dALL%26selectedDossier%3dCO1.BDOS.5435363%26selectedRequest%3dCO1.REQ.5552786%26&amp;prevCtxLbl=Procesos+de+la+Entidad+Estatal</t>
  </si>
  <si>
    <t>192-2023</t>
  </si>
  <si>
    <t>permitir acceso via web para la consulta de bases de datos de información dispuesta por organismos nacionales e internacionales y obtener información de personas que cuenten con antecedentes delictuales asociados al LA/FT.</t>
  </si>
  <si>
    <t>DUE DILIGENCE SUPPORT SERVICES COLOMBIA S A</t>
  </si>
  <si>
    <t>https://www.secop.gov.co/CO1BusinessLine/Tendering/ProcedureEdit/View?ProfileName=CCE-11-Procedimiento_Publicidad&amp;PPI=CO1.PPI.29510201&amp;DocUniqueName=Consulta&amp;DocTypeName=NextWay.Entities.Marketplace.Tendering.ProcedureRequest&amp;ProfileVersion=12&amp;DocUniqueIdentifier=CO1.REQ.5644428&amp;prevCtxUrl=https%3a%2f%2fwww.secop.gov.co%2fCO1BusinessLine%2fTendering%2fBuyerWorkArea%2fIndex%3fDocUniqueIdentifier%3dCO1.BDOS.5526983&amp;prevCtxLbl=&amp;Messages=Publicado%20|Success</t>
  </si>
  <si>
    <t>194-2023</t>
  </si>
  <si>
    <t xml:space="preserve">Prestación de los servicios para la mejora, administración y mantenimiento de la páginawww.saberseguro.com,  junto con la plataforma Moodle de cursos virtuales, acorde al Programa de Educación Financiera “Saber Seguro”.	</t>
  </si>
  <si>
    <t>https://community.secop.gov.co/Public/Tendering/ContractNoticePhases/View?PPI=CO1.PPI.29296677&amp;isFromPublicArea=True&amp;isModal=False</t>
  </si>
  <si>
    <t>195-2023</t>
  </si>
  <si>
    <t xml:space="preserve">prestar sus servicios para el análisis, diseño, parametrización, pruebas, implementación, capacitación y configuración de requerimientos del Sistema de Gestión Documental en el aplicativo OnBase con su respectivo licenciamiento. </t>
  </si>
  <si>
    <t>https://www.secop.gov.co/CO1BusinessLine/Tendering/ProcedureEdit/View?docUniqueIdentifier=CO1.REQ.5575316&amp;prevCtxUrl=https%3a%2f%2fwww.secop.gov.co%2fCO1BusinessLine%2fTendering%2fBuyerDossierWorkspace%2fIndex%3freference%3d195-2023%26createDateFrom%3d29%2f07%2f2023+14%3a15%3a00%26createDateTo%3d29%2f01%2f2024+14%3a15%3a00%26filteringState%3d0%26sortingState%3dLastModifiedDESC%26showAdvancedSearch%3dTrue%26showAdvancedSearchFields%3dFalse%26advSrchFolderCode%3dALL%26selectedDossier%3dCO1.BDOS.5458172%26selectedRequest%3dCO1.REQ.5575316%26&amp;prevCtxLbl=Procesos+de+la+Entidad+Estatal</t>
  </si>
  <si>
    <t>197-2023</t>
  </si>
  <si>
    <t xml:space="preserve">suministrar y prestar el servicio de actualización soporte y mantenimiento del licenciamiento actual y de nuevas versiones de la herramienta de gestión documental OnBase. </t>
  </si>
  <si>
    <t>https://community.secop.gov.co/Public/Tendering/ContractNoticePhases/View?PPI=CO1.PPI.29299300&amp;isFromPublicArea=True&amp;isModal=False</t>
  </si>
  <si>
    <t>204-2023</t>
  </si>
  <si>
    <t>prestar los servicios profesionales especializados para apoyar y asesorar a la Presidencia de LA PREVISORA S.A. en los diferentes temas que tiene a cargo, especialmente, en asuntos administrativos, de planeación, control, seguimiento, desarrollo de estrategias, así como participación en proyectos de importancia, movilización de recursos y transformación digital.</t>
  </si>
  <si>
    <t>CARLOS ALFREDO NIÑO PEREZ</t>
  </si>
  <si>
    <t>https://www.secop.gov.co/CO1BusinessLine/Tendering/BuyerWorkArea/Index?DocUniqueIdentifier=CO1.BDOS.5525829</t>
  </si>
  <si>
    <t>6098/6566/6663</t>
  </si>
  <si>
    <t>001-2024</t>
  </si>
  <si>
    <t>Suministro de bebidas hidratantes para los visitantes y funcionarios de Casa Matriz.</t>
  </si>
  <si>
    <t>860001697-8</t>
  </si>
  <si>
    <t>GASEOSAS LUX S.A.S.</t>
  </si>
  <si>
    <t>Cesión.
Adicional del 19/12/2024.</t>
  </si>
  <si>
    <t>https://community.secop.gov.co/Public/Tendering/ContractNoticePhases/View?PPI=CO1.PPI.29608023&amp;isFromPublicArea=True&amp;isModal=False</t>
  </si>
  <si>
    <t>002-2024</t>
  </si>
  <si>
    <t xml:space="preserve">Prestación del servicio de tramites notariales que requiera LA PREVISORA S.A. </t>
  </si>
  <si>
    <t>51933924</t>
  </si>
  <si>
    <t>PATRICIA TELLEZ LOMBANA</t>
  </si>
  <si>
    <t>https://www.secop.gov.co/CO1BusinessLine/Tendering/ProcedureEdit/View?ProfileName=CCE-11-Procedimiento_Publicidad&amp;PPI=CO1.PPI.37421895&amp;DocUniqueName=Consulta&amp;DocTypeName=NextWay.Entities.Marketplace.Tendering.ProcedureRequest&amp;ProfileVersion=12&amp;DocUniqueIdentifier=CO1.REQ.7729304&amp;prevCtxUrl=https%3a%2f%2fwww.secop.gov.co%2fCO1BusinessLine%2fTendering%2fBuyerWorkArea%2fIndex%3fDocUniqueIdentifier%3dCO1.BDOS.7594158&amp;prevCtxLbl=&amp;Messages=Publicado%20|Success</t>
  </si>
  <si>
    <t>6111
6935</t>
  </si>
  <si>
    <t>004-2024</t>
  </si>
  <si>
    <t>Prestar los servicios de un sistema de información desplegado como un SaaS (Software as a Service) en la nube del fabricante, que permita la gestión consolidada de los riesgos de LA PREVISORA S.A. de manera automática.</t>
  </si>
  <si>
    <t>NEWNET S.A. - EN REORGANIZACIÓN</t>
  </si>
  <si>
    <t>OTROSÍ N°1 Modif. Cláusulas
11/04/2025</t>
  </si>
  <si>
    <t>https://community.secop.gov.co/Public/Tendering/ContractNoticePhases/View?PPI=CO1.PPI.32097008&amp;isFromPublicArea=True&amp;isModal=False</t>
  </si>
  <si>
    <t>007-2024</t>
  </si>
  <si>
    <t>prestar el servicio de fotocopiado de documentos, para lo cual utilizará la infraestructura necesaria y equipos multifuncionales de su propiedad instalados y puestos en funcionamiento en las instalaciones de LA PREVISORA S.A.</t>
  </si>
  <si>
    <t>900455314-5</t>
  </si>
  <si>
    <t>NEW COPIERS TECNOLOGY LTDA</t>
  </si>
  <si>
    <t>https://community.secop.gov.co/Public/Tendering/ContractNoticePhases/View?PPI=CO1.PPI.29547183&amp;isFromPublicArea=True&amp;isModal=False</t>
  </si>
  <si>
    <t>009-2024</t>
  </si>
  <si>
    <t>Investigación y análisis de los casos reportados en la línea ética de LA PREVISORA S.A.</t>
  </si>
  <si>
    <t>830099102-1</t>
  </si>
  <si>
    <t>INSTITUTO NACIONAL DE INVESTIGACION Y PREVENCION DE FRAUDE LTDA INIF</t>
  </si>
  <si>
    <t>La ejecución presupuestal no esta al 100% debido a que la prestación de servicio y facturación se realizaban  a demanda.</t>
  </si>
  <si>
    <t>https://community.secop.gov.co/Public/Tendering/ContractNoticePhases/View?PPI=CO1.PPI.29646542&amp;isFromPublicArea=True&amp;isModal=False</t>
  </si>
  <si>
    <t>010-2024</t>
  </si>
  <si>
    <t>Prestar el servicio calificado de mantenimiento preventivo y correctivo a los vehículos de propiedad de LA PREVISORA S.A.</t>
  </si>
  <si>
    <t>PERIAUTOS SAS</t>
  </si>
  <si>
    <t>https://community.secop.gov.co/Public/Tendering/ContractNoticePhases/View?PPI=CO1.PPI.34730206&amp;isFromPublicArea=True&amp;isModal=False</t>
  </si>
  <si>
    <t>011-2024</t>
  </si>
  <si>
    <t xml:space="preserve">Prestar los servicios de inspección de los bienes asegurables y/o asegurados y/o de administración de riesgos y control de pérdidas de riesgos en curso y/o por suscribir asignados por LA PREVISORA S.A. en las sucursales que LA PREVISORA S.A. disponga. </t>
  </si>
  <si>
    <t xml:space="preserve">JOSÉ A. CÁCERES Y CIA LTDA. </t>
  </si>
  <si>
    <t>https://community.secop.gov.co/Public/Tendering/ContractNoticePhases/View?PPI=CO1.PPI.32109234&amp;isFromPublicArea=True&amp;isModal=False</t>
  </si>
  <si>
    <t>012-2024</t>
  </si>
  <si>
    <t>https://www.secop.gov.co/CO1BusinessLine/Tendering/ProcedureEdit/View?docUniqueIdentifier=CO1.REQ.6541651&amp;prevCtxUrl=https%3a%2f%2fwww.secop.gov.co%2fCO1BusinessLine%2fTendering%2fBuyerDossierWorkspace%2fIndex%3fallWords2Search%3d012-2024%26createDateFrom%3d03%2f04%2f2024+21%3a59%3a05%26createDateTo%3d03%2f10%2f2024+21%3a59%3a05%26filteringState%3d1%26sortingState%3dLastModifiedDESC%26showAdvancedSearch%3dFalse%26showAdvancedSearchFields%3dFalse%26folderCode%3dALL%26selectedDossier%3dCO1.BDOS.6416542%26selectedRequest%3dCO1.REQ.6541651%26&amp;prevCtxLbl=Procesos+de+la+Entidad+Estatal</t>
  </si>
  <si>
    <t>013-2024</t>
  </si>
  <si>
    <t xml:space="preserve">L &amp; M INGENIEROS CONSULTORES LTDA. </t>
  </si>
  <si>
    <t>https://community.secop.gov.co/Public/Tendering/ContractNoticePhases/View?PPI=CO1.PPI.32098023&amp;isFromPublicArea=True&amp;isModal=False</t>
  </si>
  <si>
    <t>014-2024</t>
  </si>
  <si>
    <t>servicio de Administración de Riesgos de Responsabilidad Civil Profesional de Clínicas y Hospitales para las instituciones Hospitalarias asignados por la Oficina de Responsabilidad Civil y la Oficina de Prevención de Riesgos, cumpliendo con lo indicado en el manual de políticas, normas y procedimientos de suscripción del ramo de Responsabilidad Civil y el manual para análisis de riesgos.</t>
  </si>
  <si>
    <t>https://community.secop.gov.co/Public/Tendering/ContractNoticePhases/View?PPI=CO1.PPI.34833008&amp;isFromPublicArea=True&amp;isModal=False</t>
  </si>
  <si>
    <t>015-2024</t>
  </si>
  <si>
    <t>LOSS CONTROL &amp; FIRE RISK S.A.S.</t>
  </si>
  <si>
    <t>https://community.secop.gov.co/Public/Tendering/ContractNoticePhases/View?PPI=CO1.PPI.34829456&amp;isFromPublicArea=True&amp;isModal=False</t>
  </si>
  <si>
    <t>016-2024</t>
  </si>
  <si>
    <t xml:space="preserve">Servicios de inspección de los bienes asegurables y/o asegurados y/o de administración de riesgos y control de pérdidas de riesgos en curso y/o por suscribir asignados por LA PREVISORA S.A. en las sucursales que LA PREVISORA S.A. disponga. </t>
  </si>
  <si>
    <t>LOSS GROUP CRITERIA SAS</t>
  </si>
  <si>
    <t>https://www.secop.gov.co/CO1BusinessLine/Tendering/ProcedureEdit/View?docUniqueIdentifier=CO1.REQ.6548476&amp;prevCtxUrl=https%3a%2f%2fwww.secop.gov.co%2fCO1BusinessLine%2fTendering%2fBuyerDossierWorkspace%2fIndex%3fallWords2Search%3d016-2024%26createDateFrom%3d03%2f04%2f2024+22%3a01%3a38%26createDateTo%3d03%2f10%2f2024+22%3a01%3a38%26filteringState%3d1%26sortingState%3dLastModifiedDESC%26showAdvancedSearch%3dFalse%26showAdvancedSearchFields%3dFalse%26folderCode%3dALL%26selectedDossier%3dCO1.BDOS.6423274%26selectedRequest%3dCO1.REQ.6548476%26&amp;prevCtxLbl=Procesos+de+la+Entidad+Estatal</t>
  </si>
  <si>
    <t>017-2024</t>
  </si>
  <si>
    <t>Suministro de plataforma tecnológica que permite la captura de todos y cada uno de los despachos que realicen los clientes asegurados en Previsora en los diferentes productos del ramo de transportes.</t>
  </si>
  <si>
    <t>https://www.secop.gov.co/CO1BusinessLine/Tendering/ProcedureEdit/View?ProfileName=CCE-11-Procedimiento_Publicidad&amp;PPI=CO1.PPI.37481003&amp;DocUniqueName=Consulta&amp;DocTypeName=NextWay.Entities.Marketplace.Tendering.ProcedureRequest&amp;ProfileVersion=12&amp;DocUniqueIdentifier=CO1.REQ.7748842&amp;prevCtxUrl=https%3a%2f%2fwww.secop.gov.co%2fCO1BusinessLine%2fTendering%2fBuyerWorkArea%2fIndex%3fDocUniqueIdentifier%3dCO1.BDOS.7613724&amp;prevCtxLbl=&amp;Messages=Publicado%20|Success</t>
  </si>
  <si>
    <t>6109 - 6675 - 6824</t>
  </si>
  <si>
    <t>018-2024</t>
  </si>
  <si>
    <t xml:space="preserve">servicio de elaboración y suministro de piezas gráficas impresas y merchandising, correspondientes al material publicitario derivado de la estrategia de mercadeo y comunicación </t>
  </si>
  <si>
    <t>900068916-9</t>
  </si>
  <si>
    <t xml:space="preserve">DIGITOS Y DISEÑOS INDUSTRIA GRAFICA S.A.S. </t>
  </si>
  <si>
    <t xml:space="preserve">Adicional del 13/11/2024.
Prórroga y Adicional del 30/12/2024.
OTROSÍ N°3 del 31/03/2025 prórroga. </t>
  </si>
  <si>
    <t>https://community.secop.gov.co/Public/Tendering/ContractNoticePhases/View?PPI=CO1.PPI.34733948&amp;isFromPublicArea=True&amp;isModal=False</t>
  </si>
  <si>
    <t>020-2024</t>
  </si>
  <si>
    <t>servicio de Administración de Riesgos para el ramo de Transportes de los clientes asignados por la Oficina de Transportes y la Oficina de Prevención de Riesgos.</t>
  </si>
  <si>
    <t>https://community.secop.gov.co/Public/Tendering/ContractNoticePhases/View?PPI=CO1.PPI.35648608&amp;isFromPublicArea=True&amp;isModal=False</t>
  </si>
  <si>
    <t>022-2024</t>
  </si>
  <si>
    <t xml:space="preserve">servicios de inspección de los bienes asegurables y/o asegurados y/o de administración de riesgos y control de pérdidas de riesgos en curso y/o por suscribir asignados por LA PREVISORA S.A. en las sucursales que LA PREVISORA S.A. disponga. </t>
  </si>
  <si>
    <t>https://community.secop.gov.co/Public/Tendering/ContractNoticePhases/View?PPI=CO1.PPI.30375605&amp;isFromPublicArea=True&amp;isModal=False</t>
  </si>
  <si>
    <t>6168 - 6303</t>
  </si>
  <si>
    <t>023-2024</t>
  </si>
  <si>
    <t>Inscribir y capacitar a los funcionarios que designe la Compañía, mediante los diferentes cursos, congresos, foros y actividades académicas que realiza el INSTITUTO NACIONAL DE SEGUROS de acuerdo con las necesidades de capacitación, entrenamiento y/o desarrollo requeridas</t>
  </si>
  <si>
    <t>https://community.secop.gov.co/Public/Tendering/ContractNoticePhases/View?PPI=CO1.PPI.35589074&amp;isFromPublicArea=True&amp;isModal=False</t>
  </si>
  <si>
    <t>024-2024</t>
  </si>
  <si>
    <t>servicios de asesoría, acompañamiento y apoyo legal a La Previsora S.A. para la incorporación de todas las normas relacionadas a Gobierno Corporativo, en virtud de su incorporación al Grupo Bicentenario S.A.S.</t>
  </si>
  <si>
    <t>901643966-7</t>
  </si>
  <si>
    <t>PAUL SOLARTE LOPEZ ABOGADOS Y CONSULTORIA S.A.S</t>
  </si>
  <si>
    <t>https://community.secop.gov.co/Public/Tendering/ContractNoticePhases/View?PPI=CO1.PPI.30367668&amp;isFromPublicArea=True&amp;isModal=False</t>
  </si>
  <si>
    <t>025-2024</t>
  </si>
  <si>
    <t>Prestar servicios de arrendamiento por medio de una herramienta de gestión y suscripción que provea la información idónea para estimar el nivel de riesgo de los diferentes negocios del sector Agropecuario.</t>
  </si>
  <si>
    <t>900988451-3</t>
  </si>
  <si>
    <t>GESTION ESPECIALIZADA EN RIESGOS AGROPECUARIOS GEA S.A.S</t>
  </si>
  <si>
    <t>https://community.secop.gov.co/Public/Tendering/ContractNoticePhases/View?PPI=CO1.PPI.34828018&amp;isFromPublicArea=True&amp;isModal=False</t>
  </si>
  <si>
    <t>026-2024</t>
  </si>
  <si>
    <t>Suministrar dos canales de comunicación capa 3 con redundancia para realizar la conexión con el Banco de la República para el consumo de CUD y SEBRA.</t>
  </si>
  <si>
    <t>899999115-8</t>
  </si>
  <si>
    <t>EMPRESA DE TELECOMUNICACIONES DE BOGOTÁ S.A. E.S.P - ETB S.A. E.S.P</t>
  </si>
  <si>
    <t>https://www.secop.gov.co/CO1BusinessLine/Tendering/ProcedureEdit/View?ProfileName=CCE-11-Procedimiento_Publicidad&amp;PPI=CO1.PPI.31791355&amp;DocUniqueName=Consulta&amp;DocTypeName=NextWay.Entities.Marketplace.Tendering.ProcedureRequest&amp;ProfileVersion=12&amp;DocUniqueIdentifier=CO1.REQ.6238696&amp;prevCtxUrl=https%3a%2f%2fwww.secop.gov.co%2fCO1BusinessLine%2fTendering%2fBuyerWorkArea%2fIndex%3fDocUniqueIdentifier%3dCO1.BDOS.6117191&amp;prevCtxLbl=&amp;Messages=Publicado%20|Success</t>
  </si>
  <si>
    <t>027-2024</t>
  </si>
  <si>
    <t>Suscripción al servicio de información Jurídica www.contratacionenlinea.co. Suscripción a una base de datos jurídicos y de actualización normativa y legislativa, así como de la jurisprudencia de las Altas Cortes y doctrina especializada en CONTRATACIÓN ESTATAL.</t>
  </si>
  <si>
    <t>https://www.secop.gov.co/CO1BusinessLine/Tendering/ProcedureEdit/View?docUniqueIdentifier=CO1.REQ.6551110&amp;prevCtxUrl=https%3a%2f%2fwww.secop.gov.co%2fCO1BusinessLine%2fTendering%2fBuyerDossierWorkspace%2fIndex%3fallWords2Search%3d027-2024%26createDateFrom%3d03%2f04%2f2024+22%3a05%3a53%26createDateTo%3d03%2f10%2f2024+22%3a05%3a53%26filteringState%3d1%26sortingState%3dLastModifiedDESC%26showAdvancedSearch%3dFalse%26showAdvancedSearchFields%3dFalse%26folderCode%3dALL%26selectedDossier%3dCO1.BDOS.6425585%26selectedRequest%3dCO1.REQ.6551110%26&amp;prevCtxLbl=Procesos+de+la+Entidad+Estatal</t>
  </si>
  <si>
    <t>036-2024</t>
  </si>
  <si>
    <t>Suscripción digital del diario de La República para los funcionarios de la compañía que designe LA PREVISORA S.A.</t>
  </si>
  <si>
    <t>901017183-2</t>
  </si>
  <si>
    <t>EDITORIAL LA REPUBLICA S.A.S.</t>
  </si>
  <si>
    <t>https://www.secop.gov.co/CO1BusinessLine/Tendering/ProcedureEdit/View?docUniqueIdentifier=CO1.REQ.6550950&amp;prevCtxUrl=https%3a%2f%2fwww.secop.gov.co%2fCO1BusinessLine%2fTendering%2fBuyerDossierWorkspace%2fIndex%3fallWords2Search%3d036-2024%26createDateFrom%3d03%2f04%2f2024+22%3a06%3a53%26createDateTo%3d03%2f10%2f2024+22%3a06%3a53%26filteringState%3d1%26sortingState%3dLastModifiedDESC%26showAdvancedSearch%3dFalse%26showAdvancedSearchFields%3dFalse%26folderCode%3dALL%26selectedDossier%3dCO1.BDOS.6425746%26selectedRequest%3dCO1.REQ.6550950%26&amp;prevCtxLbl=Procesos+de+la+Entidad+Estatal</t>
  </si>
  <si>
    <t>037-2024</t>
  </si>
  <si>
    <t>Servicios especializados para optimizar y automatizar las metodologías relacionadas con los riesgos de crédito y contraparte del portafolio de inversiones.</t>
  </si>
  <si>
    <t>901371032-5</t>
  </si>
  <si>
    <t>BCL MONTPARNASSE SAS</t>
  </si>
  <si>
    <t>https://www.secop.gov.co/CO1BusinessLine/Tendering/ProcedureEdit/View?docUniqueIdentifier=CO1.REQ.6551049&amp;prevCtxUrl=https%3a%2f%2fwww.secop.gov.co%2fCO1BusinessLine%2fTendering%2fBuyerDossierWorkspace%2fIndex%3fallWords2Search%3d037-2024%26createDateFrom%3d03%2f04%2f2024+22%3a04%3a31%26createDateTo%3d03%2f10%2f2024+22%3a04%3a31%26filteringState%3d1%26sortingState%3dLastModifiedDESC%26showAdvancedSearch%3dFalse%26showAdvancedSearchFields%3dFalse%26folderCode%3dALL%26selectedDossier%3dCO1.BDOS.6425714%26selectedRequest%3dCO1.REQ.6551049%26&amp;prevCtxLbl=Procesos+de+la+Entidad+Estatal</t>
  </si>
  <si>
    <t>6217 - 6711</t>
  </si>
  <si>
    <t>038-2024</t>
  </si>
  <si>
    <t>Desarrollar el plan de bienestar social y reconocimiento dirigido a los funcionarios de la Compañía así como servicios asociados al Sistema de Gestión de Seguridad y Salud en el Trabajo.</t>
  </si>
  <si>
    <t xml:space="preserve">CAJA DE COMPENSACIÓN COMPENSAR </t>
  </si>
  <si>
    <t>Adicional del 28/11/2024.</t>
  </si>
  <si>
    <t>https://www.secop.gov.co/CO1BusinessLine/Tendering/ProcedureEdit/View?docUniqueIdentifier=CO1.REQ.6764335&amp;prevCtxUrl=https%3a%2f%2fwww.secop.gov.co%2fCO1BusinessLine%2fTendering%2fBuyerDossierWorkspace%2fIndex%3fallWords2Search%3d038-2024%26createDateFrom%3d08%2f04%2f2024+16%3a12%3a10%26createDateTo%3d08%2f10%2f2024+16%3a12%3a10%26filteringState%3d1%26sortingState%3dLastModifiedDESC%26showAdvancedSearch%3dFalse%26showAdvancedSearchFields%3dFalse%26folderCode%3dALL%26selectedDossier%3dCO1.BDOS.6637050%26selectedRequest%3dCO1.REQ.6764335%26&amp;prevCtxLbl=Procesos+de+la+Entidad+Estatal</t>
  </si>
  <si>
    <t>5976 - 6493 - 6645</t>
  </si>
  <si>
    <t>042-2024</t>
  </si>
  <si>
    <t>Adquisición, instalación, configuración, parametrización, afinamiento, soporte y el servicio técnico de mantenimiento preventivo y correctivo a las UPS de LA PREVISORA S.A.</t>
  </si>
  <si>
    <t>800079939-2</t>
  </si>
  <si>
    <t>SUCOMPUTO S.A.S. SUCOMPUTO INFRAESTRUCTURA
TECNOLOGICA S.A.S.</t>
  </si>
  <si>
    <t>OTROSÍ N° 1 modificación cláusula Forma de Pago 22/07/2024.
Adicional del 13/11/2024.</t>
  </si>
  <si>
    <t>https://www.secop.gov.co/CO1BusinessLine/Tendering/BuyerWorkArea/Index?docUniqueIdentifier=CO1.BDOS.6423038&amp;prevCtxUrl=https%3a%2f%2fwww.secop.gov.co%2fCO1BusinessLine%2fTendering%2fBuyerDossierWorkspace%2fIndex%3fallWords2Search%3d042-2024%26createDateFrom%3d03%2f04%2f2024+21%3a52%3a52%26createDateTo%3d03%2f10%2f2024+21%3a52%3a52%26filteringState%3d1%26sortingState%3dLastModifiedDESC%26showAdvancedSearch%3dFalse%26showAdvancedSearchFields%3dFalse%26folderCode%3dALL%26selectedDossier%3dCO1.BDOS.6423038%26selectedRequest%3dCO1.REQ.6771655%26&amp;prevCtxLbl=Procesos+de+la+Entidad+Estatal</t>
  </si>
  <si>
    <t>045-2024</t>
  </si>
  <si>
    <t>Realizar la intermediación para el cubrimiento de los riesgos derivados de la póliza de hospitalización y cirugía de LA PREVISORA S.A.</t>
  </si>
  <si>
    <t>860069265-2</t>
  </si>
  <si>
    <t>AON RISK SERVICES COLOMBIA S.A CORREDORES DE SEGUROS</t>
  </si>
  <si>
    <t>Contrato no genera pago.</t>
  </si>
  <si>
    <t>https://www.secop.gov.co/CO1BusinessLine/Tendering/ProcedureEdit/View?ProfileName=CCE-11-Procedimiento_Publicidad&amp;PPI=CO1.PPI.31792599&amp;DocUniqueName=Consulta&amp;DocTypeName=NextWay.Entities.Marketplace.Tendering.ProcedureRequest&amp;ProfileVersion=12&amp;DocUniqueIdentifier=CO1.REQ.6239411&amp;prevCtxUrl=https%3a%2f%2fwww.secop.gov.co%2fCO1BusinessLine%2fTendering%2fBuyerWorkArea%2fIndex%3fDocUniqueIdentifier%3dCO1.BDOS.6117494&amp;prevCtxLbl=&amp;Messages=Publicado%20|Success</t>
  </si>
  <si>
    <t>046-2024</t>
  </si>
  <si>
    <t>Implementar la encuesta de valoración del ambiente laboral y realizar las intervenciones en la organización de acuerdo con la metodología del Great Place to Work.</t>
  </si>
  <si>
    <t>https://www.secop.gov.co/CO1BusinessLine/Tendering/ProcedureEdit/View?docUniqueIdentifier=CO1.REQ.6550956&amp;prevCtxUrl=https%3a%2f%2fwww.secop.gov.co%2fCO1BusinessLine%2fTendering%2fBuyerDossierWorkspace%2fIndex%3fallWords2Search%3d046-2024%26createDateFrom%3d03%2f04%2f2024+22%3a07%3a56%26createDateTo%3d03%2f10%2f2024+22%3a07%3a56%26filteringState%3d1%26sortingState%3dLastModifiedDESC%26showAdvancedSearch%3dFalse%26showAdvancedSearchFields%3dFalse%26folderCode%3dALL%26selectedDossier%3dCO1.BDOS.6425907%26selectedRequest%3dCO1.REQ.6550956%26&amp;prevCtxLbl=Procesos+de+la+Entidad+Estatal</t>
  </si>
  <si>
    <t>047-2024</t>
  </si>
  <si>
    <t>Servicios para ejecutar el contrato en su totalidad, de acuerdo con las siguientes obligaciones: Actualización de la segmentación del SARLAFT con un enfoque específico para la actualización, ajuste y/o adaptación y automatización de las metodologías de segmentación para la gestión del riesgo de LAFT/PADM.</t>
  </si>
  <si>
    <t>https://www.secop.gov.co/CO1BusinessLine/Tendering/ProcedureEdit/View?ProfileName=CCE-11-Procedimiento_Publicidad&amp;PPI=CO1.PPI.31797554&amp;DocUniqueName=Consulta&amp;DocTypeName=NextWay.Entities.Marketplace.Tendering.ProcedureRequest&amp;ProfileVersion=12&amp;DocUniqueIdentifier=CO1.REQ.6240440&amp;prevCtxUrl=https%3a%2f%2fwww.secop.gov.co%2fCO1BusinessLine%2fTendering%2fBuyerWorkArea%2fIndex%3fDocUniqueIdentifier%3dCO1.BDOS.6118803&amp;prevCtxLbl=&amp;Messages=Publicado%20|Success</t>
  </si>
  <si>
    <t>053-2024</t>
  </si>
  <si>
    <t>suscripción al libro electrónico denominado: Estatuto de la Contratación Estatal en Colombia, ubicado en la dirección en Internet www.contratacionestatal.com en la modalidad de Licencia de Uso.</t>
  </si>
  <si>
    <t>EDITORIAL CONTEXTO JURIDICO S.A.S.</t>
  </si>
  <si>
    <t>https://www.secop.gov.co/CO1BusinessLine/Tendering/ProcedureEdit/View?docUniqueIdentifier=CO1.REQ.6775812&amp;prevCtxUrl=https%3a%2f%2fwww.secop.gov.co%2fCO1BusinessLine%2fTendering%2fBuyerDossierWorkspace%2fIndex%3fallWords2Search%3d053-2024%26createDateFrom%3d08%2f04%2f2024+16%3a45%3a34%26createDateTo%3d08%2f10%2f2024+16%3a45%3a34%26filteringState%3d1%26sortingState%3dLastModifiedDESC%26showAdvancedSearch%3dFalse%26showAdvancedSearchFields%3dFalse%26folderCode%3dALL%26selectedDossier%3dCO1.BDOS.6648266%26selectedRequest%3dCO1.REQ.6775812%26&amp;prevCtxLbl=Procesos+de+la+Entidad+Estatal</t>
  </si>
  <si>
    <t>054-2024</t>
  </si>
  <si>
    <t>Servicios como entrenador para los equipos de fútbol femenino y masculino  de LA PREVISORA S.A.</t>
  </si>
  <si>
    <t>JUAN ANDRÉS LÓPEZ DEANTONIO</t>
  </si>
  <si>
    <t>https://www.secop.gov.co/CO1BusinessLine/Tendering/ProcedureEdit/View?ProfileName=CCE-11-Procedimiento_Publicidad&amp;PPI=CO1.PPI.31901761&amp;DocUniqueName=Consulta&amp;DocTypeName=NextWay.Entities.Marketplace.Tendering.ProcedureRequest&amp;ProfileVersion=12&amp;DocUniqueIdentifier=CO1.REQ.6265324&amp;prevCtxUrl=https%3a%2f%2fwww.secop.gov.co%2fCO1BusinessLine%2fTendering%2fBuyerWorkArea%2fIndex%3fDocUniqueIdentifier%3dCO1.BDOS.6143431&amp;prevCtxLbl=&amp;Messages=Publicado%20|Success</t>
  </si>
  <si>
    <t>056-2024</t>
  </si>
  <si>
    <t>servicios de administración de riesgos, control de pérdidas y procedimientos especializados para los diferentes riesgos amparados en negocios nuevos o vigentes del ramo de automóviles.</t>
  </si>
  <si>
    <t>https://www.secop.gov.co/CO1BusinessLine/Tendering/ProcedureEdit/View?ProfileName=CCE-11-Procedimiento_Publicidad&amp;PPI=CO1.PPI.32116512&amp;DocUniqueName=Consulta&amp;DocTypeName=NextWay.Entities.Marketplace.Tendering.ProcedureRequest&amp;ProfileVersion=12&amp;DocUniqueIdentifier=CO1.REQ.6312940&amp;prevCtxUrl=https%3a%2f%2fwww.secop.gov.co%2fCO1BusinessLine%2fTendering%2fBuyerWorkArea%2fIndex%3fDocUniqueIdentifier%3dCO1.BDOS.6190141&amp;prevCtxLbl=&amp;Messages=Publicado%20|Success</t>
  </si>
  <si>
    <t>6251
6961</t>
  </si>
  <si>
    <t>058-2024</t>
  </si>
  <si>
    <t>Prestar los servicios de asesoría, diseño y desarrollo de contenidos conceptuales o teóricos, en cumplimiento de los criterios del sello de Educación Financiera definidos en la Resolución 0240 del 2022 emitida por la Superintendencia Financiera de Colombia, mediante herramientas prácticas, talleres, material educativo, entre otros, que fortalezcan y permitan al Programa de Educación Financiera “Saber Seguro”.</t>
  </si>
  <si>
    <t>OTROSÍ N°1 del 31/03/2025 adición $18.421.200.</t>
  </si>
  <si>
    <t>https://www.secop.gov.co/CO1BusinessLine/Tendering/ProcedureEdit/View?docUniqueIdentifier=CO1.REQ.6775428&amp;prevCtxUrl=https%3a%2f%2fwww.secop.gov.co%2fCO1BusinessLine%2fTendering%2fBuyerDossierWorkspace%2fIndex%3fallWords2Search%3d058-2024%26createDateFrom%3d03%2f04%2f2024+22%3a22%3a49%26createDateTo%3d03%2f10%2f2024+22%3a22%3a49%26filteringState%3d1%26sortingState%3dLastModifiedDESC%26showAdvancedSearch%3dFalse%26showAdvancedSearchFields%3dFalse%26folderCode%3dALL%26selectedDossier%3dCO1.BDOS.6648306%26selectedRequest%3dCO1.REQ.6775428%26&amp;prevCtxLbl=Procesos+de+la+Entidad+Estatal</t>
  </si>
  <si>
    <t>059-2024</t>
  </si>
  <si>
    <t>En su condición de apoderado especial o general según ANEXO 1 del contrato, a representar en calidad tanto activa como pasiva a LA PREVISORA S.A. en los procesos judiciales, pre-judiciales, de responsabilidad fiscal, procedimientos administrativos, arbitramentos y en general en todo tipo de litigio o procedimiento encomendado.</t>
  </si>
  <si>
    <t>https://www.secop.gov.co/CO1BusinessLine/Tendering/ProcedureEdit/View?ProfileName=CCE-11-Procedimiento_Publicidad&amp;PPI=CO1.PPI.31925494&amp;DocUniqueName=Consulta&amp;DocTypeName=NextWay.Entities.Marketplace.Tendering.ProcedureRequest&amp;ProfileVersion=12&amp;DocUniqueIdentifier=CO1.REQ.6270146&amp;prevCtxUrl=https%3a%2f%2fwww.secop.gov.co%2fCO1BusinessLine%2fTendering%2fBuyerWorkArea%2fIndex%3fDocUniqueIdentifier%3dCO1.BDOS.6147980&amp;prevCtxLbl=&amp;Messages=Publicado%20|Success</t>
  </si>
  <si>
    <t>060-2024</t>
  </si>
  <si>
    <t>https://www.secop.gov.co/CO1BusinessLine/Tendering/ProcedureEdit/View?ProfileName=CCE-11-Procedimiento_Publicidad&amp;PPI=CO1.PPI.31989632&amp;DocUniqueName=Consulta&amp;DocTypeName=NextWay.Entities.Marketplace.Tendering.ProcedureRequest&amp;ProfileVersion=12&amp;DocUniqueIdentifier=CO1.REQ.6284217&amp;prevCtxUrl=https%3a%2f%2fwww.secop.gov.co%2fCO1BusinessLine%2fTendering%2fBuyerWorkArea%2fIndex%3fDocUniqueIdentifier%3dCO1.BDOS.6162304&amp;prevCtxLbl=&amp;Messages=Publicado%20|Success</t>
  </si>
  <si>
    <t>6268
7021</t>
  </si>
  <si>
    <t>061-2024</t>
  </si>
  <si>
    <t>Contratar una póliza de Vida Grupo que asegure a los funcionarios directivos vinculados mediante contrato de trabajo a término Indefinido –(Ley 6 de 1945), Jefe de Control Interno y Presidente de La Previsora S.A. Compañía de Seguros.</t>
  </si>
  <si>
    <t>860004875-6</t>
  </si>
  <si>
    <t>HDI SEGUROS S A</t>
  </si>
  <si>
    <t>OTROSÍ N°1 prórroga y adición del 28/03/2025</t>
  </si>
  <si>
    <t>https://www.secop.gov.co/CO1BusinessLine/Tendering/ProcedureEdit/View?docUniqueIdentifier=CO1.REQ.6269837&amp;prevCtxUrl=https%3a%2f%2fwww.secop.gov.co%2fCO1BusinessLine%2fTendering%2fBuyerDossierWorkspace%2fIndex%3fallWords2Search%3d061-2024%26createDateFrom%3d21%2f11%2f2023+16%3a43%3a38%26createDateTo%3d21%2f05%2f2024+16%3a43%3a38%26filteringState%3d1%26sortingState%3dLastModifiedDESC%26showAdvancedSearch%3dFalse%26showAdvancedSearchFields%3dFalse%26folderCode%3dALL%26selectedDossier%3dCO1.BDOS.6147199%26selectedRequest%3dCO1.REQ.6269837%26&amp;prevCtxLbl=Procesos+de+la+Entidad+Estatal</t>
  </si>
  <si>
    <t>062-2024</t>
  </si>
  <si>
    <t>Renovar la suscripción como signataria de la Asociacion PRI (Principles Responsible Invesment)</t>
  </si>
  <si>
    <t>https://www.secop.gov.co/CO1BusinessLine/Tendering/ProcedureEdit/View?docUniqueIdentifier=CO1.REQ.6774512&amp;prevCtxUrl=https%3a%2f%2fwww.secop.gov.co%2fCO1BusinessLine%2fTendering%2fBuyerDossierWorkspace%2fIndex%3fallWords2Search%3d062-2024%26createDateFrom%3d03%2f04%2f2024+22%3a21%3a05%26createDateTo%3d03%2f10%2f2024+22%3a21%3a05%26filteringState%3d1%26sortingState%3dLastModifiedDESC%26showAdvancedSearch%3dFalse%26showAdvancedSearchFields%3dFalse%26folderCode%3dALL%26selectedDossier%3dCO1.BDOS.6647438%26selectedRequest%3dCO1.REQ.6774512%26&amp;prevCtxLbl=Procesos+de+la+Entidad+Estatal</t>
  </si>
  <si>
    <t>065-2024</t>
  </si>
  <si>
    <t>https://www.secop.gov.co/CO1BusinessLine/Tendering/ProcedureEdit/View?ProfileName=CCE-11-Procedimiento_Publicidad&amp;PPI=CO1.PPI.31928559&amp;DocUniqueName=Consulta&amp;DocTypeName=NextWay.Entities.Marketplace.Tendering.ProcedureRequest&amp;ProfileVersion=12&amp;DocUniqueIdentifier=CO1.REQ.6270751&amp;prevCtxUrl=https%3a%2f%2fwww.secop.gov.co%2fCO1BusinessLine%2fTendering%2fBuyerWorkArea%2fIndex%3fDocUniqueIdentifier%3dCO1.BDOS.6148723&amp;prevCtxLbl=&amp;Messages=Publicado%20|Success</t>
  </si>
  <si>
    <t>066-2024</t>
  </si>
  <si>
    <t>WECH S.A.S.</t>
  </si>
  <si>
    <t>https://www.secop.gov.co/CO1BusinessLine/Tendering/ProcedureEdit/View?docUniqueIdentifier=CO1.REQ.6788078&amp;prevCtxUrl=https%3a%2f%2fwww.secop.gov.co%2fCO1BusinessLine%2fTendering%2fBuyerDossierWorkspace%2fIndex%3fallWords2Search%3d066-2024%26createDateFrom%3d07%2f04%2f2024+14%3a23%3a58%26createDateTo%3d07%2f10%2f2024+14%3a23%3a58%26filteringState%3d1%26sortingState%3dLastModifiedDESC%26showAdvancedSearch%3dTrue%26showAdvancedSearchFields%3dTrue%26advSrchFolderCode%3dALL%26selectedDossier%3dCO1.BDOS.6661326%26selectedRequest%3dCO1.REQ.6788078%26&amp;prevCtxLbl=Procesos+de+la+Entidad+Estatal</t>
  </si>
  <si>
    <t>067-2024</t>
  </si>
  <si>
    <t>https://www.secop.gov.co/CO1BusinessLine/Tendering/ProcedureEdit/View?docUniqueIdentifier=CO1.REQ.6788206&amp;prevCtxUrl=https%3a%2f%2fwww.secop.gov.co%2fCO1BusinessLine%2fTendering%2fBuyerDossierWorkspace%2fIndex%3fallWords2Search%3d067-2024%26createDateFrom%3d07%2f04%2f2024+14%3a20%3a08%26createDateTo%3d07%2f10%2f2024+14%3a20%3a08%26filteringState%3d1%26sortingState%3dLastModifiedDESC%26showAdvancedSearch%3dTrue%26showAdvancedSearchFields%3dTrue%26advSrchFolderCode%3dALL%26selectedDossier%3dCO1.BDOS.6661303%26selectedRequest%3dCO1.REQ.6788206%26&amp;prevCtxLbl=Procesos+de+la+Entidad+Estatal</t>
  </si>
  <si>
    <t>069-2024</t>
  </si>
  <si>
    <t>https://www.secop.gov.co/CO1BusinessLine/Tendering/ProcedureEdit/View?docUniqueIdentifier=CO1.REQ.6788064&amp;prevCtxUrl=https%3a%2f%2fwww.secop.gov.co%2fCO1BusinessLine%2fTendering%2fBuyerDossierWorkspace%2fIndex%3fallWords2Search%3d069-2024%26createDateFrom%3d07%2f04%2f2024+14%3a20%3a54%26createDateTo%3d07%2f10%2f2024+14%3a20%3a54%26filteringState%3d1%26sortingState%3dLastModifiedDESC%26showAdvancedSearch%3dTrue%26showAdvancedSearchFields%3dTrue%26advSrchFolderCode%3dALL%26selectedDossier%3dCO1.BDOS.6661000%26selectedRequest%3dCO1.REQ.6788064%26&amp;prevCtxLbl=Procesos+de+la+Entidad+Estatal</t>
  </si>
  <si>
    <t>070-2024</t>
  </si>
  <si>
    <t>Representar en calidad tanto activa como pasiva a LA PREVISORA S.A. en los procesos judiciales, pre-judiciales, de responsabilidad fiscal, procedimientos administrativos, arbitramentos, acciones constitucionales de tutela y en general en todo tipo de litigio o procedimiento encomendado.</t>
  </si>
  <si>
    <t>FORERO &amp; GONZALEZ ASESORES SAS</t>
  </si>
  <si>
    <t>https://www.secop.gov.co/CO1BusinessLine/Tendering/ProcedureEdit/View?docUniqueIdentifier=CO1.REQ.6818015&amp;prevCtxUrl=https%3a%2f%2fwww.secop.gov.co%2fCO1BusinessLine%2fTendering%2fBuyerDossierWorkspace%2fIndex%3fallWords2Search%3d070-2024%26createDateFrom%3d07%2f04%2f2024+14%3a26%3a38%26createDateTo%3d07%2f10%2f2024+14%3a26%3a38%26filteringState%3d1%26sortingState%3dLastModifiedDESC%26showAdvancedSearch%3dTrue%26showAdvancedSearchFields%3dTrue%26advSrchFolderCode%3dALL%26selectedDossier%3dCO1.BDOS.6690265%26selectedRequest%3dCO1.REQ.6818015%26&amp;prevCtxLbl=Procesos+de+la+Entidad+Estatal</t>
  </si>
  <si>
    <t>071-2024</t>
  </si>
  <si>
    <t>DASMARO ABOGADOS SAS</t>
  </si>
  <si>
    <t>https://www.secop.gov.co/CO1BusinessLine/Tendering/ProcedureEdit/View?docUniqueIdentifier=CO1.REQ.6787957&amp;prevCtxUrl=https%3a%2f%2fwww.secop.gov.co%2fCO1BusinessLine%2fTendering%2fBuyerDossierWorkspace%2fIndex%3fallWords2Search%3d071-2024%26createDateFrom%3d07%2f04%2f2024+14%3a19%3a34%26createDateTo%3d07%2f10%2f2024+14%3a19%3a34%26filteringState%3d1%26sortingState%3dLastModifiedDESC%26showAdvancedSearch%3dTrue%26showAdvancedSearchFields%3dTrue%26advSrchFolderCode%3dALL%26selectedDossier%3dCO1.BDOS.6660369%26selectedRequest%3dCO1.REQ.6787957%26&amp;prevCtxLbl=Procesos+de+la+Entidad+Estatal</t>
  </si>
  <si>
    <t>072-2024</t>
  </si>
  <si>
    <t>Representar en calidad tanto activa como pasiva a LA PREVISORA S.A. en los procesos judiciales, pre-judiciales, de responsabilidad fiscal, procedimientos administrativos, arbitramentos y en general en todo tipo de litigio o procedimiento encomendado.</t>
  </si>
  <si>
    <t>https://community.secop.gov.co/Public/Tendering/OpportunityDetail/Index?noticeUID=CO1.NTC.6202960&amp;isFromPublicArea=True&amp;isModal=False</t>
  </si>
  <si>
    <t>6244
7309</t>
  </si>
  <si>
    <t>073-2024</t>
  </si>
  <si>
    <t>Proveer licenciamiento y servicio de información financiera de emisores locales e internacionales, para descarga y monitoreo.</t>
  </si>
  <si>
    <t>OTROSÍ Prórroga y adicional del 10/07/2025</t>
  </si>
  <si>
    <t>https://www.secop.gov.co/CO1BusinessLine/Tendering/ProcedureEdit/View?ProfileName=CCE-11-Procedimiento_Publicidad&amp;PPI=CO1.PPI.31900306&amp;DocUniqueName=Consulta&amp;DocTypeName=NextWay.Entities.Marketplace.Tendering.ProcedureRequest&amp;ProfileVersion=12&amp;DocUniqueIdentifier=CO1.REQ.6265115&amp;prevCtxUrl=https%3a%2f%2fwww.secop.gov.co%2fCO1BusinessLine%2fTendering%2fBuyerWorkArea%2fIndex%3fDocUniqueIdentifier%3dCO1.BDOS.6142679&amp;prevCtxLbl=&amp;Messages=Publicado%20|Success</t>
  </si>
  <si>
    <t>074-2024</t>
  </si>
  <si>
    <t>Suministrar los refrigerios y brindar apoyo logístico para las actividades asociadas a los procesos de capacitación y formación que adelante la Subgerencia de Desarrollo de Talento Humano.</t>
  </si>
  <si>
    <t>800200139-5</t>
  </si>
  <si>
    <t>CRIYA SAS</t>
  </si>
  <si>
    <t>https://www.secop.gov.co/CO1BusinessLine/Tendering/ProcedureEdit/View?docUniqueIdentifier=CO1.REQ.6777493&amp;prevCtxUrl=https%3a%2f%2fwww.secop.gov.co%2fCO1BusinessLine%2fTendering%2fBuyerDossierWorkspace%2fIndex%3fallWords2Search%3d074-2024%26createDateFrom%3d07%2f04%2f2024+14%3a16%3a49%26createDateTo%3d07%2f10%2f2024+14%3a16%3a49%26filteringState%3d1%26sortingState%3dLastModifiedDESC%26showAdvancedSearch%3dTrue%26showAdvancedSearchFields%3dTrue%26advSrchFolderCode%3dALL%26selectedDossier%3dCO1.BDOS.6650531%26selectedRequest%3dCO1.REQ.6777493%26&amp;prevCtxLbl=Procesos+de+la+Entidad+Estatal</t>
  </si>
  <si>
    <t>075-2024</t>
  </si>
  <si>
    <t>representar en calidad tanto activa como pasiva a LA PREVISORA S.A. en los procesos judiciales, pre-judiciales, de responsabilidad fiscal, procedimientos administrativos, arbitramentos y en general en todo tipo de litigio o procedimiento encomendado, dentro del marco de las competencias de la vicepresidencia jurídica.</t>
  </si>
  <si>
    <t>RODRIGUEZ GONZALEZ ABOGADOS SAS</t>
  </si>
  <si>
    <t>https://community.secop.gov.co/Public/Tendering/ContractNoticePhases/View?PPI=CO1.PPI.34262524&amp;isFromPublicArea=True&amp;isModal=False</t>
  </si>
  <si>
    <t>076-2024</t>
  </si>
  <si>
    <t>Prestar el servicio de licenciamiento administración y soporte de la solución de PAM (Privileged Access Manager) Cyberark que permita la gestión de usuarios privilegiados de manera centralizada.</t>
  </si>
  <si>
    <t>900374230-7</t>
  </si>
  <si>
    <t>NEOSECURE COLOMBIA SAS</t>
  </si>
  <si>
    <t>https://www.secop.gov.co/CO1BusinessLine/Tendering/ProcedureEdit/View?ProfileName=CCE-11-Procedimiento_Publicidad&amp;PPI=CO1.PPI.32118830&amp;DocUniqueName=Consulta&amp;DocTypeName=NextWay.Entities.Marketplace.Tendering.ProcedureRequest&amp;ProfileVersion=12&amp;DocUniqueIdentifier=CO1.REQ.6313606&amp;prevCtxUrl=https%3a%2f%2fwww.secop.gov.co%2fCO1BusinessLine%2fTendering%2fBuyerWorkArea%2fIndex%3fDocUniqueIdentifier%3dCO1.BDOS.6190449&amp;prevCtxLbl=&amp;Messages=Publicado%20|Success</t>
  </si>
  <si>
    <t>077-2024</t>
  </si>
  <si>
    <t>Prestar el servicio de uso y administración de la plataforma virtual para pruebas de conocimientos de ingreso a LA PREVISORA S.A., así como el diseño y aplicación de pruebas de conocimiento para los cargos que esta requiera.</t>
  </si>
  <si>
    <t>860078643-0</t>
  </si>
  <si>
    <t>https://www.secop.gov.co/CO1BusinessLine/Tendering/ProcedureEdit/View?docUniqueIdentifier=CO1.REQ.6818309&amp;prevCtxUrl=https%3a%2f%2fwww.secop.gov.co%2fCO1BusinessLine%2fTendering%2fBuyerDossierWorkspace%2fIndex%3fallWords2Search%3d077-2024%26createDateFrom%3d07%2f04%2f2024+14%3a30%3a13%26createDateTo%3d07%2f10%2f2024+14%3a30%3a13%26filteringState%3d1%26sortingState%3dLastModifiedDESC%26showAdvancedSearch%3dTrue%26showAdvancedSearchFields%3dTrue%26advSrchFolderCode%3dALL%26selectedDossier%3dCO1.BDOS.6690655%26selectedRequest%3dCO1.REQ.6818309%26&amp;prevCtxLbl=Procesos+de+la+Entidad+Estatal</t>
  </si>
  <si>
    <t>078-2024</t>
  </si>
  <si>
    <t>En su condición de apoderado especial o general según ANEXO 1 del contrato, a representar en calidad tanto activa como pasiva a LA PREVISORA S.A. en los procesos judiciales, pre-judiciales, de responsabilidad fiscal, procedimientos administrativos, arbitramentos, acciones constitucionales de tutela y en general en todo tipo de litigio o procedimiento encomendado.</t>
  </si>
  <si>
    <t>https://www.secop.gov.co/CO1BusinessLine/Tendering/ProcedureEdit/View?docUniqueIdentifier=CO1.REQ.6850824&amp;prevCtxUrl=https%3a%2f%2fwww.secop.gov.co%2fCO1BusinessLine%2fTendering%2fBuyerDossierWorkspace%2fIndex%3fallWords2Search%3d078-2024%26createDateFrom%3d07%2f04%2f2024+16%3a37%3a14%26createDateTo%3d07%2f10%2f2024+16%3a37%3a14%26filteringState%3d1%26sortingState%3dLastModifiedDESC%26showAdvancedSearch%3dFalse%26showAdvancedSearchFields%3dFalse%26folderCode%3dALL%26selectedDossier%3dCO1.BDOS.6722180%26selectedRequest%3dCO1.REQ.6850824%26&amp;prevCtxLbl=Procesos+de+la+Entidad+Estatal</t>
  </si>
  <si>
    <t>079-2024</t>
  </si>
  <si>
    <t>https://www.secop.gov.co/CO1BusinessLine/Tendering/ProcedureEdit/View?docUniqueIdentifier=CO1.REQ.6850330&amp;prevCtxUrl=https%3a%2f%2fwww.secop.gov.co%2fCO1BusinessLine%2fTendering%2fBuyerDossierWorkspace%2fIndex%3fallWords2Search%3d079-2024%26createDateFrom%3d07%2f04%2f2024+16%3a33%3a14%26createDateTo%3d07%2f10%2f2024+16%3a33%3a14%26filteringState%3d1%26sortingState%3dLastModifiedDESC%26showAdvancedSearch%3dFalse%26showAdvancedSearchFields%3dFalse%26folderCode%3dALL%26selectedDossier%3dCO1.BDOS.6722352%26selectedRequest%3dCO1.REQ.6850330%26&amp;prevCtxLbl=Procesos+de+la+Entidad+Estatal</t>
  </si>
  <si>
    <t>080-2024</t>
  </si>
  <si>
    <t>900846824-8</t>
  </si>
  <si>
    <t>C&amp;S ASESORES Y CONSULTORES S.A.S.</t>
  </si>
  <si>
    <t>https://www.secop.gov.co/CO1BusinessLine/Tendering/ProcedureEdit/View?docUniqueIdentifier=CO1.REQ.6849940&amp;prevCtxUrl=https%3a%2f%2fwww.secop.gov.co%2fCO1BusinessLine%2fTendering%2fBuyerDossierWorkspace%2fIndex%3fallWords2Search%3d080-2024%26createDateFrom%3d07%2f04%2f2024+16%3a16%3a07%26createDateTo%3d07%2f10%2f2024+16%3a16%3a07%26filteringState%3d1%26sortingState%3dLastModifiedDESC%26showAdvancedSearch%3dFalse%26showAdvancedSearchFields%3dFalse%26folderCode%3dALL%26selectedDossier%3dCO1.BDOS.6721970%26selectedRequest%3dCO1.REQ.6849940%26&amp;prevCtxLbl=Procesos+de+la+Entidad+Estatal</t>
  </si>
  <si>
    <t>081-2024</t>
  </si>
  <si>
    <t>900639479-2</t>
  </si>
  <si>
    <t>BARÓN LEMUS ABOGADOS S.A.S.</t>
  </si>
  <si>
    <t>https://www.secop.gov.co/CO1BusinessLine/Tendering/ProcedureEdit/View?docUniqueIdentifier=CO1.REQ.6824262&amp;prevCtxUrl=https%3a%2f%2fwww.secop.gov.co%2fCO1BusinessLine%2fTendering%2fBuyerDossierWorkspace%2fIndex%3fallWords2Search%3d081-2024%26createDateFrom%3d08%2f04%2f2024+19%3a02%3a01%26createDateTo%3d08%2f10%2f2024+19%3a02%3a01%26filteringState%3d1%26sortingState%3dLastModifiedDESC%26showAdvancedSearch%3dFalse%26showAdvancedSearchFields%3dFalse%26folderCode%3dALL%26selectedDossier%3dCO1.BDOS.6696862%26selectedRequest%3dCO1.REQ.6824262%26&amp;prevCtxLbl=Procesos+de+la+Entidad+Estatal</t>
  </si>
  <si>
    <t>082-2024</t>
  </si>
  <si>
    <t>https://community.secop.gov.co/Public/Tendering/ContractNoticePhases/View?PPI=CO1.PPI.34860261&amp;isFromPublicArea=True&amp;isModal=False</t>
  </si>
  <si>
    <t>083-2024</t>
  </si>
  <si>
    <t>901315864-8</t>
  </si>
  <si>
    <t>ASTUDILLO ABOGADOS S.A.S.</t>
  </si>
  <si>
    <t>https://www.secop.gov.co/CO1BusinessLine/Tendering/ProcedureEdit/View?docUniqueIdentifier=CO1.REQ.6824200&amp;prevCtxUrl=https%3a%2f%2fwww.secop.gov.co%2fCO1BusinessLine%2fTendering%2fBuyerDossierWorkspace%2fIndex%3fallWords2Search%3d083-2024%26createDateFrom%3d08%2f04%2f2024+16%3a52%3a34%26createDateTo%3d08%2f10%2f2024+16%3a52%3a34%26filteringState%3d1%26sortingState%3dLastModifiedDESC%26showAdvancedSearch%3dFalse%26showAdvancedSearchFields%3dFalse%26folderCode%3dALL%26selectedDossier%3dCO1.BDOS.6696477%26selectedRequest%3dCO1.REQ.6824200%26&amp;prevCtxLbl=Procesos+de+la+Entidad+Estatal</t>
  </si>
  <si>
    <t>084-2024</t>
  </si>
  <si>
    <t>901221135-2</t>
  </si>
  <si>
    <t>BOTERO ZAPATA ABOGADOS S.A.S.</t>
  </si>
  <si>
    <t>https://www.secop.gov.co/CO1BusinessLine/Tendering/ProcedureEdit/View?docUniqueIdentifier=CO1.REQ.6849631&amp;prevCtxUrl=https%3a%2f%2fwww.secop.gov.co%2fCO1BusinessLine%2fTendering%2fBuyerDossierWorkspace%2fIndex%3fallWords2Search%3d084-2024%26createDateFrom%3d07%2f04%2f2024+16%3a08%3a03%26createDateTo%3d07%2f10%2f2024+16%3a08%3a03%26filteringState%3d1%26sortingState%3dLastModifiedDESC%26showAdvancedSearch%3dFalse%26showAdvancedSearchFields%3dFalse%26folderCode%3dALL%26selectedDossier%3dCO1.BDOS.6722001%26selectedRequest%3dCO1.REQ.6849631%26&amp;prevCtxLbl=Procesos+de+la+Entidad+Estatal</t>
  </si>
  <si>
    <t>085-2024</t>
  </si>
  <si>
    <t>https://community.secop.gov.co/Public/Tendering/ContractNoticePhases/View?PPI=CO1.PPI.34858815&amp;isFromPublicArea=True&amp;isModal=False</t>
  </si>
  <si>
    <t>086-2024</t>
  </si>
  <si>
    <t>VALDÉS ABOGADOS – ASLABOR LTDA.</t>
  </si>
  <si>
    <t>https://community.secop.gov.co/Public/Tendering/ContractNoticePhases/View?PPI=CO1.PPI.34856293&amp;isFromPublicArea=True&amp;isModal=False</t>
  </si>
  <si>
    <t>087-2024</t>
  </si>
  <si>
    <t>https://community.secop.gov.co/Public/Tendering/ContractNoticePhases/View?PPI=CO1.PPI.34854890&amp;isFromPublicArea=True&amp;isModal=False</t>
  </si>
  <si>
    <t>088-2024</t>
  </si>
  <si>
    <t>GOMEZ VELEZ ABOGADOS SAS</t>
  </si>
  <si>
    <t>https://community.secop.gov.co/Public/Tendering/ContractNoticePhases/View?PPI=CO1.PPI.34838988&amp;isFromPublicArea=True&amp;isModal=Fals</t>
  </si>
  <si>
    <t>089-2024</t>
  </si>
  <si>
    <t>900333669-0</t>
  </si>
  <si>
    <t>I LEX GRUPO CONSULTOR S.A.S</t>
  </si>
  <si>
    <t>https://community.secop.gov.co/Public/Tendering/ContractNoticePhases/View?PPI=CO1.PPI.34838988&amp;isFromPublicArea=True&amp;isModal=False</t>
  </si>
  <si>
    <t>090-2024</t>
  </si>
  <si>
    <t>LASPRILLA &amp; CRUZ ABOGADOS ASOCIADOS SAS</t>
  </si>
  <si>
    <t>https://community.secop.gov.co/Public/Tendering/ContractNoticePhases/View?PPI=CO1.PPI.36357808&amp;isFromPublicArea=True&amp;isModal=False</t>
  </si>
  <si>
    <t>091-2024</t>
  </si>
  <si>
    <t>ÁLVAREZ &amp; HERNÁNDEZ ABOGADOS S.A.S.</t>
  </si>
  <si>
    <t>https://community.secop.gov.co/Public/Tendering/ContractNoticePhases/View?PPI=CO1.PPI.34831194&amp;isFromPublicArea=True&amp;isModal=False</t>
  </si>
  <si>
    <t>092-2024</t>
  </si>
  <si>
    <t>901447396-9</t>
  </si>
  <si>
    <t>BLANCO &amp; DEGIOVANNI ABOGADOS Y CONSULTORES S.A.S.</t>
  </si>
  <si>
    <t>https://community.secop.gov.co/Public/Tendering/ContractNoticePhases/View?PPI=CO1.PPI.34830678&amp;isFromPublicArea=True&amp;isModal=False</t>
  </si>
  <si>
    <t>093-2024</t>
  </si>
  <si>
    <t>G. HERRERA &amp; ASOCIADOS ABOGADOS SAS</t>
  </si>
  <si>
    <t>https://www.secop.gov.co/CO1BusinessLine/Tendering/ProcedureEdit/View?docUniqueIdentifier=CO1.REQ.6851843&amp;prevCtxUrl=https%3a%2f%2fwww.secop.gov.co%2fCO1BusinessLine%2fTendering%2fBuyerDossierWorkspace%2fIndex%3fallWords2Search%3d093-2024%26createDateFrom%3d07%2f04%2f2024+16%3a44%3a02%26createDateTo%3d07%2f10%2f2024+16%3a44%3a02%26filteringState%3d1%26sortingState%3dLastModifiedDESC%26showAdvancedSearch%3dFalse%26showAdvancedSearchFields%3dFalse%26folderCode%3dALL%26selectedDossier%3dCO1.BDOS.6723919%26selectedRequest%3dCO1.REQ.6851843%26&amp;prevCtxLbl=Procesos+de+la+Entidad+Estatal</t>
  </si>
  <si>
    <t>094-2024</t>
  </si>
  <si>
    <t xml:space="preserve">Representar en calidad tanto activa como pasiva a LA PREVISORA S.A. en los procesos judiciales, pre-judiciales, de responsabilidad fiscal, procedimientos administrativos, arbitramentos, acciones constitucionales de tutela y en general en todo tipo de litigio o procedimiento encomendado. </t>
  </si>
  <si>
    <t>https://community.secop.gov.co/Public/Tendering/ContractNoticePhases/View?PPI=CO1.PPI.36376858&amp;isFromPublicArea=True&amp;isModal=False</t>
  </si>
  <si>
    <t>6378 - 6785</t>
  </si>
  <si>
    <t>095-2024</t>
  </si>
  <si>
    <t>900735104-7</t>
  </si>
  <si>
    <t>ALBERTO PULIDO RODRIGUEZ S A S</t>
  </si>
  <si>
    <t>https://community.secop.gov.co/Public/Tendering/ContractNoticePhases/View?PPI=CO1.PPI.34788579&amp;isFromPublicArea=True&amp;isModal=False</t>
  </si>
  <si>
    <t>096-2024</t>
  </si>
  <si>
    <t xml:space="preserve">representar en calidad tanto activa como pasiva a LA PREVISORA S.A. en los procesos judiciales, pre-judiciales, de responsabilidad fiscal, procedimientos administrativos, arbitramentos, acciones constitucionales de tutela y en general en todo tipo de litigio o procedimiento encomendado. </t>
  </si>
  <si>
    <t>900802434-1</t>
  </si>
  <si>
    <t>BERNAL RINCÓN ABOGADOS S.A.S</t>
  </si>
  <si>
    <t>098-2024</t>
  </si>
  <si>
    <t>MANUEL PRETELT ABOGADOS S.A.S.</t>
  </si>
  <si>
    <t>https://www.secop.gov.co/CO1BusinessLine/Tendering/ProcedureEdit/View?docUniqueIdentifier=CO1.REQ.6853702&amp;prevCtxUrl=https%3a%2f%2fwww.secop.gov.co%2fCO1BusinessLine%2fTendering%2fBuyerDossierWorkspace%2fIndex%3fallWords2Search%3d098-2024%26createDateFrom%3d07%2f04%2f2024+19%3a04%3a29%26createDateTo%3d07%2f10%2f2024+19%3a04%3a29%26filteringState%3d1%26sortingState%3dLastModifiedDESC%26showAdvancedSearch%3dFalse%26showAdvancedSearchFields%3dFalse%26folderCode%3dALL%26selectedDossier%3dCO1.BDOS.6725808%26selectedRequest%3dCO1.REQ.6853702%26&amp;prevCtxLbl=Procesos+de+la+Entidad+Estatal</t>
  </si>
  <si>
    <t>099-2024</t>
  </si>
  <si>
    <t>MARGARITA SAAVEDRA MC CAUSLAND &amp; ABOGADOS S.A.S.</t>
  </si>
  <si>
    <t>https://www.secop.gov.co/CO1BusinessLine/Tendering/ProcedureEdit/View?docUniqueIdentifier=CO1.REQ.6853487&amp;prevCtxUrl=https%3a%2f%2fwww.secop.gov.co%2fCO1BusinessLine%2fTendering%2fBuyerDossierWorkspace%2fIndex%3fallWords2Search%3d099-2024%26createDateFrom%3d07%2f04%2f2024+19%3a05%3a28%26createDateTo%3d07%2f10%2f2024+19%3a05%3a28%26filteringState%3d1%26sortingState%3dLastModifiedDESC%26showAdvancedSearch%3dFalse%26showAdvancedSearchFields%3dFalse%26folderCode%3dALL%26selectedDossier%3dCO1.BDOS.6725666%26selectedRequest%3dCO1.REQ.6853487%26&amp;prevCtxLbl=Procesos+de+la+Entidad+Estatal</t>
  </si>
  <si>
    <t>100-2024</t>
  </si>
  <si>
    <t>901320859-0</t>
  </si>
  <si>
    <t>MARLIO MORA CABRERA S.A.S.</t>
  </si>
  <si>
    <t>https://www.secop.gov.co/CO1BusinessLine/Tendering/ProcedureEdit/View?docUniqueIdentifier=CO1.REQ.6853675&amp;prevCtxUrl=https%3a%2f%2fwww.secop.gov.co%2fCO1BusinessLine%2fTendering%2fBuyerDossierWorkspace%2fIndex%3fallWords2Search%3d100-2024%26createDateFrom%3d07%2f04%2f2024+19%3a24%3a37%26createDateTo%3d07%2f10%2f2024+19%3a24%3a37%26filteringState%3d1%26sortingState%3dLastModifiedDESC%26showAdvancedSearch%3dFalse%26showAdvancedSearchFields%3dFalse%26folderCode%3dALL%26selectedDossier%3dCO1.BDOS.6725784%26selectedRequest%3dCO1.REQ.6853675%26&amp;prevCtxLbl=Procesos+de+la+Entidad+Estatal</t>
  </si>
  <si>
    <t>101-2024</t>
  </si>
  <si>
    <t>Servicios jurídicos especializados para la administración en calidad de Counterparty Manager de la información de LA PREVISORA S.A. en la plataforma Markit de ISDA (International Swaps and Derivatives Association INC).</t>
  </si>
  <si>
    <t>https://www.secop.gov.co/CO1BusinessLine/Tendering/ProcedureEdit/View?docUniqueIdentifier=CO1.REQ.6818156&amp;prevCtxUrl=https%3a%2f%2fwww.secop.gov.co%2fCO1BusinessLine%2fTendering%2fBuyerDossierWorkspace%2fIndex%3fallWords2Search%3d101-2024%26createDateFrom%3d07%2f04%2f2024+14%3a28%3a57%26createDateTo%3d07%2f10%2f2024+14%3a28%3a57%26filteringState%3d1%26sortingState%3dLastModifiedDESC%26showAdvancedSearch%3dTrue%26showAdvancedSearchFields%3dTrue%26advSrchFolderCode%3dALL%26selectedDossier%3dCO1.BDOS.6690717%26selectedRequest%3dCO1.REQ.6818156%26&amp;prevCtxLbl=Procesos+de+la+Entidad+Estatal</t>
  </si>
  <si>
    <t>102-2024</t>
  </si>
  <si>
    <t>MARTÍNEZ VILLALBA GOMEZ ABOGADOS S.A.S.</t>
  </si>
  <si>
    <t>https://www.secop.gov.co/CO1BusinessLine/Tendering/ProcedureEdit/View?docUniqueIdentifier=CO1.REQ.6854219&amp;prevCtxUrl=https%3a%2f%2fwww.secop.gov.co%2fCO1BusinessLine%2fTendering%2fBuyerDossierWorkspace%2fIndex%3fallWords2Search%3d102-2024%26createDateFrom%3d07%2f04%2f2024+19%3a27%3a44%26createDateTo%3d07%2f10%2f2024+19%3a27%3a44%26filteringState%3d1%26sortingState%3dLastModifiedDESC%26showAdvancedSearch%3dFalse%26showAdvancedSearchFields%3dFalse%26folderCode%3dALL%26selectedDossier%3dCO1.BDOS.6726301%26selectedRequest%3dCO1.REQ.6854219%26&amp;prevCtxLbl=Procesos+de+la+Entidad+Estatal</t>
  </si>
  <si>
    <t>103-2024</t>
  </si>
  <si>
    <t>OSPINA ZAMORA &amp; ASOCIADOS S.A.S.</t>
  </si>
  <si>
    <t>https://www.secop.gov.co/CO1BusinessLine/Tendering/ProcedureEdit/View?docUniqueIdentifier=CO1.REQ.6858379&amp;prevCtxUrl=https%3a%2f%2fwww.secop.gov.co%2fCO1BusinessLine%2fTendering%2fBuyerDossierWorkspace%2fIndex%3fallWords2Search%3d103-2024%26createDateFrom%3d07%2f04%2f2024+19%3a32%3a48%26createDateTo%3d07%2f10%2f2024+19%3a32%3a48%26filteringState%3d1%26sortingState%3dLastModifiedDESC%26showAdvancedSearch%3dFalse%26showAdvancedSearchFields%3dFalse%26folderCode%3dALL%26selectedDossier%3dCO1.BDOS.6730320%26selectedRequest%3dCO1.REQ.6858379%26&amp;prevCtxLbl=Procesos+de+la+Entidad+Estatal</t>
  </si>
  <si>
    <t>104-2024</t>
  </si>
  <si>
    <t>SANCLEMENTE JURÍDICO S.A.S.</t>
  </si>
  <si>
    <t>https://www.secop.gov.co/CO1BusinessLine/Tendering/ProcedureEdit/View?docUniqueIdentifier=CO1.REQ.6858731&amp;prevCtxUrl=https%3a%2f%2fwww.secop.gov.co%2fCO1BusinessLine%2fTendering%2fBuyerDossierWorkspace%2fIndex%3fallWords2Search%3d104-2024%26createDateFrom%3d07%2f04%2f2024+19%3a33%3a26%26createDateTo%3d07%2f10%2f2024+19%3a33%3a26%26filteringState%3d1%26sortingState%3dLastModifiedDESC%26showAdvancedSearch%3dFalse%26showAdvancedSearchFields%3dFalse%26folderCode%3dALL%26selectedDossier%3dCO1.BDOS.6730251%26selectedRequest%3dCO1.REQ.6858731%26&amp;prevCtxLbl=Procesos+de+la+Entidad+Estatal</t>
  </si>
  <si>
    <t>105-2024</t>
  </si>
  <si>
    <t>OLFA MARÍA PÉREZ ORELLANOS E HIJOS ABOGADOS S.A.S.</t>
  </si>
  <si>
    <t>https://www.secop.gov.co/CO1BusinessLine/Tendering/ProcedureEdit/View?docUniqueIdentifier=CO1.REQ.6854565&amp;prevCtxUrl=https%3a%2f%2fwww.secop.gov.co%2fCO1BusinessLine%2fTendering%2fBuyerDossierWorkspace%2fIndex%3fallWords2Search%3d105-2024%26createDateFrom%3d07%2f04%2f2024+19%3a30%3a34%26createDateTo%3d07%2f10%2f2024+19%3a30%3a34%26filteringState%3d1%26sortingState%3dLastModifiedDESC%26showAdvancedSearch%3dFalse%26showAdvancedSearchFields%3dFalse%26folderCode%3dALL%26selectedDossier%3dCO1.BDOS.6726386%26selectedRequest%3dCO1.REQ.6854565%26&amp;prevCtxLbl=Procesos+de+la+Entidad+Estatal</t>
  </si>
  <si>
    <t>106-2024</t>
  </si>
  <si>
    <t>GIRALDO DUQUE AND PARTNEES S.A.S.</t>
  </si>
  <si>
    <t>https://community.secop.gov.co/Public/Tendering/ContractNoticePhases/View?PPI=CO1.PPI.34787347&amp;isFromPublicArea=True&amp;isModal=False</t>
  </si>
  <si>
    <t>6364
7119</t>
  </si>
  <si>
    <t>107-2024</t>
  </si>
  <si>
    <t>900856769-3</t>
  </si>
  <si>
    <t>JUAN CAMILO ARANGO RÍOS ABOGADOS S.A.S.</t>
  </si>
  <si>
    <t>OTROSÍ N°1 Prórroga y adicional (30/04/2025).</t>
  </si>
  <si>
    <t>https://community.secop.gov.co/Public/Tendering/ContractNoticePhases/View?PPI=CO1.PPI.34771905&amp;isFromPublicArea=True&amp;isModal=False</t>
  </si>
  <si>
    <t>108-2024</t>
  </si>
  <si>
    <t>mantenimiento técnico preventivo y correctivo una (1) vez al mes para los dos (2) ascensores ubicados en el edificio de Casa Matriz calle 57 No. 9-07 de la ciudad de Bogotá.</t>
  </si>
  <si>
    <t>OTIS ELEVATOR COMPANY COLOMBIA S.A.S</t>
  </si>
  <si>
    <t>https://www.secop.gov.co/CO1BusinessLine/Tendering/ProcedureEdit/View?docUniqueIdentifier=CO1.REQ.6775836&amp;prevCtxUrl=https%3a%2f%2fwww.secop.gov.co%2fCO1BusinessLine%2fTendering%2fBuyerDossierWorkspace%2fIndex%3fallWords2Search%3d108-2024%26createDateFrom%3d07%2f04%2f2024+14%3a14%3a52%26createDateTo%3d07%2f10%2f2024+14%3a14%3a52%26filteringState%3d1%26sortingState%3dLastModifiedDESC%26showAdvancedSearch%3dTrue%26showAdvancedSearchFields%3dTrue%26advSrchFolderCode%3dALL%26selectedDossier%3dCO1.BDOS.6648284%26selectedRequest%3dCO1.REQ.6775836%26&amp;prevCtxLbl=Procesos+de+la+Entidad+Estatal</t>
  </si>
  <si>
    <t>109-2024</t>
  </si>
  <si>
    <t>servicio de cálculo actuarial de pensiones bajo las normas NIIF y norma local colombiana, realizar el cálculo de beneficios post empleo, diligenciamiento de la proforma respectiva de la SFC, entregar el detalle del cálculo para informes contables de la compañía y elaborar las respuestas a posibles requerimientos.</t>
  </si>
  <si>
    <t>https://www.secop.gov.co/CO1BusinessLine/Tendering/ProcedureEdit/View?docUniqueIdentifier=CO1.REQ.6777761&amp;prevCtxUrl=https%3a%2f%2fwww.secop.gov.co%2fCO1BusinessLine%2fTendering%2fBuyerDossierWorkspace%2fIndex%3fallWords2Search%3d109-2024%26createDateFrom%3d07%2f04%2f2024+14%3a17%3a25%26createDateTo%3d07%2f10%2f2024+14%3a17%3a25%26filteringState%3d1%26sortingState%3dLastModifiedDESC%26showAdvancedSearch%3dTrue%26showAdvancedSearchFields%3dTrue%26advSrchFolderCode%3dALL%26selectedDossier%3dCO1.BDOS.6650816%26selectedRequest%3dCO1.REQ.6777761%26&amp;prevCtxLbl=Procesos+de+la+Entidad+Estatal</t>
  </si>
  <si>
    <t>111-2024</t>
  </si>
  <si>
    <t>prestar el servicio de análisis dieléctrico, fisicoquímico, cromatográfico de gases, furanos y PCB´s a los transformadores eléctricos y monitoreo en línea para determinar parámetros de calidad de energía de asegurados asignados por LA PREVISORA S.A.</t>
  </si>
  <si>
    <t>https://www.secop.gov.co/CO1BusinessLine/Tendering/ProcedureEdit/View?ProfileName=CCE-11-Procedimiento_Publicidad&amp;PPI=CO1.PPI.32055759&amp;DocUniqueName=Consulta&amp;DocTypeName=NextWay.Entities.Marketplace.Tendering.ProcedureRequest&amp;ProfileVersion=12&amp;DocUniqueIdentifier=CO1.REQ.6300131&amp;prevCtxUrl=https%3a%2f%2fwww.secop.gov.co%2fCO1BusinessLine%2fTendering%2fBuyerWorkArea%2fIndex%3fDocUniqueIdentifier%3dCO1.BDOS.6177521&amp;prevCtxLbl=&amp;Messages=Publicado%20|Success</t>
  </si>
  <si>
    <t>112-2024</t>
  </si>
  <si>
    <t>https://community.secop.gov.co/Public/Tendering/ContractNoticePhases/View?PPI=CO1.PPI.34768907&amp;isFromPublicArea=True&amp;isModal=False</t>
  </si>
  <si>
    <t>113-2024</t>
  </si>
  <si>
    <t>servicios profesionales para actuar como asesor de la Junta Directiva de LA PREVISORA S.A. para los asuntos jurídicos en relación con el modelo de gobernanza de la entidad, su integración al Grupo Bicentenario y otros asuntos que puedan surgir en el curso de las sesiones de dicho órgano de administración.</t>
  </si>
  <si>
    <t>SEBASTIAN ECHEVERRI ALVAREZ</t>
  </si>
  <si>
    <t>https://community.secop.gov.co/Public/Tendering/ContractNoticePhases/View?PPI=CO1.PPI.38831703&amp;isFromPublicArea=True&amp;isModal=False</t>
  </si>
  <si>
    <t>114-2024</t>
  </si>
  <si>
    <t>https://www.secop.gov.co/CO1BusinessLine/Tendering/ProcedureEdit/View?docUniqueIdentifier=CO1.REQ.6818125&amp;prevCtxUrl=https%3a%2f%2fwww.secop.gov.co%2fCO1BusinessLine%2fTendering%2fBuyerDossierWorkspace%2fIndex%3fallWords2Search%3d114-2024%26createDateFrom%3d07%2f04%2f2024+14%3a27%3a30%26createDateTo%3d07%2f10%2f2024+14%3a27%3a30%26filteringState%3d1%26sortingState%3dLastModifiedDESC%26showAdvancedSearch%3dTrue%26showAdvancedSearchFields%3dTrue%26advSrchFolderCode%3dALL%26selectedDossier%3dCO1.BDOS.6690468%26selectedRequest%3dCO1.REQ.6818125%26&amp;prevCtxLbl=Procesos+de+la+Entidad+Estatal</t>
  </si>
  <si>
    <t>115-2024</t>
  </si>
  <si>
    <t>prestar sus servicios como entrenador para los equipos de voleibol de LA PREVISORA S.A.,</t>
  </si>
  <si>
    <t>1019148356</t>
  </si>
  <si>
    <t>SERGIO MOLINA MURCIA</t>
  </si>
  <si>
    <t>https://www.secop.gov.co/CO1BusinessLine/Tendering/ProcedureEdit/View?ProfileName=CCE-11-Procedimiento_Publicidad&amp;PPI=CO1.PPI.34412631&amp;DocUniqueName=Consulta&amp;DocTypeName=NextWay.Entities.Marketplace.Tendering.ProcedureRequest&amp;ProfileVersion=12&amp;DocUniqueIdentifier=CO1.REQ.6860578&amp;prevCtxUrl=https%3a%2f%2fwww.secop.gov.co%2fCO1BusinessLine%2fTendering%2fBuyerWorkArea%2fIndex%3fDocUniqueIdentifier%3dCO1.BDOS.6732048&amp;prevCtxLbl=&amp;Messages=Publicado%20|Success</t>
  </si>
  <si>
    <t>117-2024</t>
  </si>
  <si>
    <t>Prestar los servicios de asistencia de automóviles domiciliaria y personas para los asegurados de LA PREVISORA S.A.</t>
  </si>
  <si>
    <t>901829024-4</t>
  </si>
  <si>
    <t>UNIÓN TEMPORAL IKE CAMARCA</t>
  </si>
  <si>
    <t>Línea Asistencia Domiciliaria: 68%
Línea Automóviles: 79%
Línea Personas: 70.95%</t>
  </si>
  <si>
    <t>Línea Asistencia Domiciliaria: 68%
Línea Automóviles 69%
Línea Personas: 70.95%</t>
  </si>
  <si>
    <t>Línea Asistencia Domiciliaria: $14.113.121.094 valores sin IVA
Líne Automóviles: $33,851,392,038 incluido IVA
Línea Asistencia Domiciliaria:  $62,442,181 incluido IVA</t>
  </si>
  <si>
    <t>https://www.secop.gov.co/CO1BusinessLine/Tendering/ProcedureEdit/View?docUniqueIdentifier=CO1.REQ.6549807&amp;prevCtxUrl=https%3a%2f%2fwww.secop.gov.co%2fCO1BusinessLine%2fTendering%2fBuyerDossierWorkspace%2fIndex%3fallWords2Search%3d117-2024%26createDateFrom%3d03%2f04%2f2024+22%3a02%3a22%26createDateTo%3d03%2f10%2f2024+22%3a02%3a22%26filteringState%3d1%26sortingState%3dLastModifiedDESC%26showAdvancedSearch%3dFalse%26showAdvancedSearchFields%3dFalse%26folderCode%3dALL%26selectedDossier%3dCO1.BDOS.6424423%26selectedRequest%3dCO1.REQ.6549807%26&amp;prevCtxLbl=Procesos+de+la+Entidad+Estatal</t>
  </si>
  <si>
    <t>118-2024</t>
  </si>
  <si>
    <t>Representar en calidad tanto activa como pasiva a LA PREVISORA S.A. en los procesos judiciales, pre-judiciales, de responsabilidad fiscal, procedimientos administrativos, arbitramentos y en general en todo tipo de litigio o procedimiento encomendado, dentro del marco de las actividades relacionadas con la vicepresidencia jurídica.</t>
  </si>
  <si>
    <t>901635844-3</t>
  </si>
  <si>
    <t>REX LEGAL ABOGADOS ASESORES S.A.S.</t>
  </si>
  <si>
    <t>https://community.secop.gov.co/Public/Tendering/ContractNoticePhases/View?PPI=CO1.PPI.33580943&amp;isFromPublicArea=True&amp;isModal=False</t>
  </si>
  <si>
    <t>120-2024</t>
  </si>
  <si>
    <t>https://community.secop.gov.co/Public/Tendering/ContractNoticePhases/View?PPI=CO1.PPI.34767510&amp;isFromPublicArea=True&amp;isModal=False</t>
  </si>
  <si>
    <t>6323
6962</t>
  </si>
  <si>
    <t>126-2024</t>
  </si>
  <si>
    <t xml:space="preserve">Suministro de personal temporal en misión, con el fin de cubrir los reemplazos de los funcionarios de LA PREVISORA S.A., que se encuentren en vacaciones, en uso de licencia de maternidad, en incapacidad por enfermedad o por incrementos en la producción y/o en los demás casos descritos en la ley. </t>
  </si>
  <si>
    <t>900959987-5</t>
  </si>
  <si>
    <t xml:space="preserve">TEMPOTRABAJO S.A.S. </t>
  </si>
  <si>
    <t xml:space="preserve">OTROSÍ N°1 del 12/03/2025 Próroga y adicional. </t>
  </si>
  <si>
    <t>https://www.secop.gov.co/CO1BusinessLine/Tendering/ProcedureEdit/Update?DocUniqueIdentifier=CO1.REQ.6648086</t>
  </si>
  <si>
    <t>6419 / 7623</t>
  </si>
  <si>
    <t>130-2024</t>
  </si>
  <si>
    <t>Realizar la georreferenciación de los riesgos que indique LA PREVISORA S.A. garantizando el cumplimiento a lo establecido en el Decreto 4865 de 2011 emitido por el Ministerio de Hacienda y Crédito Público.</t>
  </si>
  <si>
    <t>901147699-8</t>
  </si>
  <si>
    <t>CAMPOS TERREMOTO SAS</t>
  </si>
  <si>
    <t>OTROSÍ N°1 Prórroga del 23/12/2025.</t>
  </si>
  <si>
    <t>https://www.secop.gov.co/CO1BusinessLine/Tendering/ProcedureEdit/Update?DocUniqueIdentifier=CO1.REQ.6674663</t>
  </si>
  <si>
    <t>132-2024</t>
  </si>
  <si>
    <t>Contratar los servicios especializados para realizar la optimización, y puesta a punto de las automatizaciones existentes desarrolladas sobre la herramienta Rocketbot.</t>
  </si>
  <si>
    <t>https://www.secop.gov.co/CO1BusinessLine/Tendering/ProcedureEdit/View?ProfileName=CCE-11-Procedimiento_Publicidad&amp;PPI=CO1.PPI.34452705&amp;DocUniqueName=Consulta&amp;DocTypeName=NextWay.Entities.Marketplace.Tendering.ProcedureRequest&amp;ProfileVersion=12&amp;DocUniqueIdentifier=CO1.REQ.6869994&amp;prevCtxUrl=https%3a%2f%2fwww.secop.gov.co%2fCO1BusinessLine%2fTendering%2fBuyerWorkArea%2fIndex%3fDocUniqueIdentifier%3dCO1.BDOS.6741484&amp;prevCtxLbl=&amp;Messages=Publicado%20|Success</t>
  </si>
  <si>
    <t>136-2024</t>
  </si>
  <si>
    <t>https://community.secop.gov.co/Public/Tendering/ContractNoticePhases/View?PPI=CO1.PPI.35538827&amp;isFromPublicArea=True&amp;isModal=False</t>
  </si>
  <si>
    <t>137-2024</t>
  </si>
  <si>
    <t>https://www.secop.gov.co/CO1BusinessLine/Tendering/ProcedureEdit/View?ProfileName=CCE-11-Procedimiento_Publicidad&amp;PPI=CO1.PPI.34478919&amp;DocUniqueName=Consulta&amp;DocTypeName=NextWay.Entities.Marketplace.Tendering.ProcedureRequest&amp;ProfileVersion=12&amp;DocUniqueIdentifier=CO1.REQ.6877156&amp;prevCtxUrl=https%3a%2f%2fwww.secop.gov.co%2fCO1BusinessLine%2fTendering%2fBuyerWorkArea%2fIndex%3fDocUniqueIdentifier%3dCO1.BDOS.6748282&amp;prevCtxLbl=&amp;Messages=Publicado%20|Success</t>
  </si>
  <si>
    <t>139-2024</t>
  </si>
  <si>
    <t>https://community.secop.gov.co/Public/Tendering/ContractNoticePhases/View?PPI=CO1.PPI.35082933&amp;isFromPublicArea=True&amp;isModal=False</t>
  </si>
  <si>
    <t>6455 - 6558</t>
  </si>
  <si>
    <t>140-2024</t>
  </si>
  <si>
    <t>Adquisición de la herramienta tecnológica “RMS RiskLink” para la estimación de perdidas o modelos catastróficos en el ramo de terremoto.</t>
  </si>
  <si>
    <t>770223411-</t>
  </si>
  <si>
    <t>RISK MANAGEMENT SOLUTIONS, INC</t>
  </si>
  <si>
    <t>OTROSÍ N° 1 modificación Parágrafo Segundo de Pago 16/08/2024.</t>
  </si>
  <si>
    <t>https://www.secop.gov.co/CO1BusinessLine/Tendering/ProcedureEdit/View?ProfileName=CCE-11-Procedimiento_Publicidad&amp;PPI=CO1.PPI.37504763&amp;DocUniqueName=Consulta&amp;DocTypeName=NextWay.Entities.Marketplace.Tendering.ProcedureRequest&amp;ProfileVersion=12&amp;DocUniqueIdentifier=CO1.REQ.7756462&amp;prevCtxUrl=https%3a%2f%2fwww.secop.gov.co%2fCO1BusinessLine%2fTendering%2fBuyerWorkArea%2fIndex%3fDocUniqueIdentifier%3dCO1.BDOS.7621085&amp;prevCtxLbl=&amp;Messages=Publicado%20|Success</t>
  </si>
  <si>
    <t>141-2024</t>
  </si>
  <si>
    <t>DIAZ GRANADOS &amp; ABOGADOS CONSULTORES S.A.S.</t>
  </si>
  <si>
    <t>https://www.secop.gov.co/CO1BusinessLine/Tendering/ProcedureEdit/View?ProfileName=CCE-11-Procedimiento_Publicidad&amp;PPI=CO1.PPI.34464666&amp;DocUniqueName=Consulta&amp;DocTypeName=NextWay.Entities.Marketplace.Tendering.ProcedureRequest&amp;ProfileVersion=12&amp;DocUniqueIdentifier=CO1.REQ.6873763&amp;prevCtxUrl=https%3a%2f%2fwww.secop.gov.co%2fCO1BusinessLine%2fTendering%2fBuyerWorkArea%2fIndex%3fDocUniqueIdentifier%3dCO1.BDOS.6745095&amp;prevCtxLbl=&amp;Messages=Publicado%20|Success</t>
  </si>
  <si>
    <t>144-2024</t>
  </si>
  <si>
    <t>30 OTROS / OUTSOURCING ASEO, CAFETERÍA</t>
  </si>
  <si>
    <t>Prestación de los servicios integrales de aseo, limpieza, desinfección y cafetería a nivel nacional, y el servicio de mantenimiento a través de operarios (toderos) para casa matriz en Bogotá, bajo la modalidad de outsourcing.</t>
  </si>
  <si>
    <t>804016472-1</t>
  </si>
  <si>
    <t xml:space="preserve">AMERICANA DE SERVICIOS LTDA </t>
  </si>
  <si>
    <t>https://community.secop.gov.co/Public/Tendering/ContractNoticePhases/View?PPI=CO1.PPI.34792143&amp;isFromPublicArea=True&amp;isModal=False</t>
  </si>
  <si>
    <t>147-2024</t>
  </si>
  <si>
    <t>VELEZ GUTIERREZ ABOGADOS SAS</t>
  </si>
  <si>
    <t>https://www.secop.gov.co/CO1BusinessLine/Tendering/ProcedureEdit/View?ProfileName=CCE-11-Procedimiento_Publicidad&amp;PPI=CO1.PPI.34528094&amp;DocUniqueName=Consulta&amp;DocTypeName=NextWay.Entities.Marketplace.Tendering.ProcedureRequest&amp;ProfileVersion=12&amp;DocUniqueIdentifier=CO1.REQ.6888974&amp;prevCtxUrl=https%3a%2f%2fwww.secop.gov.co%2fCO1BusinessLine%2fTendering%2fBuyerWorkArea%2fIndex%3fDocUniqueIdentifier%3dCO1.BDOS.6760347&amp;prevCtxLbl=&amp;Messages=Publicado%20|Success</t>
  </si>
  <si>
    <t>Gerencia de Negocios Estatales
Gerencia de Contratacion</t>
  </si>
  <si>
    <t>6420 / 6856
7508</t>
  </si>
  <si>
    <t>159-2024</t>
  </si>
  <si>
    <t>Prestación de servicios profesionales de asesoría jurídica en contratación estatal y privada.</t>
  </si>
  <si>
    <t>900084759-6</t>
  </si>
  <si>
    <t>DE VIVERO &amp; ASOCIADOS SAS</t>
  </si>
  <si>
    <t>Otrosí N° 1 Prórroga del 31/12/2024.
OTROSÍ N°2 Prórroga y Adición del 16/12/2025</t>
  </si>
  <si>
    <t>https://community.secop.gov.co/Public/Tendering/ContractNoticePhases/View?PPI=CO1.PPI.35537448&amp;isFromPublicArea=True&amp;isModal=False</t>
  </si>
  <si>
    <t>160-2024</t>
  </si>
  <si>
    <t>Prestación de servicios profesionales de peritaje especializado de daños que sufran y/o causen los vehículos y/o bicicletas que conforman el parque automotor asegurado por La Previsora y que afecten las pólizas expedidas bajo el ramo de automóviles (incluye todos los amparos).</t>
  </si>
  <si>
    <t>COMPAÑÍA COLOMBIANA DE SERVICIO AUTOMOTRIZ S.A. COLSERAUTO S.A.</t>
  </si>
  <si>
    <t>https://community.secop.gov.co/Public/Tendering/ContractNoticePhases/View?PPI=CO1.PPI.34758153&amp;isFromPublicArea=True&amp;isModal=False</t>
  </si>
  <si>
    <t>161-2024</t>
  </si>
  <si>
    <t>Prestar los servicios especializados sobre la plataforma de Sistema Gestor de Identidades para la actualización integración soporte y mantenimiento a la plataforma de Oracle Identity Governance.</t>
  </si>
  <si>
    <t>SOAIN SOFTWARE ASSOCIATES S A S</t>
  </si>
  <si>
    <t>https://www.secop.gov.co/CO1BusinessLine/Tendering/ProcedureEdit/View?docUniqueIdentifier=CO1.REQ.6970599&amp;prevCtxUrl=https%3a%2f%2fwww.secop.gov.co%2fCO1BusinessLine%2fTendering%2fBuyerDossierWorkspace%2fIndex%3fcreateDateFrom%3d07%2f04%2f2024+21%3a11%3a58%26createDateTo%3d07%2f10%2f2024+21%3a11%3a58%26filteringState%3d1%26sortingState%3dLastModifiedDESC%26showAdvancedSearch%3dFalse%26showAdvancedSearchFields%3dFalse%26folderCode%3dALL%26selectedDossier%3dCO1.BDOS.6841357%26selectedRequest%3dCO1.REQ.6970599%26&amp;prevCtxLbl=Procesos+de+la+Entidad+Estatal</t>
  </si>
  <si>
    <t>162-2024</t>
  </si>
  <si>
    <t>Prestar los servicios profesionales para la renovación de LEI (por sus siglas en inglés, "LEGAL ENTITY IDENTIFIER")</t>
  </si>
  <si>
    <t>https://community.secop.gov.co/Public/Tendering/ContractNoticePhases/View?PPI=CO1.PPI.34859778&amp;isFromPublicArea=True&amp;isModal=False</t>
  </si>
  <si>
    <t>164-2024</t>
  </si>
  <si>
    <t xml:space="preserve">Representar en calidad tanto activa como pasiva a LA PREVISORA S.A. en los procesos judiciales, pre-judiciales, de responsabilidad fiscal, procedimientos administrativos, arbitramentos y en general en todo tipo de litigio o procedimiento encomendado, dentro del marco de las competencias de la vicepresidencia jurídica. </t>
  </si>
  <si>
    <t>CUADRO &amp; ESPINOSA GROUP S.A.S.</t>
  </si>
  <si>
    <t>https://www.secop.gov.co/CO1BusinessLine/Tendering/ProcedureEdit/Update?DocUniqueIdentifier=CO1.REQ.6679154</t>
  </si>
  <si>
    <t>166-2024</t>
  </si>
  <si>
    <t>Prestar los servicios de Revisoría Fiscal a LA PREVISORA S.A. conforme con las normas legales vigentes aplicables a LA PREVISORA S.A., en especial las previstas en el artículo 207 del Código de Comercio, Estatuto Orgánico del Sistema Financiero, Circular Externa 029 de 2014 (Circular Básica Jurídica).</t>
  </si>
  <si>
    <t>860600063-9</t>
  </si>
  <si>
    <t>BDO AUDIT S.A.S. BIC</t>
  </si>
  <si>
    <t>https://www.secop.gov.co/CO1BusinessLine/Tendering/ProcedureEdit/View?docUniqueIdentifier=CO1.REQ.6880306&amp;prevCtxUrl=https%3a%2f%2fwww.secop.gov.co%2fCO1BusinessLine%2fTendering%2fBuyerDossierWorkspace%2fIndex%3fallWords2Search%3d166-2024%26createDateFrom%3d08%2f04%2f2024+13%3a56%3a36%26createDateTo%3d08%2f10%2f2024+13%3a56%3a36%26filteringState%3d1%26sortingState%3dLastModifiedDESC%26showAdvancedSearch%3dFalse%26showAdvancedSearchFields%3dFalse%26folderCode%3dALL%26selectedDossier%3dCO1.BDOS.6751323%26selectedRequest%3dCO1.REQ.6880306%26&amp;prevCtxLbl=Procesos+de+la+Entidad+Estatal</t>
  </si>
  <si>
    <t>6485 - 6816</t>
  </si>
  <si>
    <t>169-2024</t>
  </si>
  <si>
    <t>Consultoría para gestionar la reputación corporativa, partiendo de la identificación, priorización de los diferentes grupos de interés, valoración de los riesgos reputacionales, cuantificación del índice reputacional y plan de implementación.</t>
  </si>
  <si>
    <t>800011951-9</t>
  </si>
  <si>
    <t>CENTRO NACIONAL DE CONSULTORIA S.A.</t>
  </si>
  <si>
    <t>Otrosí N°1 Prórroga 30/12/2024.</t>
  </si>
  <si>
    <t>https://community.secop.gov.co/Public/Tendering/ContractNoticePhases/View?PPI=CO1.PPI.34872325&amp;isFromPublicArea=True&amp;isModal=False</t>
  </si>
  <si>
    <t>170-2024</t>
  </si>
  <si>
    <t>Servicio de una plataforma WEB para uso ilimitado de los módulos de competencias, desempeño por objetivos, tareas, análisis de potencial, volatilidad, planes de desarrollo, clima organizacional, organigrama, perfiles de cargo, criticidad de cargos y planes de sucesión, dotaciones, hojas de vida e incluido el servicio de hosting.</t>
  </si>
  <si>
    <t>900643769-9</t>
  </si>
  <si>
    <t>ELECCION CONFIABLE SAS</t>
  </si>
  <si>
    <t>https://community.secop.gov.co/Public/Tendering/ContractNoticePhases/View?PPI=CO1.PPI.34741568&amp;isFromPublicArea=True&amp;isModal=False</t>
  </si>
  <si>
    <t>172-2024</t>
  </si>
  <si>
    <t xml:space="preserve">suministro y la distribución continua de herramientas, materiales de construcción, materiales eléctricos y de ferretería en las cantidades y especificaciones que le sean requeridas </t>
  </si>
  <si>
    <t>52972379</t>
  </si>
  <si>
    <t>CATTERINE JULIETH TOVAR ANGULO</t>
  </si>
  <si>
    <t>https://community.secop.gov.co/Public/Tendering/ContractNoticePhases/View?PPI=CO1.PPI.37420067&amp;isFromPublicArea=True&amp;isModal=False</t>
  </si>
  <si>
    <t>6496
7428</t>
  </si>
  <si>
    <t>176-2024</t>
  </si>
  <si>
    <t>Renovar el licenciamiento para uso de la plataforma SALESFORCE.COM de productos Force.com- Enterprise Edition (Enterprise Applications), Sales Cloud Lightning CRMEnterprise Edition (Spanish), Partner Community Members y Data Storage (10 GB), con el fin que LA PREVISORA S.A. de cumplimiento a la protección de derechos de propiedad intelectual.</t>
  </si>
  <si>
    <t>900858967-4</t>
  </si>
  <si>
    <t>QUANTICS SAS</t>
  </si>
  <si>
    <t>Acta Modificatoria y/o Aclaratoria del Contrato firmada el 28/10/2025
OTROSÍ N°1 MDF Claúsula Forma de Pago del 30/10/2025</t>
  </si>
  <si>
    <t>https://community.secop.gov.co/Public/Tendering/ContractNoticePhases/View?PPI=CO1.PPI.34862265&amp;isFromPublicArea=True&amp;isModal=False</t>
  </si>
  <si>
    <t>177-2024</t>
  </si>
  <si>
    <t>servicios profesionales de peritaje especializado de daños que sufran y/o causen los vehículos y/o bicicletas que conforman el parque automotor asegurado por LA PREVISORA S.A. y que afecten las pólizas expedidas bajo el ramo de automóviles (incluye todos los amparos).</t>
  </si>
  <si>
    <t>https://community.secop.gov.co/Public/Tendering/ContractNoticePhases/View?PPI=CO1.PPI.34891060&amp;isFr</t>
  </si>
  <si>
    <t>178-2024</t>
  </si>
  <si>
    <t>servicio de mantenimiento, soporte técnico, capacitación y desarrollos de la plataforma ISOLUCION.</t>
  </si>
  <si>
    <t>ISOLUCION SISTEMAS INTEGRADOS DE GESTION S.A.</t>
  </si>
  <si>
    <t>https://community.secop.gov.co/Public/Tendering/ContractNoticePhases/View?PPI=CO1.PPI.37454663&amp;isFromPublicArea=True&amp;isModal=False</t>
  </si>
  <si>
    <t>184-2024</t>
  </si>
  <si>
    <t>Prestación de servicios profesionales para la revisión anual de la calificación de “Fortaleza Financiera” de LA PREVISORA S.A.</t>
  </si>
  <si>
    <t>FITCH RATINGS COLOMBIA S.A. SOCIEDA CALIFICADORA DE VALORES</t>
  </si>
  <si>
    <t>https://community.secop.gov.co/Public/Tendering/ContractNoticePhases/View?PPI=CO1.PPI.34712065&amp;isFromPublicArea=True&amp;isModal=False</t>
  </si>
  <si>
    <t>6491
7392</t>
  </si>
  <si>
    <t>185-2024</t>
  </si>
  <si>
    <t>servicios renovación del licenciamiento de la plataforma de modelamiento ERWIN EVOLVE, y los servicios de diseño, construcción, soporte y mantenimiento de los componentes de arquitectura que conforman el metamodelo y repositorio de la arquitectura empresarial de LA PREVISORA S.A.</t>
  </si>
  <si>
    <t>900150121-0</t>
  </si>
  <si>
    <t>MANAGEMENT AND QUALITY S.A.S.</t>
  </si>
  <si>
    <t>OTROSÍ N°1 Adicional del 26/09/2025</t>
  </si>
  <si>
    <t>https://community.secop.gov.co/Public/Tendering/ContractNoticePhases/View?PPI=CO1.PPI.35083438&amp;isFromPublicArea=True&amp;isModal=False</t>
  </si>
  <si>
    <t>186-2024</t>
  </si>
  <si>
    <t xml:space="preserve">servicios para la implementación de los módulos y actividades priorizadas derivadas del diagnóstico de la Ruta Estratégica de Innovación para LA PREVISORA S.A., que fortalezca las capacidades en la aplicación de herramientas metodológicas y apropie el fomento de concomimiento interno en creatividad e innovación. </t>
  </si>
  <si>
    <t>901784221-3</t>
  </si>
  <si>
    <t>INNSTINTO S.A.S</t>
  </si>
  <si>
    <t>https://community.secop.gov.co/Public/Tendering/ContractNoticePhases/View?PPI=CO1.PPI.34703584&amp;isFromPublicArea=True&amp;isModal=False</t>
  </si>
  <si>
    <t>187-2024</t>
  </si>
  <si>
    <t>servicio de soporte, integración y mantenimiento de los micrositios y aplicativos integrados en el portal web www.previsora.gov.co, portal de proveedores, formulario de Autos, Formulario IPS y el Portal externo de Bancamía, incluyendo los mantenimientos evolutivos que se acuerden entre las partes.</t>
  </si>
  <si>
    <t>https://community.secop.gov.co/Public/Tendering/ContractNoticePhases/View?PPI=CO1.PPI.37461856&amp;isFromPublicArea=True&amp;isModal=False</t>
  </si>
  <si>
    <t>188-2024</t>
  </si>
  <si>
    <t xml:space="preserve">servicios de financiación de primas de seguros y gestión y administración de recuperación o cobro de cartera con el fin de facilitar a los tomadores y/o asegurados de LA PREVISORA S.A. la adquisición de los seguros comercializados por esta. </t>
  </si>
  <si>
    <t>800062782-9</t>
  </si>
  <si>
    <t>SERVIEFECTIVO S.A.S.</t>
  </si>
  <si>
    <t>https://community.secop.gov.co/Public/Tendering/ContractNoticePhases/View?PPI=CO1.PPI.34894359&amp;isFromPublicArea=True&amp;isModal=False</t>
  </si>
  <si>
    <t>190-2024</t>
  </si>
  <si>
    <t>servicio de inspección y certificación conforme a la legislación vigente, de conformidad con lo previsto en el Acuerdo 470 de 2011, la resolución 092 de 2012 de la Alcaldía Mayor de Bogotá y los requisitos establecidos en la Norma Técnica Colombiana NTC 5926 de 2014 de los transportes verticales y puertas eléctricas.</t>
  </si>
  <si>
    <t>INSPECCION Y CERTIFICACION MULTINACIONAL S.A.S</t>
  </si>
  <si>
    <t>https://community.secop.gov.co/Public/Tendering/ContractNoticePhases/View?PPI=CO1.PPI.34700442&amp;isFromPublicArea=True&amp;isModal=False</t>
  </si>
  <si>
    <t>Gerencia De Innovación Y Procesos 
Gerencia de Tecnología</t>
  </si>
  <si>
    <t>191-2024</t>
  </si>
  <si>
    <t>Suministrar el derecho que permita el uso de la herramienta Agility para el correcto funcionamiento y ejecución de los asistentes robóticos desarrollados e implementados en la plataforma provista por LA PREVISORA S.A.</t>
  </si>
  <si>
    <t>ENTERDEV S. A. S.</t>
  </si>
  <si>
    <t>https://community.secop.gov.co/Public/Tendering/ContractNoticePhases/View?PPI=CO1.PPI.34682413&amp;isFromPublicArea=True&amp;isModal=False</t>
  </si>
  <si>
    <t>195-2024</t>
  </si>
  <si>
    <t>Prestar el servicio de antivirus con tecnología XDR en solución SaaS.</t>
  </si>
  <si>
    <t>https://www.secop.gov.co/CO1BusinessLine/Tendering/ProcedureEdit/View?ProfileName=CCE-11-Procedimiento_Publicidad&amp;PPI=CO1.PPI.37479929&amp;DocUniqueName=Consulta&amp;DocTypeName=NextWay.Entities.Marketplace.Tendering.ProcedureRequest&amp;ProfileVersion=12&amp;DocUniqueIdentifier=CO1.REQ.7747891&amp;prevCtxUrl=https%3a%2f%2fwww.secop.gov.co%2fCO1BusinessLine%2fTendering%2fBuyerWorkArea%2fIndex%3fDocUniqueIdentifier%3dCO1.BDOS.7613182&amp;prevCtxLbl=&amp;Messages=Publicado%20|Success</t>
  </si>
  <si>
    <t>202-2024</t>
  </si>
  <si>
    <t>Realizar la renovación del licenciamiento de los módulos del Sistema SAS®, sumado a la prestación del servicio de soporte técnico brindar capacitación a los funcionarios que LA PREVISORA S.A. designe del curso denominado Workshop SAS® Office Analytics.</t>
  </si>
  <si>
    <t>830048654-5</t>
  </si>
  <si>
    <t>SAS INSTITUTE COLOMBIA S.A.S.</t>
  </si>
  <si>
    <t>https://www.secop.gov.co/CO1BusinessLine/Tendering/BuyerWorkArea/Index?docUniqueIdentifier=CO1.BDOS.7146626&amp;prevCtxUrl=https%3a%2f%2fwww.secop.gov.co%2fCO1BusinessLine%2fTendering%2fBuyerDossierWorkspace%2fIndex%3fcreateDateFrom%3d12%2f06%2f2024+15%3a08%3a06%26createDateTo%3d12%2f12%2f2024+15%3a08%3a06%26filteringState%3d1%26sortingState%3dLastModifiedDESC%26showAdvancedSearch%3dFalse%26showAdvancedSearchFields%3dFalse%26folderCode%3dALL%26selectedDossier%3dCO1.BDOS.7146626%26selectedRequest%3dCO1.REQ.7295633%26&amp;prevCtxLbl=Procesos+de+la+Entidad+Estatal</t>
  </si>
  <si>
    <t>206-2024</t>
  </si>
  <si>
    <t>Prestar el servicio de mantenimiento y soporte técnico al software ScoreBoard/QuickScore, incluyendo actualización y capacitación de nuevas de versiones.</t>
  </si>
  <si>
    <t>https://community.secop.gov.co/Public/Tendering/ContractNoticePhases/View?PPI=CO1.PPI.37470657&amp;isFromPublicArea=True&amp;isModal=False</t>
  </si>
  <si>
    <t>207-2024</t>
  </si>
  <si>
    <t>Servicio de consultoría para desarrollar el ejercicio de actualización y alineación estratégica teniendo en cuenta los cambios de entorno interno y externo, tendencias y mercado, con el objetivo de extender la hoja de ruta del Plan Estratégico al año 2026 y garantizar su concordancia con el Plan de Gobierno Nacional actual.</t>
  </si>
  <si>
    <t>https://community.secop.gov.co/Public/Tendering/ContractNoticePhases/View?PPI=CO1.PPI.37488379&amp;isFromPublicArea=True&amp;isModal=False</t>
  </si>
  <si>
    <t>208-2024</t>
  </si>
  <si>
    <t>Prestar el servicio de soporte, mantenimiento y desarrollo especializado de la herramienta SALESFORCE.COM incluido Analytics CRM y cualquier herramienta del paquete/Suite SALESFORCE.</t>
  </si>
  <si>
    <t>900376503-1</t>
  </si>
  <si>
    <t>VASS CONSULTORIA DE SISTEMAS COLOMBIA S.A.S</t>
  </si>
  <si>
    <t>https://community.secop.gov.co/Public/Tendering/ContractNoticePhases/View?PPI=CO1.PPI.38300933&amp;isFromPublicArea=True&amp;isModal=False</t>
  </si>
  <si>
    <t>209-2024</t>
  </si>
  <si>
    <t>30 OTROS / OUTSOURCING NÓMINA</t>
  </si>
  <si>
    <t>Prestar el servicio de liquidación de nómina y administración de personal de manera integral frente a los funcionarios de planta directa y los pensionados de la Compañía bajo la modalidad de Outsourcing In–House, brindando soporte legal, fiscal, contable, operativo y tecnológico al proceso.</t>
  </si>
  <si>
    <t>800233464-6</t>
  </si>
  <si>
    <t xml:space="preserve">UNION SOLUCIONES SISTEMAS DE INFORMACIÓN S.A.S </t>
  </si>
  <si>
    <t>https://community.secop.gov.co/Public/Tendering/ContractNoticePhases/View?PPI=CO1.PPI.40089133&amp;isFromPublicArea=True&amp;isModal=False</t>
  </si>
  <si>
    <t>6509
6926</t>
  </si>
  <si>
    <t>210-2024</t>
  </si>
  <si>
    <t xml:space="preserve">Prestar el servicio de adecuación integral de las oficinas de la sucursal Cúcuta </t>
  </si>
  <si>
    <t>900922612-9</t>
  </si>
  <si>
    <t xml:space="preserve">NORSAN GROUP S.A.S. </t>
  </si>
  <si>
    <t>OTROSÍ N°1 del 27/02/2025 prórroga.</t>
  </si>
  <si>
    <t>https://community.secop.gov.co/Public/Tendering/ContractNoticePhases/View?PPI=CO1.PPI.37422819&amp;isFromPublicArea=True&amp;isModal=False</t>
  </si>
  <si>
    <t>6600
7458</t>
  </si>
  <si>
    <t>212-2024</t>
  </si>
  <si>
    <t>Prestar sus servicios de envío de correo electrónico certificado incluido su soporte y mantenimiento</t>
  </si>
  <si>
    <t>CAMERFIRMA COLOMBIA SAS</t>
  </si>
  <si>
    <t>OTROSÍ N°1 Prórroga del 06/11/2025</t>
  </si>
  <si>
    <t>https://community.secop.gov.co/Public/Tendering/ContractNoticePhases/View?PPI=CO1.PPI.36076754&amp;isFromPublicArea=True&amp;isModal=False</t>
  </si>
  <si>
    <t>215-2024</t>
  </si>
  <si>
    <t>Representar en calidad tanto activa como pasiva a LA PREVISORA S.A. en las audiencias de procesos judiciales, pre-judiciales, de responsabilidad fiscal, procedimientos administrativos, arbitramentos y en general en todo tipo de litigio que se sean asignadas, dentro del marco de las actividades relacionadas con la vicepresidencia Jurídica y la gerencia de Litigios.</t>
  </si>
  <si>
    <t>900868119-8</t>
  </si>
  <si>
    <t>BM LAW &amp; BUSINESS SAS</t>
  </si>
  <si>
    <t>https://community.secop.gov.co/Public/Tendering/ContractNoticePhases/View?PPI=CO1.PPI.37759286&amp;isFromPublicArea=True&amp;isModal=False</t>
  </si>
  <si>
    <t>216-2024</t>
  </si>
  <si>
    <t>Prestará el servicio de custodia de valores, de conformidad con la Ley Aplicable, para los Activos Custodiados de propiedad del Custodiado.</t>
  </si>
  <si>
    <t>BNP PARIBAS SECURITIES SERVICES SOCIEDAD FIDUCIARIA SA</t>
  </si>
  <si>
    <t>https://community.secop.gov.co/Public/Tendering/ContractNoticePhases/View?PPI=CO1.PPI.37548876&amp;isFromPublicArea=True&amp;isModal=False</t>
  </si>
  <si>
    <t>217-2024</t>
  </si>
  <si>
    <t xml:space="preserve">Representar en calidad tanto activa como pasiva a LA PREVISORA S.A. en los procesos judiciales, prejudiciales, de responsabilidad fiscal, procedimientos administrativos, arbitramentos y en general en todo tipo de litigio o procedimiento encomendado, dentro del marco de las competencias de la Vicepresidencia Jurídica de La Previsora S.A. </t>
  </si>
  <si>
    <t>https://community.secop.gov.co/Public/Tendering/ContractNoticePhases/View?PPI=CO1.PPI.36958116&amp;isFromPublicArea=True&amp;isModal=False</t>
  </si>
  <si>
    <t>218-2024</t>
  </si>
  <si>
    <t xml:space="preserve">Prestar el servicio de licenciamiento, mantenimiento y actualización del Software Midas. </t>
  </si>
  <si>
    <t>HEINSOHN BUSINESS TECHNOLOGY S.A BIC</t>
  </si>
  <si>
    <t>La ejecución presupuestal no está al 100% debido a que se contaban con dos servicios, un pago fijo por mantenimiento de la herramienta y asesorias que se facturaban por demanda.</t>
  </si>
  <si>
    <t>https://community.secop.gov.co/Public/Tendering/ContractNoticePhases/View?PPI=CO1.PPI.37693523&amp;isFromPublicArea=True&amp;isModal=False</t>
  </si>
  <si>
    <t>219-2024</t>
  </si>
  <si>
    <t>Prestar  los servicios profesionales especializados en investigación de mercados y benchmarking a nivel nacional, bajo la modalidad de "bolsa de investigación".</t>
  </si>
  <si>
    <t>830067566-6</t>
  </si>
  <si>
    <t>GLOBAL RESEARCH ASOCIADOS S.A.S.</t>
  </si>
  <si>
    <t>https://community.secop.gov.co/Public/Tendering/ContractNoticePhases/View?PPI=CO1.PPI.35546446&amp;isFromPublicArea=True&amp;isModal=False</t>
  </si>
  <si>
    <t>223-2024</t>
  </si>
  <si>
    <t>Entrega en arrendamiento a EL ARRENDATARIO el uso y goce de la Oficina 404, ubicada en la Transversal 9 N° 55-97 Edificio VIMA de la ciudad de Bogotá D.C</t>
  </si>
  <si>
    <t>52644356</t>
  </si>
  <si>
    <t>VIVIANA VIGOYA OROZCO</t>
  </si>
  <si>
    <t>https://community.secop.gov.co/Public/Tendering/ContractNoticePhases/View?PPI=CO1.PPI.37694747&amp;isFromPublicArea=True&amp;isModal=False</t>
  </si>
  <si>
    <t>225-2024</t>
  </si>
  <si>
    <t>Construir y realizar la ejecución de un plan de medios que permita gestionar la reputación y posicionamiento de marca, generar un relacionamiento con diferentes líderes de opinión y dar a conocer los diferentes resultados, productos y servicios de la Compañía.</t>
  </si>
  <si>
    <t>900931381-0</t>
  </si>
  <si>
    <t>MEDIA PRINT SOLUTIONS SAS</t>
  </si>
  <si>
    <t>https://community.secop.gov.co/Public/Tendering/ContractNoticePhases/View?PPI=CO1.PPI.37555129&amp;isFromPublicArea=True&amp;isModal=False</t>
  </si>
  <si>
    <t>226-2024</t>
  </si>
  <si>
    <t>Servicio de consultoría, que logre identificar la herramienta tecnológica o Inteligencia Artificial adecuada, para dar apoyo automatizado en los procesos de cumplimiento normativo y requerimientos jurídicos.</t>
  </si>
  <si>
    <t>901456202-7</t>
  </si>
  <si>
    <t>JURIDICOS &amp; CONSULTORES ESPECIALIZADOS S.A.S</t>
  </si>
  <si>
    <t>https://community.secop.gov.co/Public/Tendering/ContractNoticePhases/View?PPI=CO1.PPI.37553662&amp;isFromPublicArea=True&amp;isModal=False</t>
  </si>
  <si>
    <t>227-2024</t>
  </si>
  <si>
    <t>SOLUCIONIS LEGAL S.A.S.</t>
  </si>
  <si>
    <t>https://community.secop.gov.co/Public/Tendering/ContractNoticePhases/View?PPI=CO1.PPI.37422477&amp;isFromPublicArea=True&amp;isModal=False</t>
  </si>
  <si>
    <t>229-2024</t>
  </si>
  <si>
    <t xml:space="preserve">suministrar la Suite de Licenciamiento de la herramienta de gestión de servicios tecnológicos de la mesa de servicio, instalación, parametrización, soporte y mantenimiento. </t>
  </si>
  <si>
    <t>https://community.secop.gov.co/Public/Tendering/ContractNoticePhases/View?PPI=CO1.PPI.37468898&amp;isFromPublicArea=True&amp;isModal=False</t>
  </si>
  <si>
    <t>230-2024</t>
  </si>
  <si>
    <t>Prestación del servicio de mantenimiento y soporte a los aplicativos LevinAssets (LA) y LevinAssets Mobile (LAM) y de equipos (dispositivos móviles) e Impresoras Zebra ZD 230, así como los servicios profesionales para usos múltiples.</t>
  </si>
  <si>
    <t>https://community.secop.gov.co/Public/Tendering/ContractNoticePhases/View?PPI=CO1.PPI.37414843&amp;isFromPublicArea=True&amp;isModal=False</t>
  </si>
  <si>
    <t>231-2024</t>
  </si>
  <si>
    <t>Prestar los servicios para el desarrollo, configuración e implementación de soluciones web en Salesforce,  para el cargue de documentos y la solicitud de cotizaciones de intermediarios de seguros.</t>
  </si>
  <si>
    <t>SISTEMAS COLOMBIA S A S</t>
  </si>
  <si>
    <t>https://community.secop.gov.co/Public/Tendering/ContractNoticePhases/View?PPI=CO1.PPI.37416519&amp;isFromPublicArea=True&amp;isModal=False</t>
  </si>
  <si>
    <t>232-2024</t>
  </si>
  <si>
    <t>Representar en calidad tanto activa como pasiva a LA PREVISORA
S.A. en los procesos judiciales, prejudiciales, de responsabilidad fiscal, procedimientos administrativos, arbitramentos y en general en todo tipo de litigio o procedimiento encomendado, dentro del marco de las actividades relacionadas con la Vicepresidencia Jurídica.</t>
  </si>
  <si>
    <t>901257964-7</t>
  </si>
  <si>
    <t>POSADA &amp; GUERRA ABOGADOS S.A.S.</t>
  </si>
  <si>
    <t>https://community.secop.gov.co/Public/Tendering/ContractNoticePhases/View?PPI=CO1.PPI.40596321&amp;isFromPublicArea=True&amp;isModal=False</t>
  </si>
  <si>
    <t>6658
7162</t>
  </si>
  <si>
    <t>234-2024</t>
  </si>
  <si>
    <t>Contratar los servicios de una firma especializada en la búsqueda y selección de talento humano, que cuente con reconocimiento y experiencia en la consecución, evaluación, selección y presentación de candidatos altamente calificados que cumplan con los requisitos de las vacantes de nivel directivo de la compañía y realizar los estudios de seguridad de los candidatos.</t>
  </si>
  <si>
    <t>OTROSÍ N°1 Prórroga y adicional del 30/05/2025</t>
  </si>
  <si>
    <t>https://community.secop.gov.co/Public/Tendering/ContractNoticePhases/View?PPI=CO1.PPI.37691277&amp;isFromPublicArea=True&amp;isModal=False</t>
  </si>
  <si>
    <t>6631 
6840</t>
  </si>
  <si>
    <t>235-2024</t>
  </si>
  <si>
    <t>Prestar los servicios de asesoría legal estratégica que permita gestionar las relaciones laborales colectivas, con una perspectiva organizacional que tenga en cuenta el talento humano y las líneas estratégicas definidas por esta para lograr sus objetivos, así como los aspectos legales, comunicacionales y reputacionales de la Entidad.</t>
  </si>
  <si>
    <t>SCOLA ABOGADOS S.A.S.</t>
  </si>
  <si>
    <t>Otrosí N°1 del 31/12/2024 Prórroga.</t>
  </si>
  <si>
    <t>https://community.secop.gov.co/Public/Tendering/ContractNoticePhases/View?PPI=CO1.PPI.36079131&amp;isFromPublicArea=True&amp;isModal=False</t>
  </si>
  <si>
    <t>revisar finalización</t>
  </si>
  <si>
    <t>236-2024</t>
  </si>
  <si>
    <t>Representar en calidad tanto activa como pasiva a LA PREVISORA S.A. en los procesos judiciales, prejudiciales, de responsabilidad fiscal, procedimientos administrativos, arbitramentos y en general en todo tipo de litigio o del marco de las actividades relacionadas con la Vicepresidencia Jurídica.</t>
  </si>
  <si>
    <t>SOLUCIONES JURÍDICAS
DE LA BARRERA S.A.S.</t>
  </si>
  <si>
    <t>https://community.secop.gov.co/Public/Tendering/ContractNoticePhases/View?PPI=CO1.PPI.36111454&amp;isFromPublicArea=True&amp;isModal=False</t>
  </si>
  <si>
    <t>237-2024</t>
  </si>
  <si>
    <t>Prestar el servicio de soporte y mantenimiento de la herramienta de gestión de identidades denomina Oracle Identity Governance (OIG), que permite realizar los procesos de gestión de identidades, implementada en LA PREVISORA S.A.</t>
  </si>
  <si>
    <t>https://community.secop.gov.co/Public/Tendering/ContractNoticePhases/View?PPI=CO1.PPI.37766742&amp;isFromPublicArea=True&amp;isModal=False</t>
  </si>
  <si>
    <t>238-2024</t>
  </si>
  <si>
    <t>LEXIA ABOGADOS S.A.S.</t>
  </si>
  <si>
    <t>https://community.secop.gov.co/Public/Tendering/ContractNoticePhases/View?PPI=CO1.PPI.36358019&amp;isFromPublicArea=True&amp;isModal=False</t>
  </si>
  <si>
    <t>239-2024</t>
  </si>
  <si>
    <t>Realizar el avalúo NIIF con fines contables, y estudio de títulos a todos los activos fijos inmuebles urbanos de propiedad de LA
PREVISORA S.A</t>
  </si>
  <si>
    <t>https://community.secop.gov.co/Public/Tendering/ContractNoticePhases/View?PPI=CO1.PPI.37692084&amp;isFromPublicArea=True&amp;isModal=False</t>
  </si>
  <si>
    <t>243-2024</t>
  </si>
  <si>
    <t>30 OTROS / OUTSOURCING CONTAC CENTER</t>
  </si>
  <si>
    <t>Prestación de los servicios de operación y administración del Contact Center a nivel nacional, bajo la modalidad de outsourcing.</t>
  </si>
  <si>
    <t>901882218-0</t>
  </si>
  <si>
    <t xml:space="preserve">UNIÓN TEMPORAL COMWITEL 2024 </t>
  </si>
  <si>
    <t>https://community.secop.gov.co/Public/Tendering/ContractNoticePhases/View?PPI=CO1.PPI.37415646&amp;isFromPublicArea=True&amp;isModal=False</t>
  </si>
  <si>
    <t>244-2024</t>
  </si>
  <si>
    <t>Prestar el servicio de actualización de software y soporte técnico de los productos ORACLE.</t>
  </si>
  <si>
    <t>https://community.secop.gov.co/Public/Tendering/ContractNoticePhases/View?PPI=CO1.PPI.37768497&amp;isFromPublicArea=True&amp;isModal=False</t>
  </si>
  <si>
    <t>246-2024</t>
  </si>
  <si>
    <t>Efectuar las calificaciones de pérdida de capacidad laboral (en adelante PCL) que afecten las indemnizaciones del amparo de Incapacidad Permanente de los seguros de accidentes personales o del ramo SOAT de las pólizas expedidas por LA PREVISORA S.A.</t>
  </si>
  <si>
    <t>https://community.secop.gov.co/Public/Tendering/ContractNoticePhases/View?PPI=CO1.PPI.37858444&amp;isFromPublicArea=True&amp;isModal=False</t>
  </si>
  <si>
    <t>6589
7291
7438</t>
  </si>
  <si>
    <t>247-2024</t>
  </si>
  <si>
    <t>Prestación de los servicios de planeación estratégica de Marketing 360, Endomarketing, PR, relacionamiento de medios de comunicación y gestión de reputación a nivel nacional.</t>
  </si>
  <si>
    <t>OTROSÍ N°1 Adicional del 31/07/2025
OTROSÍ N°2 Adicional del 29/10/2025</t>
  </si>
  <si>
    <t>https://community.secop.gov.co/Public/Tendering/ContractNoticePhases/View?PPI=CO1.PPI.36069771&amp;isFromPublicArea=True&amp;isModal=False</t>
  </si>
  <si>
    <t>Gerencia de Tecnología De La Información
Subgerencia de Mantenimiento de Sistemas de Información</t>
  </si>
  <si>
    <t>6655
7226</t>
  </si>
  <si>
    <t>248-2024</t>
  </si>
  <si>
    <t>Prestar el servicio de soporte y mantenimiento de la solución (firma digital estampa y QR) en modalidad Software como Servicio (SaaS).</t>
  </si>
  <si>
    <t>OTROSÍ N°1 Modificación del 11/07/2025, incorporación de CDP</t>
  </si>
  <si>
    <t xml:space="preserve">https://community.secop.gov.co/Public/Tendering/ContractNoticePhases/View?PPI=CO1.PPI.40597452&amp;isFromPublicArea=True&amp;isModal=False </t>
  </si>
  <si>
    <t>252-2024</t>
  </si>
  <si>
    <t>Desarrollar y poner en funcionamiento el Sistema Unificado de Consulta de Intermediarios de Seguros – SUCIS Gremial.</t>
  </si>
  <si>
    <t>INVERFAS S.A</t>
  </si>
  <si>
    <t>https://community.secop.gov.co/Public/Tendering/ContractNoticePhases/View?PPI=CO1.PPI.36955474&amp;isFromPublicArea=True&amp;isModal=False</t>
  </si>
  <si>
    <t>253-2024</t>
  </si>
  <si>
    <t xml:space="preserve">Prestar el servicio de mantenimiento preventivo requerido para el correcto funcionamiento de los Toboganes de salvamento instalados en la entidad. </t>
  </si>
  <si>
    <t>COMERCIALIZADORA INTERNACIONAL GHANY COLOMBIA SOCIEDAD POR ACCIONES SIMPLIFICADA</t>
  </si>
  <si>
    <t>https://community.secop.gov.co/Public/Tendering/ContractNoticePhases/View?PPI=CO1.PPI.37062914&amp;isFromPublicArea=True&amp;isModal=False</t>
  </si>
  <si>
    <t>254-2024</t>
  </si>
  <si>
    <t>Prestación de los servicios de mantenimiento preventivo y correctivo de  la solución Adobe Present Central Pro-Output Server y Adobe Present Output Designer.</t>
  </si>
  <si>
    <t>MULTISOFTWARE TRANSACCIONAL SAS</t>
  </si>
  <si>
    <t>255-2024</t>
  </si>
  <si>
    <t>Prestar los servicios especializado de software que permita la automatización digital bajo la modalidad SaaS (Software as a Service), para la gestión integral del proceso de diligenciamiento del formulario de conocimiento del cliente para personas naturales y jurídicas cumpliendo los requisitos establecidos por la SUPERINTENDENCIA FINANCIERA DE COLOMBIA.</t>
  </si>
  <si>
    <t>https://community.secop.gov.co/Public/Tendering/ContractNoticePhases/View?PPI=CO1.PPI.37614700&amp;isFromPublicArea=True&amp;isModal=False</t>
  </si>
  <si>
    <t>256-2024</t>
  </si>
  <si>
    <t>Brindar el suministro y activación por suscripción de la membresía a la Asociación Colombiana de Empresas de Tecnología e Innovación Financiera - Colombia Fintech.</t>
  </si>
  <si>
    <t xml:space="preserve">ASOCIACION COLOMBIANA DE EMPRESAS DE TECNOLOGIA E INNOVACION FINANCIERA </t>
  </si>
  <si>
    <t>https://community.secop.gov.co/Public/Tendering/ContractNoticePhases/View?PPI=CO1.PPI.37460118&amp;isFromPublicArea=True&amp;isModal=False</t>
  </si>
  <si>
    <t>Gerencia de Cartera
Gerencia de Desarrollo Comercial
Oficina de cumplimiento y Líneas Financieras
Gerencia Técnica de SOAT</t>
  </si>
  <si>
    <t>257-2024</t>
  </si>
  <si>
    <t xml:space="preserve">Prestar el servicio que le permita administrar el proceso de emisión, custodia y administración de Pagarés desmaterializados, por cuenta propia y/o de terceros, a través del registro de los títulos a través  de la anotación en cuenta, de conformidad con lo regulado en las Leyes. </t>
  </si>
  <si>
    <t>DEPOSITO CENTRALIZADO DE VALORES DE COLOMBIA DECEVAL S.A.</t>
  </si>
  <si>
    <t>CLÁUSULA DÉCIMA -DURACIÓN Y TERMINACIÓN establece que el mismo "(...) tendrá una duración inicial de un año contado a partir del primero (1) de enero de 2025, y será prorrogable automáticamente por un término igual".</t>
  </si>
  <si>
    <t>https://community.secop.gov.co/Public/Tendering/ContractNoticePhases/View?PPI=CO1.PPI.23092934&amp;isFromPublicArea=True&amp;isModal=False</t>
  </si>
  <si>
    <t>6833 / 7734</t>
  </si>
  <si>
    <t>258-2024</t>
  </si>
  <si>
    <t>Contratar la póliza de seguro vida grupo deudor con anexo de incapacidad total y permanente, para los trabajadores y/o extrabajadores a los que LA PREVISORA S.A. COMPAÑÍA DE SEGUROS haya otorgado préstamo hipotecario y actualmente tengan saldo pendiente de este.</t>
  </si>
  <si>
    <t>OTROSÍ N°1 Prórroga y Adición del 15/12/2025</t>
  </si>
  <si>
    <t>https://community.secop.gov.co/Public/Tendering/ContractNoticePhases/View?PPI=CO1.PPI.37069373&amp;isFromPublicArea=True&amp;isModal=False</t>
  </si>
  <si>
    <t>259-2024</t>
  </si>
  <si>
    <t>Realizar la custodia, administración y ejercer todas las actividades necesarias para la prestación del servicio de emisión desmaterializada básica de acciones, asumiendo las responsabilidades de los servicios de depósito, emisión, administración de valores, según corresponda.</t>
  </si>
  <si>
    <t>https://community.secop.gov.co/Public/Tendering/ContractNoticePhases/View?PPI=CO1.PPI.37039583&amp;isFromPublicArea=True&amp;isModal=False</t>
  </si>
  <si>
    <t>260-2024</t>
  </si>
  <si>
    <t>Permitir acceso vía web para la consulta de bases de datos de información dispuesta por organismos nacionales e internacionales y obtener información de personas que cuenten con antecedentes delictuales asociados al LA/FT.</t>
  </si>
  <si>
    <t>https://community.secop.gov.co/Public/Tendering/ContractNoticePhases/View?PPI=CO1.PPI.37615544&amp;isFromPublicArea=True&amp;isModal=False</t>
  </si>
  <si>
    <t>261-2024</t>
  </si>
  <si>
    <t>Prestar el servicio de suscripción vía web por medio de su producto VLex Colombia Profesional, el cual contiene boletines diarios e información sobre legislación, jurisprudencia, doctrina, códigos, estatutos y regímenes económicos, todo clasificado actualizado sobre las normas, decretos y leyes, con acceso a 15 licencias especiales.</t>
  </si>
  <si>
    <t>COLOMBIA INFORMACIÓN LEGAL S.A.S.</t>
  </si>
  <si>
    <t>https://community.secop.gov.co/Public/Tendering/ContractNoticePhases/View?PPI=CO1.PPI.37492870&amp;isFromPublicArea=True&amp;is</t>
  </si>
  <si>
    <t>6835 / 7648</t>
  </si>
  <si>
    <t>262-2024</t>
  </si>
  <si>
    <t>Contratar la póliza de seguro correspondiente al ramo de incendio y terremoto, la cual debe asegurar todo aquel inmueble hipotecado a favor de la Compañía, a nivel nacional.</t>
  </si>
  <si>
    <t>SBS SEGUROS COLOMBIA S. A.</t>
  </si>
  <si>
    <t>https://community.secop.gov.co/Public/Tendering/ContractNoticePhases/View?PPI=CO1.PPI.37628238&amp;isFromPublicArea=True&amp;isModal=False</t>
  </si>
  <si>
    <t>263-2024</t>
  </si>
  <si>
    <t>Prestar el servicio para la consulta de las aplicaciones informáticas SISA y CEXPER y envío de información en línea vía internet para la obtención de resultados de siniestralidad de los riesgos consultados.</t>
  </si>
  <si>
    <t>https://community.secop.gov.co/Public/Tendering/ContractNoticePhases/View?PPI=CO1.PPI.37464841&amp;isFromPublicArea=True&amp;isModal=False</t>
  </si>
  <si>
    <t>264-2024</t>
  </si>
  <si>
    <t>Prestar el servicio de actualización de software y soporte técnico en modalidad Enterprise para los productos licenciados de la vertical Database and Data Management de SAP, con que cuenta LA PREVISORA S.A SAP ASE Platform Edition Plataforma Unix/Linux para dieciocho (18) COREs.</t>
  </si>
  <si>
    <t>830079434-4</t>
  </si>
  <si>
    <t>CONSULTORIA ORGANIZACIONAL S.A.S.</t>
  </si>
  <si>
    <t>30,55%</t>
  </si>
  <si>
    <t>https://community.secop.gov.co/Public/Tendering/ContractNoticePhases/View?PPI=CO1.PPI.37032571&amp;isFromPublicArea=True&amp;isModal=False</t>
  </si>
  <si>
    <t>265-2024</t>
  </si>
  <si>
    <t>Prestar el servicio de mantenimiento preventivo y correctivo a las unidades de aire acondicionado de precisión y confort instalados en Bogotá en las oficinas de la Vicepresidencia de Indemnizaciones.</t>
  </si>
  <si>
    <t>266-2024</t>
  </si>
  <si>
    <t>Contratar la póliza de hospitalización y cirugía de acuerdo con lo dispuesto en la Clausula 64 de la Convención Colectiva de Trabajo vigente, celebrada entre LA PREVISORA S.A. y la organización sindical SINTRAPREVI.</t>
  </si>
  <si>
    <t>860026182-5</t>
  </si>
  <si>
    <t>ALLIANZ SEGUROS S A</t>
  </si>
  <si>
    <t>https://community.secop.gov.co/Public/Tendering/ContractNoticePhases/View?PPI=CO1.PPI.37070360&amp;isFromPublicArea=True&amp;isModal=False</t>
  </si>
  <si>
    <t>267-2024</t>
  </si>
  <si>
    <t>Prestar el servicio de Investigación y análisis de los casos reportados en la línea ética de LA PREVISORA S.A.</t>
  </si>
  <si>
    <t>268-2024</t>
  </si>
  <si>
    <t>Prestar los servicios para el desarrollo, implementación, uso, evaluación, entrega de resultados y elaboración de informes de pruebas psicotécnicas aplicadas a candidatos para suplir las vacantes de la planta de personal de LA PREVISORA S.A.</t>
  </si>
  <si>
    <t>THT THE TALENT SYSTEM S.A.S</t>
  </si>
  <si>
    <t>6831 / 7735</t>
  </si>
  <si>
    <t>269-2024</t>
  </si>
  <si>
    <t xml:space="preserve">Contratar la póliza de seguro de vida para los trabajadores de LA PREVISORA S.A. </t>
  </si>
  <si>
    <t>https://community.secop.gov.co/Public/Tendering/ContractNoticePhases/View?PPI=CO1.PPI.37619617&amp;isFr…</t>
  </si>
  <si>
    <t>6832 / 7742</t>
  </si>
  <si>
    <t>270-2024</t>
  </si>
  <si>
    <t xml:space="preserve">Contratar la póliza de seguro de vida grupo - exequias para los trabajadores de LA PREVISORA S.A. </t>
  </si>
  <si>
    <t>https://community.secop.gov.co/Public/Tendering/ContractNoticePhases/View?PPI=CO1.PPI.38717396&amp;isFr…</t>
  </si>
  <si>
    <t>271-2024</t>
  </si>
  <si>
    <t>Prestar el servicio de licenciamiento, mantenimiento y actualización del Software CERTAX.</t>
  </si>
  <si>
    <t xml:space="preserve">CONSULTORES PROFESIONALES ESPECIALIZADOS CONPROES S.A.S. </t>
  </si>
  <si>
    <t>Licenciamiento anual, termina 31/12/2025 se pagó al inicio del contrato.</t>
  </si>
  <si>
    <t>https://community.secop.gov.co/Public/Tendering/ContractNoticePhases/View?PPI=CO1.PPI.37771757&amp;isFromPublicArea=True&amp;isModal=False</t>
  </si>
  <si>
    <t>272-2024</t>
  </si>
  <si>
    <t>Servicios especializados para estabilizar y asegurar la operación del proceso de facturación en medios y formatos electrónicos (emisión y recepción de facturas).</t>
  </si>
  <si>
    <t>https://community.secop.gov.co/Public/Tendering/ContractNoticePhases/View?PPI=CO1.PPI.37791589&amp;isFromPublicArea=True&amp;isModal=False</t>
  </si>
  <si>
    <t>Sucursal</t>
  </si>
  <si>
    <t>300-2024-0227</t>
  </si>
  <si>
    <t>Entrega en arrendamiento comercial el uso y goce del inmueble ubicado en la ciudad de Mocoa.</t>
  </si>
  <si>
    <t>EDGAR GUSTAVO TORRES CHAMORRO</t>
  </si>
  <si>
    <t>https://community.secop.gov.co/Public/Tendering/ContractNoticePhases/View?PPI=CO1.PPI.37659465&amp;isFromPublicArea=True&amp;isModal=False</t>
  </si>
  <si>
    <t>Servicios de impresión de formularios de asegurabilidad y designación de beneficiarios para las pólizas de Vida Grupo Subsidiado y Voluntario del Ministerio de Defensa Nacional derivado de la Licitación 008 del año 2022</t>
  </si>
  <si>
    <t>010-2009 / 300-2020-0172</t>
  </si>
  <si>
    <t>Arriendo Local comercial ubicado en la Av 4 calle 14 en las instalaciones de la Previsora Sucursal Cúcuta.</t>
  </si>
  <si>
    <t>JUAN JOSE VARGAS GELVIS</t>
  </si>
  <si>
    <t>91,36%</t>
  </si>
  <si>
    <t>064-2017</t>
  </si>
  <si>
    <t>Conceder el goce de inmueble Call 3 Nro 2 33y Calle 3 AN 2 41 respectivamente del Edificio La Sirena de Buenaventura</t>
  </si>
  <si>
    <t>ARANGO &amp; AGUIRRE CIA LTDA.</t>
  </si>
  <si>
    <t>027-2013</t>
  </si>
  <si>
    <t xml:space="preserve">Mediante el presente contrato EL ARRENDADOR concede a EL ARRENDATARIO el uso y goce del inmueble ubicado en la carrera 19 No. 27 – 07 de la ciudad de Sincelejo, inmueble con uso de oficina sin régimen de propiedad horizontal, detallado de acuerdo con el inventario que las partes firmen, el cual formará parte de este contrato. </t>
  </si>
  <si>
    <t>INMOBILIARIA Y CONSTRUCTORA COUNTRY HOUSE DEL CARIBE SAS</t>
  </si>
  <si>
    <t>030-2013</t>
  </si>
  <si>
    <t xml:space="preserve">Mediante el presente contrato EL ARRENDADOR concede a EL ARRENDATARIO el uso y goce del inmueble ubicado en la carrera 23 C No. 62 – 06, local No. 1 y parqueaderos Nos 9 y 10 de la ciudad de Manizales, inmueble con uso de oficina sometidos a régimen de propiedad horizontal, detallado de acuerdo con el inventario que las partes firman el cual forma parte de este contrato. </t>
  </si>
  <si>
    <t>PROSEGUIR S.A.</t>
  </si>
  <si>
    <t>045-2013</t>
  </si>
  <si>
    <t>El Arrendamiento el uso y goce de la oficina identificada como piso 27 del Edificio Corficolombiana ubicado en la calle 10 No. 4 - 47 , con tres parqueaderos, denominados  30, 31 y 32 situado en el sotano segundo del mismo edificio, de la ciudad de Cali con el inventario que las partes firman por separado y el cual forma parte de este mismo contrato</t>
  </si>
  <si>
    <t>AZCARATE RIVERA E HIJOS LTDA.</t>
  </si>
  <si>
    <t>40.71%</t>
  </si>
  <si>
    <t>41.66%</t>
  </si>
  <si>
    <t>057-2012</t>
  </si>
  <si>
    <t>EL ARRENDADOR concede a EL ARRENDATARIO el uso y goce del inmueble ubicado en la carrera 37 N. 51-81 Urbanización Cabecera del Llano de la ciudad de Bucaramanga, inmueble con uso de oficina sin régimen de propiedad horizontal,  detallado de acuerdo con el inventario que las partes firman el cual forma parte de este contrato.</t>
  </si>
  <si>
    <t>SOCIEDAD PRIVADA DEL ALQUILER S.A.S.</t>
  </si>
  <si>
    <t>064-2011</t>
  </si>
  <si>
    <t>LOS ARRENDADORES conceden a EL ARRENDATARIO el uso y goce del local 101 y la oficina 301 y de los usos exclusivos de la terraza del local 101 y los garajes 16, 16A, 17, 17A, 21, 22, 23, 24, 25, 26, 27, 28, 29 y 30 bienes ubicados en la Calle 93 No. 15 – 40 del Edificio “Tapiola” Propiedad Horizontal, de la ciudad de Bogotá, de acuerdo con el inventario que las partes firman por separado, los cuales formarán parte del presente contrato.</t>
  </si>
  <si>
    <t>860027563-2
900383665-5
900383375-4</t>
  </si>
  <si>
    <t>INVERSIONES RESTREPO Y OTROS</t>
  </si>
  <si>
    <t>055-2009</t>
  </si>
  <si>
    <t>Mediante el presente contrato EL ARRENDADOR concede a EL ARRENDATARIO el uso y goce del siguiente inmueble ubicado en la calle 8 No. 7A-30, de la ciudad de Neiva (Huila): Local No. 1 que consta de seis (6) parqueaderos, (1) un depósito y  (1) cuarto de archivo, de acuerdo con el inventario que las partes firman por separado, el cual forma parte de este mismo contrato.</t>
  </si>
  <si>
    <t>CONSTRUCTORA SANTA LUCIA NEIRA</t>
  </si>
  <si>
    <t>080-2008</t>
  </si>
  <si>
    <t>EL ARREDADOR concede al ARRENDATARIO el goce de la oficina de la carrera 71 No. C4-22 en la ciudad de Medellín de acuerdo con el inventario que las partes firman por separado el cual forma parte del mismo.</t>
  </si>
  <si>
    <t>COOPERATIVA DE ASESORES EN INVERSIONES COASESORES</t>
  </si>
  <si>
    <t>088-2007</t>
  </si>
  <si>
    <t>Arriendo Inmueble ubicado en el Edificio Char, calle larga N° 10 - 32 primer piso, barrio getsemani de la ciudad de Cartagena.</t>
  </si>
  <si>
    <t>INVERMAS S.A.</t>
  </si>
  <si>
    <t>071-2006</t>
  </si>
  <si>
    <t>El ARRENDADOR  se obliga a conceder  al ARRENDATARIO  el  goce  del inmueble con destino a actividades propias de la compañía aseguradora, cuyos linderos se determinan en la clausula segunda que en adelante se identifican por su direccion de acuerdo con el inventario que las partes firman por separado el cual forma parte de este mismo contrato.</t>
  </si>
  <si>
    <t>JOSE NELSON PEREZ CORTAZAR</t>
  </si>
  <si>
    <t>037-2005</t>
  </si>
  <si>
    <t>Arriendo del inmueble oficinas Sucursal Villavicencio, ubicado en la Cra. 39 #35-49 Local Barrio el Barzal.
Adicionales para los años 2005 a 2017.
adicional firmado el 24 de mayo de 2017, ampliar la vigencia del contrato del 1 de junio de 2017 al 30 de mayo de 2018, valor del contrato $58.998.034, canon mensual de $4.131.515 mas el IVA. 
Adicional.- Ampliar el valor del contato y prórroga desde el 1 de junio de 2006 por 12 meses.
Adicional .- Ampliar el valor del contto y pr´rroga desde el 1 de junio de 2007 al 1 de junio de 2008
Adicioanles para los años 208-209, 209-2010, 2010-2011, 2011-2012, 2012-2013, 2013-2014, 2014-2015, 2015-2016, 2016-2017, 2017-2018, por un año desde el 1 de junio.
Adicional 2019.- Prorrogar la vigencia del contato en 12 meses contados a partir del 1 de junio de 2019 hasta el 30 de mayo de 2020.</t>
  </si>
  <si>
    <t>REPRESENTACIONES GALERON LTDA</t>
  </si>
  <si>
    <t>124-2012</t>
  </si>
  <si>
    <t>Arriendo inmueble ubicado en la Carrera 7 No. 19-28 Oficina 202, Edficio Torre Bolivar en Pereira, inmueble con uso de oficna con regimen de propiedad horizontal y el parqueadero # 9 de la misma edificación.
Cesión del contrato.- Abraham Levy Toledo cede el contato a SIDAL S.A., a partir de la suscripción del contrato el valor del canon de arrendamiento es de $4.662.336.  firmado el 1 de marzo de 2016.</t>
  </si>
  <si>
    <t>LEVY TOLEDO ABRAHAM</t>
  </si>
  <si>
    <t>001-2001</t>
  </si>
  <si>
    <t>ArriendoLocal comercial ubicado en la Carrera 6 No. 4-21, 2° piso del  Edificio Bancolombia de la ciudad de Popayán. 
Otrosi.- Se entrega un área de 70 m2, con pago de canon mensual de $570.161 para un valor total del canon de arrendamiento de $1.529.839 a la suma de $2.000.000 a partir del 1° de diciembre de 2003 y hasta el 31 de diciembre de 2004.
firmado el 22 de noviembre de 2004.
Otrosi.- Modifican las cláusulas 5a y 7a Plazo del contrato: el plazo del contrato es de 1 año a partir del 1° de enero de 2002 y hasta el 31 de diciembre de 2002, prorrogable a voluntad de las aprtes con escrito. el precio del arrendamiento: El canon de arrendamieto para ese período se incrementará el 7.65%, de este período en adelante se incrementará en el IPC.  firmado 12 de junio de 2002.
Oficio del 23 de enero de 2018, informando  prorrogar por el período de 1 de enero al 31 de diciembre de 2018 con incremento del 4% que corresponde al IPC.</t>
  </si>
  <si>
    <t>LUIS EDUARDO PENAGOS TAFURT</t>
  </si>
  <si>
    <t>Este contrato es una adición. No se subio el contrato inicial</t>
  </si>
  <si>
    <t>CARR-01-98</t>
  </si>
  <si>
    <t>Arriendo Local ubicado en la calle 29 No 3-46 de la ciudad de Montería, para uso de oficinas.</t>
  </si>
  <si>
    <t>ARAUJO&amp;SEGOVIA DE CORDOBA LTDA</t>
  </si>
  <si>
    <t>00864-1997</t>
  </si>
  <si>
    <t>Arrendamiento Local comercial No 2 y que hace parte del edificio  del Banco Popular en la ciudad de Arauca ubicada en la calle 21 N. 20 - 48 .</t>
  </si>
  <si>
    <t>SORETH SALAZAR DAZA</t>
  </si>
  <si>
    <t>009-97</t>
  </si>
  <si>
    <t>El ARRENDADOR  se obliga a permitir el uso y goce a titulo de arrendamiento al ARRENDATARIO del inmueble denominado local 1 y 2 UNIDOS  y PARQUEADERO No.8 ubicados en la carrera 5 No. 11-03 de la ciudad de Ibagué.</t>
  </si>
  <si>
    <t>800019543-3</t>
  </si>
  <si>
    <t>901237679-7</t>
  </si>
  <si>
    <t>800031865-9</t>
  </si>
  <si>
    <t>891300271-1</t>
  </si>
  <si>
    <t>805000082-4</t>
  </si>
  <si>
    <t>813001376-8</t>
  </si>
  <si>
    <t>800152512-3</t>
  </si>
  <si>
    <t>890401198-1</t>
  </si>
  <si>
    <t>822000127-9</t>
  </si>
  <si>
    <t>891001109-1</t>
  </si>
  <si>
    <t>CONTRATOS SUSCRITOS DEL 1° ENERO al 31 DICIEMBRE 2025_ CASA MATRIZ</t>
  </si>
  <si>
    <t xml:space="preserve">GERENCIA DE CONTRATACIÓN </t>
  </si>
  <si>
    <t>CONTRATOS SUSCRITOS DEL 1° ENERO al 31 DICIEMBRE 2025_ SUCURSALES</t>
  </si>
  <si>
    <t>GERENCIA DE CONTRATACIÓN</t>
  </si>
  <si>
    <t>CONSOLIDADO EJECUCIÓN CONTRATOS- VIGENCIAS ANTERIORES_ CASA MATRIZ</t>
  </si>
  <si>
    <t>CONSOLIDADO EJECUCIÓN CONTRATROS A DICIEMBRE 31 VIGENCIA 2025</t>
  </si>
  <si>
    <t>CONSOLIDADO EJECUCIÓN CONTRATOS VIGENCIAS ANTERIORES_SUCURSALES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</si>
</sst>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 #,##0;[Red]\-&quot;$&quot;\ #,##0"/>
    <numFmt numFmtId="42" formatCode="_-&quot;$&quot;\ * #,##0_-;\-&quot;$&quot;\ * #,##0_-;_-&quot;$&quot;\ * &quot;-&quot;_-;_-@_-"/>
    <numFmt numFmtId="41" formatCode="_-* #,##0_-;\-* #,##0_-;_-* &quot;-&quot;_-;_-@_-"/>
    <numFmt numFmtId="44" formatCode="_-&quot;$&quot;\ * #,##0.00_-;\-&quot;$&quot;\ * #,##0.00_-;_-&quot;$&quot;\ * &quot;-&quot;??_-;_-@_-"/>
    <numFmt numFmtId="164" formatCode="#,##0;[Red]#,##0"/>
    <numFmt numFmtId="165" formatCode="0.0%"/>
    <numFmt numFmtId="166" formatCode="_-&quot;$&quot;\ * #,##0.00_-;\-&quot;$&quot;\ * #,##0.00_-;_-&quot;$&quot;\ * &quot;-&quot;_-;_-@_-"/>
    <numFmt numFmtId="167" formatCode="d/mm/yyyy"/>
    <numFmt numFmtId="168" formatCode="_-&quot;$&quot;* #,##0.00_-;\-&quot;$&quot;* #,##0.00_-;_-&quot;$&quot;* &quot;-&quot;??_-;_-@_-"/>
    <numFmt numFmtId="169" formatCode="dd/mm/yyyy;@"/>
    <numFmt numFmtId="170" formatCode="mm\-yy"/>
  </numFmts>
  <fonts count="28" x14ac:knownFonts="1">
    <font>
      <sz val="11"/>
      <color theme="1"/>
      <name val="Calibri"/>
      <family val="2"/>
      <scheme val="minor"/>
    </font>
    <font>
      <sz val="11"/>
      <color theme="1"/>
      <name val="Calibri"/>
      <family val="2"/>
      <scheme val="minor"/>
    </font>
    <font>
      <sz val="11"/>
      <color theme="1"/>
      <name val="Calibri"/>
      <family val="2"/>
    </font>
    <font>
      <b/>
      <sz val="11"/>
      <name val="Calibri"/>
      <family val="2"/>
    </font>
    <font>
      <sz val="11"/>
      <name val="Calibri"/>
      <family val="2"/>
    </font>
    <font>
      <sz val="11"/>
      <color rgb="FF000000"/>
      <name val="Calibri"/>
      <family val="2"/>
    </font>
    <font>
      <sz val="11"/>
      <name val="Calibri"/>
      <family val="2"/>
      <scheme val="minor"/>
    </font>
    <font>
      <u/>
      <sz val="11"/>
      <color theme="10"/>
      <name val="Calibri"/>
      <family val="2"/>
      <scheme val="minor"/>
    </font>
    <font>
      <sz val="8"/>
      <name val="Calibri"/>
      <family val="2"/>
      <scheme val="minor"/>
    </font>
    <font>
      <sz val="10"/>
      <color rgb="FF000000"/>
      <name val="Calibri"/>
      <family val="2"/>
    </font>
    <font>
      <sz val="10"/>
      <color theme="1"/>
      <name val="Calibri"/>
      <family val="2"/>
    </font>
    <font>
      <b/>
      <sz val="11"/>
      <color theme="1"/>
      <name val="Arial"/>
      <family val="2"/>
    </font>
    <font>
      <sz val="11"/>
      <color theme="1"/>
      <name val="Arial"/>
      <family val="2"/>
    </font>
    <font>
      <b/>
      <sz val="11"/>
      <color theme="9" tint="-0.499984740745262"/>
      <name val="Calibri"/>
      <family val="2"/>
      <scheme val="minor"/>
    </font>
    <font>
      <b/>
      <sz val="11"/>
      <color theme="0"/>
      <name val="Calibri"/>
      <family val="2"/>
    </font>
    <font>
      <sz val="9"/>
      <name val="Calibri"/>
      <family val="2"/>
    </font>
    <font>
      <sz val="9"/>
      <color theme="1"/>
      <name val="Calibri"/>
      <family val="2"/>
    </font>
    <font>
      <sz val="11"/>
      <color rgb="FF000000"/>
      <name val="Calibri"/>
      <family val="2"/>
      <scheme val="minor"/>
    </font>
    <font>
      <b/>
      <sz val="11"/>
      <color theme="1"/>
      <name val="Calibri"/>
      <family val="2"/>
    </font>
    <font>
      <b/>
      <sz val="11"/>
      <name val="Calibri"/>
      <family val="2"/>
      <scheme val="minor"/>
    </font>
    <font>
      <sz val="11"/>
      <name val="Calibri"/>
      <family val="2"/>
    </font>
    <font>
      <b/>
      <sz val="16"/>
      <color theme="1"/>
      <name val="Calibri"/>
      <family val="2"/>
    </font>
    <font>
      <b/>
      <sz val="12"/>
      <color theme="0"/>
      <name val="Calibri"/>
      <family val="2"/>
    </font>
    <font>
      <sz val="12"/>
      <color theme="0"/>
      <name val="Calibri"/>
      <family val="2"/>
    </font>
    <font>
      <b/>
      <sz val="14"/>
      <name val="Arial"/>
      <family val="2"/>
    </font>
    <font>
      <sz val="10"/>
      <name val="Calibri"/>
      <family val="2"/>
    </font>
    <font>
      <sz val="9"/>
      <name val="Calibri"/>
      <family val="2"/>
      <scheme val="minor"/>
    </font>
    <font>
      <sz val="1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CC66FF"/>
        <bgColor indexed="64"/>
      </patternFill>
    </fill>
    <fill>
      <patternFill patternType="solid">
        <fgColor theme="1" tint="0.249977111117893"/>
        <bgColor indexed="64"/>
      </patternFill>
    </fill>
    <fill>
      <patternFill patternType="solid">
        <fgColor indexed="54"/>
      </patternFill>
    </fill>
    <fill>
      <patternFill patternType="solid">
        <fgColor rgb="FF92D050"/>
        <bgColor indexed="64"/>
      </patternFill>
    </fill>
    <fill>
      <patternFill patternType="solid">
        <fgColor rgb="FF9B4CBA"/>
        <bgColor indexed="64"/>
      </patternFill>
    </fill>
    <fill>
      <patternFill patternType="solid">
        <fgColor rgb="FFFFC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theme="6"/>
      </left>
      <right style="thin">
        <color theme="6"/>
      </right>
      <top style="thin">
        <color theme="6"/>
      </top>
      <bottom style="thin">
        <color theme="6"/>
      </bottom>
      <diagonal/>
    </border>
    <border>
      <left style="thin">
        <color rgb="FFA5A5A5"/>
      </left>
      <right style="thin">
        <color rgb="FFA5A5A5"/>
      </right>
      <top style="thin">
        <color rgb="FFA5A5A5"/>
      </top>
      <bottom style="thin">
        <color rgb="FFA5A5A5"/>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right style="medium">
        <color rgb="FFA5A5A5"/>
      </right>
      <top/>
      <bottom style="medium">
        <color rgb="FFA5A5A5"/>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right style="medium">
        <color indexed="64"/>
      </right>
      <top style="thin">
        <color indexed="64"/>
      </top>
      <bottom style="thin">
        <color indexed="64"/>
      </bottom>
      <diagonal/>
    </border>
    <border>
      <left/>
      <right/>
      <top/>
      <bottom style="thick">
        <color theme="0" tint="-0.24994659260841701"/>
      </bottom>
      <diagonal/>
    </border>
    <border>
      <left/>
      <right/>
      <top/>
      <bottom style="medium">
        <color theme="0" tint="-0.24994659260841701"/>
      </bottom>
      <diagonal/>
    </border>
    <border>
      <left style="thick">
        <color theme="0" tint="-0.24994659260841701"/>
      </left>
      <right style="thick">
        <color theme="0" tint="-0.24994659260841701"/>
      </right>
      <top/>
      <bottom style="thick">
        <color theme="0" tint="-0.24994659260841701"/>
      </bottom>
      <diagonal/>
    </border>
    <border>
      <left style="medium">
        <color theme="0" tint="-0.24994659260841701"/>
      </left>
      <right style="medium">
        <color theme="0" tint="-0.24994659260841701"/>
      </right>
      <top/>
      <bottom style="medium">
        <color theme="0" tint="-0.24994659260841701"/>
      </bottom>
      <diagonal/>
    </border>
  </borders>
  <cellStyleXfs count="7">
    <xf numFmtId="0" fontId="0" fillId="0" borderId="0"/>
    <xf numFmtId="42" fontId="1" fillId="0" borderId="0" applyFont="0" applyFill="0" applyBorder="0" applyAlignment="0" applyProtection="0"/>
    <xf numFmtId="0" fontId="7" fillId="0" borderId="0" applyNumberForma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194">
    <xf numFmtId="0" fontId="0" fillId="0" borderId="0" xfId="0"/>
    <xf numFmtId="0" fontId="2" fillId="0" borderId="0" xfId="0" applyFont="1" applyAlignment="1">
      <alignment vertical="center"/>
    </xf>
    <xf numFmtId="0" fontId="2" fillId="0" borderId="0" xfId="0" applyFont="1" applyAlignment="1">
      <alignment vertical="center" wrapText="1"/>
    </xf>
    <xf numFmtId="42" fontId="4" fillId="0" borderId="0" xfId="1" applyFont="1" applyFill="1" applyBorder="1" applyAlignment="1" applyProtection="1">
      <alignment horizontal="right" vertical="center" wrapText="1"/>
    </xf>
    <xf numFmtId="164" fontId="4" fillId="0" borderId="0" xfId="1" applyNumberFormat="1" applyFont="1" applyFill="1" applyBorder="1" applyAlignment="1" applyProtection="1">
      <alignment horizontal="right" vertical="center" wrapText="1"/>
    </xf>
    <xf numFmtId="0" fontId="0" fillId="0" borderId="0" xfId="0" applyAlignment="1">
      <alignment horizontal="left"/>
    </xf>
    <xf numFmtId="42" fontId="2" fillId="0" borderId="0" xfId="1" applyFont="1" applyFill="1" applyBorder="1" applyAlignment="1" applyProtection="1">
      <alignment horizontal="right" vertical="center"/>
    </xf>
    <xf numFmtId="0" fontId="11" fillId="0" borderId="1" xfId="0" applyFont="1" applyBorder="1"/>
    <xf numFmtId="0" fontId="12" fillId="0" borderId="1" xfId="0" applyFont="1" applyBorder="1"/>
    <xf numFmtId="0" fontId="12" fillId="0" borderId="1" xfId="0" applyFont="1" applyBorder="1" applyAlignment="1">
      <alignment wrapText="1"/>
    </xf>
    <xf numFmtId="0" fontId="12" fillId="0" borderId="1" xfId="0" applyFont="1" applyBorder="1" applyAlignment="1">
      <alignment horizontal="left"/>
    </xf>
    <xf numFmtId="0" fontId="0" fillId="3" borderId="0" xfId="0" applyFill="1"/>
    <xf numFmtId="0" fontId="0" fillId="2" borderId="0" xfId="0" applyFill="1"/>
    <xf numFmtId="0" fontId="0" fillId="3" borderId="0" xfId="0" applyFill="1" applyAlignment="1">
      <alignment horizontal="left"/>
    </xf>
    <xf numFmtId="3" fontId="0" fillId="0" borderId="0" xfId="0" applyNumberFormat="1"/>
    <xf numFmtId="0" fontId="0" fillId="4" borderId="1" xfId="0" applyFill="1" applyBorder="1"/>
    <xf numFmtId="0" fontId="0" fillId="2" borderId="0" xfId="0" applyFill="1" applyAlignment="1">
      <alignment horizontal="left"/>
    </xf>
    <xf numFmtId="0" fontId="0" fillId="5" borderId="1" xfId="0" applyFill="1" applyBorder="1"/>
    <xf numFmtId="0" fontId="13" fillId="0" borderId="0" xfId="0" applyFont="1"/>
    <xf numFmtId="3" fontId="0" fillId="0" borderId="0" xfId="0" applyNumberFormat="1" applyAlignment="1">
      <alignment horizontal="left"/>
    </xf>
    <xf numFmtId="0" fontId="0" fillId="6" borderId="0" xfId="0" applyFill="1"/>
    <xf numFmtId="0" fontId="6" fillId="0" borderId="0" xfId="0" applyFont="1"/>
    <xf numFmtId="0" fontId="0" fillId="5" borderId="2" xfId="0" applyFill="1" applyBorder="1"/>
    <xf numFmtId="164" fontId="4" fillId="0" borderId="0" xfId="1" applyNumberFormat="1" applyFont="1" applyFill="1" applyBorder="1" applyAlignment="1" applyProtection="1">
      <alignment horizontal="center" vertical="center" wrapText="1"/>
    </xf>
    <xf numFmtId="0" fontId="3" fillId="7" borderId="0" xfId="0" applyFont="1" applyFill="1" applyAlignment="1" applyProtection="1">
      <alignment vertical="center" wrapText="1"/>
      <protection locked="0"/>
    </xf>
    <xf numFmtId="42" fontId="3" fillId="7" borderId="0" xfId="0" applyNumberFormat="1" applyFont="1" applyFill="1" applyAlignment="1" applyProtection="1">
      <alignment vertical="center" wrapText="1"/>
      <protection locked="0"/>
    </xf>
    <xf numFmtId="0" fontId="4" fillId="0" borderId="0" xfId="0" applyFont="1" applyAlignment="1">
      <alignment vertical="center" wrapText="1"/>
    </xf>
    <xf numFmtId="0" fontId="2" fillId="0" borderId="0" xfId="0" applyFont="1" applyAlignment="1">
      <alignment horizontal="center" vertical="center" wrapText="1"/>
    </xf>
    <xf numFmtId="42" fontId="4" fillId="0" borderId="0" xfId="0" applyNumberFormat="1" applyFont="1" applyAlignment="1">
      <alignment vertical="center" wrapText="1"/>
    </xf>
    <xf numFmtId="42" fontId="4" fillId="0" borderId="0" xfId="0" applyNumberFormat="1" applyFont="1" applyAlignment="1">
      <alignment horizontal="center" vertical="center" wrapText="1"/>
    </xf>
    <xf numFmtId="10" fontId="3" fillId="0" borderId="0" xfId="3" applyNumberFormat="1" applyFont="1" applyFill="1" applyBorder="1" applyAlignment="1">
      <alignment horizontal="center" vertical="center" wrapText="1"/>
    </xf>
    <xf numFmtId="42" fontId="4" fillId="0" borderId="0" xfId="1" applyFont="1" applyFill="1" applyBorder="1" applyAlignment="1">
      <alignment horizontal="center" vertical="center" wrapText="1"/>
    </xf>
    <xf numFmtId="0" fontId="4" fillId="0" borderId="0" xfId="1" applyNumberFormat="1" applyFont="1" applyFill="1" applyBorder="1" applyAlignment="1">
      <alignment horizontal="left" vertical="center"/>
    </xf>
    <xf numFmtId="42" fontId="4" fillId="0" borderId="0" xfId="0" applyNumberFormat="1" applyFont="1" applyAlignment="1">
      <alignment vertical="center"/>
    </xf>
    <xf numFmtId="10" fontId="2" fillId="0" borderId="0" xfId="0" applyNumberFormat="1" applyFont="1" applyAlignment="1">
      <alignment vertical="center" wrapText="1"/>
    </xf>
    <xf numFmtId="0" fontId="0" fillId="0" borderId="0" xfId="0" applyAlignment="1">
      <alignment wrapText="1"/>
    </xf>
    <xf numFmtId="42" fontId="2" fillId="0" borderId="0" xfId="1" applyFont="1" applyFill="1" applyBorder="1" applyAlignment="1" applyProtection="1">
      <alignment horizontal="right" vertical="center" wrapText="1"/>
    </xf>
    <xf numFmtId="164" fontId="2" fillId="0" borderId="0" xfId="1" applyNumberFormat="1" applyFont="1" applyFill="1" applyBorder="1" applyAlignment="1" applyProtection="1">
      <alignment horizontal="right" vertical="center" wrapText="1"/>
    </xf>
    <xf numFmtId="0" fontId="6" fillId="0" borderId="0" xfId="0" applyFont="1" applyAlignment="1">
      <alignment horizontal="center" vertical="center" wrapText="1"/>
    </xf>
    <xf numFmtId="0" fontId="6" fillId="0" borderId="0" xfId="0" applyFont="1" applyAlignment="1">
      <alignment wrapText="1"/>
    </xf>
    <xf numFmtId="10" fontId="6" fillId="0" borderId="0" xfId="0" applyNumberFormat="1" applyFont="1" applyAlignment="1">
      <alignment wrapText="1"/>
    </xf>
    <xf numFmtId="42" fontId="2" fillId="0" borderId="0" xfId="1" applyFont="1" applyFill="1" applyAlignment="1" applyProtection="1">
      <alignment vertical="center" wrapText="1"/>
    </xf>
    <xf numFmtId="0" fontId="4" fillId="0" borderId="0" xfId="0" applyFont="1" applyAlignment="1">
      <alignment horizontal="righ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15" fillId="0" borderId="0" xfId="0" applyFont="1" applyAlignment="1">
      <alignment vertical="center" wrapText="1"/>
    </xf>
    <xf numFmtId="0" fontId="16" fillId="0" borderId="0" xfId="0" applyFont="1" applyAlignment="1">
      <alignment vertical="center" wrapText="1"/>
    </xf>
    <xf numFmtId="42" fontId="5" fillId="0" borderId="0" xfId="1" applyFont="1" applyFill="1" applyBorder="1" applyAlignment="1" applyProtection="1">
      <alignment vertical="center" wrapText="1"/>
    </xf>
    <xf numFmtId="0" fontId="14" fillId="10" borderId="4" xfId="0" applyFont="1" applyFill="1" applyBorder="1" applyAlignment="1" applyProtection="1">
      <alignment vertical="center" wrapText="1"/>
      <protection locked="0"/>
    </xf>
    <xf numFmtId="0" fontId="14" fillId="11" borderId="4" xfId="0" applyFont="1" applyFill="1" applyBorder="1" applyAlignment="1" applyProtection="1">
      <alignment horizontal="center" vertical="center" wrapText="1"/>
      <protection locked="0"/>
    </xf>
    <xf numFmtId="0" fontId="14" fillId="11" borderId="4" xfId="0" applyFont="1" applyFill="1" applyBorder="1" applyAlignment="1" applyProtection="1">
      <alignment vertical="center" wrapText="1"/>
      <protection locked="0"/>
    </xf>
    <xf numFmtId="0" fontId="14" fillId="10" borderId="4" xfId="0" applyFont="1" applyFill="1" applyBorder="1" applyAlignment="1" applyProtection="1">
      <alignment horizontal="center" vertical="center" wrapText="1"/>
      <protection locked="0"/>
    </xf>
    <xf numFmtId="0" fontId="14" fillId="8"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10" fontId="14" fillId="9" borderId="4" xfId="0" applyNumberFormat="1" applyFont="1" applyFill="1" applyBorder="1" applyAlignment="1">
      <alignment horizontal="center" vertical="center" wrapText="1"/>
    </xf>
    <xf numFmtId="9" fontId="3" fillId="0" borderId="0" xfId="3" applyFont="1" applyFill="1" applyBorder="1" applyAlignment="1">
      <alignment horizontal="center" vertical="center" wrapText="1"/>
    </xf>
    <xf numFmtId="0" fontId="4" fillId="0" borderId="0" xfId="1" applyNumberFormat="1" applyFont="1" applyFill="1" applyBorder="1" applyAlignment="1">
      <alignment vertical="center"/>
    </xf>
    <xf numFmtId="0" fontId="14" fillId="10" borderId="4" xfId="0" applyFont="1" applyFill="1" applyBorder="1" applyAlignment="1" applyProtection="1">
      <alignment vertical="center"/>
      <protection locked="0"/>
    </xf>
    <xf numFmtId="0" fontId="3" fillId="7" borderId="0" xfId="0" applyFont="1" applyFill="1" applyAlignment="1" applyProtection="1">
      <alignment vertical="center"/>
      <protection locked="0"/>
    </xf>
    <xf numFmtId="10" fontId="3" fillId="0" borderId="0" xfId="3" applyNumberFormat="1" applyFont="1" applyFill="1" applyAlignment="1">
      <alignment horizontal="center" vertical="center" wrapText="1"/>
    </xf>
    <xf numFmtId="1" fontId="4" fillId="0" borderId="0" xfId="1" applyNumberFormat="1" applyFont="1" applyFill="1" applyBorder="1" applyAlignment="1" applyProtection="1">
      <alignment horizontal="right" vertical="center" wrapText="1"/>
    </xf>
    <xf numFmtId="10" fontId="3" fillId="0" borderId="3" xfId="3" applyNumberFormat="1" applyFont="1" applyFill="1" applyBorder="1" applyAlignment="1">
      <alignment horizontal="center" vertical="center" wrapText="1"/>
    </xf>
    <xf numFmtId="42" fontId="4" fillId="0" borderId="3" xfId="1" applyFont="1" applyFill="1" applyBorder="1" applyAlignment="1">
      <alignment horizontal="center" vertical="center" wrapText="1"/>
    </xf>
    <xf numFmtId="166" fontId="4" fillId="0" borderId="3" xfId="1" applyNumberFormat="1" applyFont="1" applyFill="1" applyBorder="1" applyAlignment="1">
      <alignment horizontal="center" vertical="center" wrapText="1"/>
    </xf>
    <xf numFmtId="165" fontId="5" fillId="0" borderId="0" xfId="0" applyNumberFormat="1" applyFont="1" applyAlignment="1">
      <alignment vertical="center" wrapText="1"/>
    </xf>
    <xf numFmtId="14" fontId="2" fillId="0" borderId="0" xfId="0" applyNumberFormat="1" applyFont="1" applyAlignment="1">
      <alignment horizontal="center" vertical="center" wrapText="1"/>
    </xf>
    <xf numFmtId="0" fontId="18" fillId="0" borderId="0" xfId="0" applyFont="1" applyAlignment="1">
      <alignment horizontal="center" vertical="center" wrapText="1"/>
    </xf>
    <xf numFmtId="0" fontId="10" fillId="0" borderId="0" xfId="0" applyFont="1" applyAlignment="1">
      <alignment vertical="center"/>
    </xf>
    <xf numFmtId="0" fontId="2" fillId="0" borderId="0" xfId="0" applyFont="1" applyAlignment="1">
      <alignment horizontal="left" vertical="center" wrapText="1"/>
    </xf>
    <xf numFmtId="0" fontId="2" fillId="0" borderId="0" xfId="0" applyFont="1" applyAlignment="1" applyProtection="1">
      <alignment horizontal="center" vertical="center" wrapText="1"/>
      <protection locked="0"/>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9" fillId="0" borderId="0" xfId="0" applyFont="1" applyAlignment="1">
      <alignment vertical="center" wrapText="1"/>
    </xf>
    <xf numFmtId="42" fontId="4" fillId="0" borderId="3" xfId="0" applyNumberFormat="1" applyFont="1" applyBorder="1" applyAlignment="1">
      <alignment vertical="center" wrapText="1"/>
    </xf>
    <xf numFmtId="0" fontId="3" fillId="0" borderId="0" xfId="0" applyFont="1" applyAlignment="1">
      <alignment horizontal="center" vertical="center" wrapText="1"/>
    </xf>
    <xf numFmtId="165" fontId="4" fillId="0" borderId="0" xfId="0" applyNumberFormat="1" applyFont="1" applyAlignment="1">
      <alignment horizontal="center" vertical="center" wrapText="1"/>
    </xf>
    <xf numFmtId="42" fontId="0" fillId="0" borderId="0" xfId="0" applyNumberFormat="1"/>
    <xf numFmtId="10" fontId="19" fillId="0" borderId="3" xfId="0" applyNumberFormat="1" applyFont="1" applyBorder="1" applyAlignment="1">
      <alignment horizontal="center" vertical="center" wrapText="1"/>
    </xf>
    <xf numFmtId="42" fontId="6" fillId="0" borderId="3" xfId="0" applyNumberFormat="1" applyFont="1" applyBorder="1" applyAlignment="1">
      <alignment horizontal="center" vertical="center" wrapText="1"/>
    </xf>
    <xf numFmtId="10" fontId="4" fillId="0" borderId="3" xfId="3" applyNumberFormat="1" applyFont="1" applyFill="1" applyBorder="1" applyAlignment="1">
      <alignment horizontal="center" vertical="center" wrapText="1"/>
    </xf>
    <xf numFmtId="42" fontId="20" fillId="0" borderId="3" xfId="1" applyFont="1" applyFill="1" applyBorder="1" applyAlignment="1">
      <alignment horizontal="center" vertical="center" wrapText="1"/>
    </xf>
    <xf numFmtId="0" fontId="4" fillId="0" borderId="0" xfId="0" applyFont="1" applyAlignment="1">
      <alignment vertical="center"/>
    </xf>
    <xf numFmtId="42" fontId="9" fillId="0" borderId="5" xfId="0" applyNumberFormat="1" applyFont="1" applyBorder="1" applyAlignment="1">
      <alignment vertical="center" wrapText="1"/>
    </xf>
    <xf numFmtId="42" fontId="17" fillId="0" borderId="0" xfId="0" applyNumberFormat="1" applyFont="1"/>
    <xf numFmtId="42" fontId="6" fillId="0" borderId="0" xfId="0" applyNumberFormat="1" applyFont="1" applyAlignment="1">
      <alignment vertical="center" wrapText="1"/>
    </xf>
    <xf numFmtId="42" fontId="0" fillId="0" borderId="0" xfId="1" applyFont="1" applyFill="1" applyBorder="1" applyAlignment="1" applyProtection="1">
      <alignment horizontal="right" vertical="center" wrapText="1"/>
    </xf>
    <xf numFmtId="6" fontId="6" fillId="0" borderId="0" xfId="0" applyNumberFormat="1" applyFont="1" applyAlignment="1">
      <alignment vertical="center" wrapText="1"/>
    </xf>
    <xf numFmtId="6" fontId="0" fillId="0" borderId="0" xfId="1" applyNumberFormat="1" applyFont="1" applyFill="1" applyBorder="1" applyAlignment="1" applyProtection="1">
      <alignment horizontal="right" vertical="center" wrapText="1"/>
    </xf>
    <xf numFmtId="42" fontId="0" fillId="0" borderId="0" xfId="0" applyNumberFormat="1" applyAlignment="1">
      <alignment vertical="center" wrapText="1"/>
    </xf>
    <xf numFmtId="164" fontId="4" fillId="0" borderId="0" xfId="0" applyNumberFormat="1" applyFont="1" applyAlignment="1">
      <alignment horizontal="center" vertical="center" wrapText="1"/>
    </xf>
    <xf numFmtId="0" fontId="22" fillId="10" borderId="6" xfId="0" applyFont="1" applyFill="1" applyBorder="1" applyAlignment="1" applyProtection="1">
      <alignment horizontal="center" vertical="center" wrapText="1"/>
      <protection locked="0"/>
    </xf>
    <xf numFmtId="0" fontId="6" fillId="0" borderId="0" xfId="4" applyNumberFormat="1" applyFont="1" applyFill="1" applyBorder="1" applyAlignment="1">
      <alignment horizontal="left" vertical="center"/>
    </xf>
    <xf numFmtId="164" fontId="4" fillId="0" borderId="0" xfId="1" applyNumberFormat="1" applyFont="1" applyFill="1" applyAlignment="1" applyProtection="1">
      <alignment horizontal="center" vertical="center" wrapText="1"/>
    </xf>
    <xf numFmtId="0" fontId="0" fillId="0" borderId="0" xfId="0" applyAlignment="1">
      <alignment vertical="center"/>
    </xf>
    <xf numFmtId="0" fontId="4" fillId="0" borderId="0" xfId="1" applyNumberFormat="1" applyFont="1" applyFill="1" applyAlignment="1">
      <alignment horizontal="left" vertical="center"/>
    </xf>
    <xf numFmtId="42" fontId="4" fillId="0" borderId="0" xfId="1" applyFont="1" applyFill="1" applyBorder="1" applyAlignment="1">
      <alignment horizontal="center" vertical="top" wrapText="1"/>
    </xf>
    <xf numFmtId="166" fontId="4" fillId="0" borderId="0" xfId="1" applyNumberFormat="1" applyFont="1" applyFill="1" applyBorder="1" applyAlignment="1">
      <alignment horizontal="center" vertical="center" wrapText="1"/>
    </xf>
    <xf numFmtId="42" fontId="4" fillId="0" borderId="0" xfId="1" applyFont="1" applyFill="1" applyBorder="1" applyAlignment="1">
      <alignment horizontal="left" vertical="center" wrapText="1"/>
    </xf>
    <xf numFmtId="42" fontId="4" fillId="0" borderId="0" xfId="1" applyFont="1" applyFill="1" applyAlignment="1">
      <alignment horizontal="center" vertical="center" wrapText="1"/>
    </xf>
    <xf numFmtId="168" fontId="4" fillId="0" borderId="0" xfId="3" applyNumberFormat="1" applyFont="1" applyFill="1" applyBorder="1" applyAlignment="1">
      <alignment horizontal="center" vertical="center" wrapText="1"/>
    </xf>
    <xf numFmtId="10" fontId="18" fillId="0" borderId="0" xfId="3" applyNumberFormat="1" applyFont="1" applyFill="1" applyBorder="1" applyAlignment="1">
      <alignment horizontal="center" vertical="center" wrapText="1"/>
    </xf>
    <xf numFmtId="1" fontId="4" fillId="0" borderId="0" xfId="0" applyNumberFormat="1" applyFont="1" applyAlignment="1">
      <alignment vertical="center" wrapText="1"/>
    </xf>
    <xf numFmtId="42" fontId="2" fillId="0" borderId="0" xfId="1" applyFont="1" applyFill="1" applyBorder="1" applyAlignment="1">
      <alignment horizontal="right" vertical="center" wrapText="1"/>
    </xf>
    <xf numFmtId="42" fontId="4" fillId="0" borderId="2" xfId="0" applyNumberFormat="1" applyFont="1" applyBorder="1" applyAlignment="1">
      <alignment vertical="center" wrapText="1"/>
    </xf>
    <xf numFmtId="0" fontId="4" fillId="0" borderId="0" xfId="0" applyFont="1" applyAlignment="1">
      <alignment horizontal="right" vertical="center"/>
    </xf>
    <xf numFmtId="14" fontId="4" fillId="0" borderId="3" xfId="0" applyNumberFormat="1" applyFont="1" applyBorder="1" applyAlignment="1">
      <alignment horizontal="center" vertical="center" wrapText="1"/>
    </xf>
    <xf numFmtId="42" fontId="4" fillId="0" borderId="0" xfId="1" applyFont="1" applyFill="1" applyAlignment="1">
      <alignment vertical="center" wrapText="1"/>
    </xf>
    <xf numFmtId="164" fontId="4" fillId="0" borderId="0" xfId="0" applyNumberFormat="1" applyFont="1" applyAlignment="1">
      <alignment horizontal="right" vertical="center" wrapText="1"/>
    </xf>
    <xf numFmtId="167" fontId="2" fillId="0" borderId="0" xfId="0" applyNumberFormat="1" applyFont="1" applyAlignment="1">
      <alignment horizontal="center" vertical="center" wrapText="1"/>
    </xf>
    <xf numFmtId="167" fontId="4" fillId="0" borderId="0" xfId="0" applyNumberFormat="1" applyFont="1" applyAlignment="1">
      <alignment horizontal="center" vertical="center" wrapText="1"/>
    </xf>
    <xf numFmtId="42" fontId="4" fillId="0" borderId="0" xfId="0" applyNumberFormat="1" applyFont="1" applyAlignment="1">
      <alignment horizontal="right" vertical="center" wrapText="1"/>
    </xf>
    <xf numFmtId="14" fontId="4" fillId="0" borderId="0" xfId="0" applyNumberFormat="1" applyFont="1" applyAlignment="1">
      <alignment vertical="center" wrapText="1"/>
    </xf>
    <xf numFmtId="0" fontId="25" fillId="0" borderId="0" xfId="0" applyFont="1" applyAlignment="1">
      <alignment vertical="center"/>
    </xf>
    <xf numFmtId="0" fontId="4" fillId="0" borderId="0" xfId="0" applyFont="1" applyAlignment="1">
      <alignment horizontal="left" vertical="center" wrapText="1"/>
    </xf>
    <xf numFmtId="42" fontId="25" fillId="0" borderId="0" xfId="0" applyNumberFormat="1" applyFont="1" applyAlignment="1">
      <alignment horizontal="center" vertical="center" wrapText="1"/>
    </xf>
    <xf numFmtId="42" fontId="25" fillId="0" borderId="0" xfId="0" applyNumberFormat="1" applyFont="1" applyAlignment="1">
      <alignment vertical="center" wrapText="1"/>
    </xf>
    <xf numFmtId="42" fontId="4" fillId="0" borderId="0" xfId="1" applyFont="1" applyFill="1" applyBorder="1" applyAlignment="1" applyProtection="1">
      <alignment vertical="center" wrapText="1"/>
      <protection locked="0"/>
    </xf>
    <xf numFmtId="1" fontId="4" fillId="0" borderId="0" xfId="0" applyNumberFormat="1" applyFont="1" applyAlignment="1">
      <alignment horizontal="center" vertical="center" wrapText="1"/>
    </xf>
    <xf numFmtId="169" fontId="4" fillId="0" borderId="0" xfId="0" applyNumberFormat="1" applyFont="1" applyAlignment="1">
      <alignment horizontal="center" vertical="center" wrapText="1"/>
    </xf>
    <xf numFmtId="0" fontId="4" fillId="0" borderId="0" xfId="1" applyNumberFormat="1" applyFont="1" applyFill="1" applyBorder="1" applyAlignment="1">
      <alignment horizontal="center" vertical="center"/>
    </xf>
    <xf numFmtId="0" fontId="4" fillId="0" borderId="0" xfId="1" applyNumberFormat="1" applyFont="1" applyFill="1" applyBorder="1" applyAlignment="1">
      <alignment horizontal="center" vertical="center" wrapText="1"/>
    </xf>
    <xf numFmtId="0" fontId="25" fillId="0" borderId="0" xfId="0" applyFont="1" applyAlignment="1">
      <alignment vertical="center" wrapText="1"/>
    </xf>
    <xf numFmtId="0" fontId="26" fillId="0" borderId="0" xfId="0" applyFont="1" applyAlignment="1">
      <alignment vertical="center" wrapText="1"/>
    </xf>
    <xf numFmtId="41" fontId="4" fillId="0" borderId="0" xfId="5" applyFont="1" applyFill="1" applyAlignment="1">
      <alignment vertical="center" wrapText="1"/>
    </xf>
    <xf numFmtId="0" fontId="5" fillId="0" borderId="0" xfId="0" applyFont="1" applyAlignment="1">
      <alignment vertical="center"/>
    </xf>
    <xf numFmtId="0" fontId="3" fillId="0" borderId="0" xfId="0" applyFont="1" applyAlignment="1">
      <alignment horizontal="center" vertical="center"/>
    </xf>
    <xf numFmtId="14" fontId="4" fillId="0" borderId="0" xfId="0" applyNumberFormat="1" applyFont="1" applyAlignment="1">
      <alignment horizontal="center" vertical="center"/>
    </xf>
    <xf numFmtId="42" fontId="4" fillId="0" borderId="0" xfId="1" applyFont="1" applyFill="1" applyBorder="1" applyAlignment="1" applyProtection="1">
      <alignment horizontal="right" vertical="center"/>
    </xf>
    <xf numFmtId="0" fontId="4" fillId="0" borderId="0" xfId="0" applyFont="1" applyAlignment="1">
      <alignment horizontal="center" vertical="center"/>
    </xf>
    <xf numFmtId="42" fontId="4" fillId="0" borderId="0" xfId="1" applyFont="1" applyFill="1" applyBorder="1" applyAlignment="1" applyProtection="1">
      <alignment vertical="center"/>
      <protection locked="0"/>
    </xf>
    <xf numFmtId="164" fontId="4" fillId="0" borderId="0" xfId="1" applyNumberFormat="1" applyFont="1" applyFill="1" applyBorder="1" applyAlignment="1" applyProtection="1">
      <alignment horizontal="right" vertical="center"/>
    </xf>
    <xf numFmtId="169" fontId="4" fillId="0" borderId="0" xfId="0" applyNumberFormat="1" applyFont="1" applyAlignment="1">
      <alignment horizontal="center" vertical="center"/>
    </xf>
    <xf numFmtId="10" fontId="3" fillId="0" borderId="0" xfId="3" applyNumberFormat="1" applyFont="1" applyFill="1" applyBorder="1" applyAlignment="1">
      <alignment horizontal="center" vertical="center"/>
    </xf>
    <xf numFmtId="42" fontId="4" fillId="0" borderId="0" xfId="1" applyFont="1" applyFill="1" applyBorder="1" applyAlignment="1">
      <alignment horizontal="center" vertical="center"/>
    </xf>
    <xf numFmtId="0" fontId="5" fillId="0" borderId="0" xfId="0" applyFont="1" applyAlignment="1">
      <alignment horizontal="center" vertical="center"/>
    </xf>
    <xf numFmtId="1" fontId="4" fillId="0" borderId="0" xfId="0" applyNumberFormat="1" applyFont="1" applyAlignment="1">
      <alignment horizontal="center" vertical="center"/>
    </xf>
    <xf numFmtId="42" fontId="4" fillId="0" borderId="0" xfId="0" applyNumberFormat="1" applyFont="1" applyAlignment="1" applyProtection="1">
      <alignment vertical="center" wrapText="1"/>
      <protection locked="0"/>
    </xf>
    <xf numFmtId="170" fontId="18" fillId="0" borderId="0" xfId="0" applyNumberFormat="1" applyFont="1" applyAlignment="1">
      <alignment horizontal="center" vertical="center" wrapText="1"/>
    </xf>
    <xf numFmtId="10" fontId="4" fillId="0" borderId="0" xfId="3" applyNumberFormat="1" applyFont="1" applyFill="1" applyBorder="1" applyAlignment="1">
      <alignment horizontal="center" vertical="center" wrapText="1"/>
    </xf>
    <xf numFmtId="9" fontId="2" fillId="0" borderId="0" xfId="3" applyFont="1" applyAlignment="1">
      <alignment vertical="center" wrapText="1"/>
    </xf>
    <xf numFmtId="0" fontId="2" fillId="0" borderId="0" xfId="0" applyFont="1" applyAlignment="1">
      <alignment horizontal="center" vertical="center"/>
    </xf>
    <xf numFmtId="1" fontId="4" fillId="0" borderId="0" xfId="0" applyNumberFormat="1" applyFont="1" applyAlignment="1">
      <alignment vertical="center"/>
    </xf>
    <xf numFmtId="0" fontId="9" fillId="0" borderId="0" xfId="0" applyFont="1" applyAlignment="1">
      <alignment vertical="center"/>
    </xf>
    <xf numFmtId="42" fontId="2" fillId="0" borderId="0" xfId="0" applyNumberFormat="1" applyFont="1" applyAlignment="1">
      <alignment vertical="center" wrapText="1"/>
    </xf>
    <xf numFmtId="169" fontId="2" fillId="0" borderId="0" xfId="0" applyNumberFormat="1" applyFont="1" applyAlignment="1">
      <alignment horizontal="center" vertical="center" wrapText="1"/>
    </xf>
    <xf numFmtId="42" fontId="2" fillId="0" borderId="0" xfId="0" applyNumberFormat="1" applyFont="1" applyAlignment="1">
      <alignment horizontal="center" vertical="center" wrapText="1"/>
    </xf>
    <xf numFmtId="10" fontId="3" fillId="0" borderId="3" xfId="3" applyNumberFormat="1" applyFont="1" applyFill="1" applyBorder="1" applyAlignment="1">
      <alignment horizontal="center" vertical="center"/>
    </xf>
    <xf numFmtId="44" fontId="4" fillId="0" borderId="3" xfId="6" applyFont="1" applyFill="1" applyBorder="1" applyAlignment="1">
      <alignment horizontal="center" vertical="center" wrapText="1"/>
    </xf>
    <xf numFmtId="44" fontId="0" fillId="0" borderId="7" xfId="0" applyNumberFormat="1" applyBorder="1" applyAlignment="1">
      <alignment horizontal="center" vertical="center"/>
    </xf>
    <xf numFmtId="14" fontId="2" fillId="0" borderId="0" xfId="0" applyNumberFormat="1" applyFont="1" applyAlignment="1">
      <alignment horizontal="center" vertical="center"/>
    </xf>
    <xf numFmtId="164" fontId="2" fillId="0" borderId="0" xfId="1" applyNumberFormat="1" applyFont="1" applyFill="1" applyBorder="1" applyAlignment="1" applyProtection="1">
      <alignment horizontal="right" vertical="center"/>
    </xf>
    <xf numFmtId="169" fontId="2" fillId="0" borderId="0" xfId="0" applyNumberFormat="1" applyFont="1" applyAlignment="1">
      <alignment horizontal="center" vertical="center"/>
    </xf>
    <xf numFmtId="165" fontId="5" fillId="0" borderId="0" xfId="0" applyNumberFormat="1" applyFont="1" applyAlignment="1">
      <alignment vertical="center"/>
    </xf>
    <xf numFmtId="166" fontId="4" fillId="0" borderId="3" xfId="1" applyNumberFormat="1" applyFont="1" applyFill="1" applyBorder="1" applyAlignment="1">
      <alignment horizontal="center" vertical="center"/>
    </xf>
    <xf numFmtId="9" fontId="9" fillId="0" borderId="0" xfId="0" applyNumberFormat="1" applyFont="1" applyAlignment="1">
      <alignment vertical="center" wrapText="1"/>
    </xf>
    <xf numFmtId="0" fontId="2" fillId="12" borderId="0" xfId="0" applyFont="1" applyFill="1" applyAlignment="1">
      <alignment vertical="center" wrapText="1"/>
    </xf>
    <xf numFmtId="14" fontId="9" fillId="0" borderId="0" xfId="0" applyNumberFormat="1" applyFont="1" applyAlignment="1">
      <alignment vertical="center" wrapText="1"/>
    </xf>
    <xf numFmtId="42" fontId="10" fillId="0" borderId="0" xfId="0" applyNumberFormat="1" applyFont="1" applyAlignment="1">
      <alignment vertical="center" wrapText="1"/>
    </xf>
    <xf numFmtId="42" fontId="10" fillId="0" borderId="0" xfId="0" applyNumberFormat="1" applyFont="1" applyAlignment="1">
      <alignment horizontal="center" vertical="center" wrapText="1"/>
    </xf>
    <xf numFmtId="9" fontId="9" fillId="0" borderId="3" xfId="0" applyNumberFormat="1" applyFont="1" applyBorder="1" applyAlignment="1">
      <alignment vertical="center" wrapText="1"/>
    </xf>
    <xf numFmtId="42" fontId="10" fillId="0" borderId="0" xfId="1" applyFont="1" applyFill="1" applyBorder="1" applyAlignment="1" applyProtection="1">
      <alignment horizontal="right" vertical="center" wrapText="1"/>
    </xf>
    <xf numFmtId="0" fontId="18" fillId="0" borderId="0" xfId="0" applyFont="1" applyAlignment="1">
      <alignment horizontal="center" vertical="center"/>
    </xf>
    <xf numFmtId="42" fontId="2" fillId="0" borderId="0" xfId="0" applyNumberFormat="1" applyFont="1" applyAlignment="1">
      <alignment vertical="center"/>
    </xf>
    <xf numFmtId="42" fontId="3" fillId="0" borderId="3" xfId="1" applyFont="1" applyFill="1" applyBorder="1" applyAlignment="1">
      <alignment horizontal="center" vertical="center" wrapText="1"/>
    </xf>
    <xf numFmtId="0" fontId="10" fillId="0" borderId="0" xfId="0" applyFont="1" applyAlignment="1">
      <alignment horizontal="left" vertical="center"/>
    </xf>
    <xf numFmtId="42" fontId="2" fillId="0" borderId="0" xfId="0" applyNumberFormat="1" applyFont="1" applyAlignment="1">
      <alignment horizontal="right" vertical="center" wrapText="1"/>
    </xf>
    <xf numFmtId="0" fontId="19" fillId="0" borderId="0" xfId="0" applyFont="1" applyAlignment="1">
      <alignment horizontal="center" vertical="center" wrapText="1"/>
    </xf>
    <xf numFmtId="14" fontId="0" fillId="0" borderId="0" xfId="0" applyNumberFormat="1" applyAlignment="1">
      <alignment horizontal="center" vertical="center" wrapText="1"/>
    </xf>
    <xf numFmtId="42" fontId="6" fillId="0" borderId="0" xfId="0" applyNumberFormat="1" applyFont="1" applyAlignment="1">
      <alignment horizontal="center" vertical="center" wrapText="1"/>
    </xf>
    <xf numFmtId="0" fontId="27" fillId="0" borderId="0" xfId="0" applyFont="1" applyAlignment="1">
      <alignment vertical="center"/>
    </xf>
    <xf numFmtId="0" fontId="27" fillId="0" borderId="0" xfId="0" applyFont="1" applyAlignment="1">
      <alignment horizontal="left" vertical="center"/>
    </xf>
    <xf numFmtId="0" fontId="7" fillId="0" borderId="0" xfId="4" applyNumberFormat="1" applyFill="1" applyBorder="1" applyAlignment="1">
      <alignment horizontal="left" vertical="center"/>
    </xf>
    <xf numFmtId="0" fontId="6" fillId="0" borderId="3" xfId="0" applyFont="1" applyBorder="1" applyAlignment="1">
      <alignment horizontal="right" vertical="center" wrapText="1"/>
    </xf>
    <xf numFmtId="42" fontId="4" fillId="0" borderId="0" xfId="1" applyFont="1" applyFill="1" applyBorder="1" applyAlignment="1">
      <alignment horizontal="right" vertical="center" wrapText="1"/>
    </xf>
    <xf numFmtId="0" fontId="24" fillId="0" borderId="9" xfId="0" applyFont="1" applyBorder="1" applyAlignment="1">
      <alignment vertical="center"/>
    </xf>
    <xf numFmtId="0" fontId="24" fillId="0" borderId="8" xfId="0" applyFont="1" applyBorder="1" applyAlignment="1">
      <alignment vertical="center"/>
    </xf>
    <xf numFmtId="0" fontId="21" fillId="0" borderId="0" xfId="0" applyFont="1" applyAlignment="1">
      <alignment vertical="center" readingOrder="1"/>
    </xf>
    <xf numFmtId="0" fontId="21" fillId="0" borderId="0" xfId="0" applyFont="1" applyAlignment="1">
      <alignment horizontal="center" vertical="center" readingOrder="1"/>
    </xf>
    <xf numFmtId="0" fontId="21" fillId="0" borderId="0" xfId="0" applyFont="1" applyAlignment="1">
      <alignment horizontal="center" vertical="center" readingOrder="1"/>
    </xf>
    <xf numFmtId="0" fontId="21" fillId="0" borderId="0" xfId="0" applyFont="1" applyBorder="1" applyAlignment="1">
      <alignment horizontal="left" vertical="center" readingOrder="1"/>
    </xf>
    <xf numFmtId="0" fontId="22" fillId="10" borderId="10" xfId="0" applyFont="1" applyFill="1" applyBorder="1" applyAlignment="1" applyProtection="1">
      <alignment horizontal="center" vertical="center" wrapText="1"/>
      <protection locked="0"/>
    </xf>
    <xf numFmtId="0" fontId="22" fillId="10" borderId="10" xfId="0" applyFont="1" applyFill="1" applyBorder="1" applyAlignment="1" applyProtection="1">
      <alignment vertical="center" wrapText="1"/>
      <protection locked="0"/>
    </xf>
    <xf numFmtId="0" fontId="22" fillId="11" borderId="10" xfId="0" applyFont="1" applyFill="1" applyBorder="1" applyAlignment="1" applyProtection="1">
      <alignment horizontal="center" vertical="center" wrapText="1"/>
      <protection locked="0"/>
    </xf>
    <xf numFmtId="0" fontId="23" fillId="11" borderId="10" xfId="0" applyFont="1" applyFill="1" applyBorder="1" applyAlignment="1" applyProtection="1">
      <alignment horizontal="center" vertical="center" wrapText="1"/>
      <protection locked="0"/>
    </xf>
    <xf numFmtId="0" fontId="22" fillId="8" borderId="10" xfId="0" applyFont="1" applyFill="1" applyBorder="1" applyAlignment="1">
      <alignment horizontal="center" vertical="center" wrapText="1"/>
    </xf>
    <xf numFmtId="10" fontId="22" fillId="9" borderId="10" xfId="0" applyNumberFormat="1" applyFont="1" applyFill="1" applyBorder="1" applyAlignment="1">
      <alignment horizontal="center" vertical="center" wrapText="1"/>
    </xf>
    <xf numFmtId="0" fontId="22" fillId="9" borderId="10" xfId="0" applyFont="1" applyFill="1" applyBorder="1" applyAlignment="1">
      <alignment horizontal="center" vertical="center" wrapText="1"/>
    </xf>
    <xf numFmtId="0" fontId="21" fillId="0" borderId="0" xfId="0" applyFont="1" applyBorder="1" applyAlignment="1">
      <alignment vertical="center" readingOrder="1"/>
    </xf>
    <xf numFmtId="0" fontId="21" fillId="0" borderId="0" xfId="0" applyFont="1" applyBorder="1" applyAlignment="1">
      <alignment horizontal="center" vertical="center" readingOrder="1"/>
    </xf>
    <xf numFmtId="0" fontId="14" fillId="10" borderId="11" xfId="0" applyFont="1" applyFill="1" applyBorder="1" applyAlignment="1" applyProtection="1">
      <alignment vertical="center" wrapText="1"/>
      <protection locked="0"/>
    </xf>
    <xf numFmtId="0" fontId="24" fillId="0" borderId="0" xfId="0" applyFont="1" applyBorder="1" applyAlignment="1">
      <alignment vertical="center"/>
    </xf>
    <xf numFmtId="0" fontId="24" fillId="0" borderId="8" xfId="0" applyFont="1" applyBorder="1" applyAlignment="1">
      <alignment vertical="top"/>
    </xf>
    <xf numFmtId="0" fontId="23" fillId="11" borderId="10" xfId="0" applyFont="1" applyFill="1" applyBorder="1" applyAlignment="1" applyProtection="1">
      <alignment vertical="center" wrapText="1"/>
      <protection locked="0"/>
    </xf>
    <xf numFmtId="0" fontId="2" fillId="0" borderId="0" xfId="0" applyFont="1" applyBorder="1" applyAlignment="1">
      <alignment vertical="center" wrapText="1"/>
    </xf>
  </cellXfs>
  <cellStyles count="7">
    <cellStyle name="Hipervínculo" xfId="4" builtinId="8"/>
    <cellStyle name="Hipervínculo 2 6" xfId="2" xr:uid="{F8D4C686-A166-471F-8CFB-8C9ADFBE45D1}"/>
    <cellStyle name="Millares [0]" xfId="5" builtinId="6"/>
    <cellStyle name="Moneda" xfId="6" builtinId="4"/>
    <cellStyle name="Moneda [0]" xfId="1" builtinId="7"/>
    <cellStyle name="Normal" xfId="0" builtinId="0"/>
    <cellStyle name="Porcentaje" xfId="3" builtinId="5"/>
  </cellStyles>
  <dxfs count="288">
    <dxf>
      <font>
        <b val="0"/>
        <i val="0"/>
        <strike val="0"/>
        <condense val="0"/>
        <extend val="0"/>
        <outline val="0"/>
        <shadow val="0"/>
        <u val="none"/>
        <vertAlign val="baseline"/>
        <sz val="11"/>
        <color theme="1"/>
        <name val="Calibri"/>
        <family val="2"/>
        <scheme val="none"/>
      </font>
      <numFmt numFmtId="32" formatCode="_-&quot;$&quot;\ * #,##0_-;\-&quot;$&quot;\ * #,##0_-;_-&quot;$&quot;\ * &quot;-&quot;_-;_-@_-"/>
      <fill>
        <patternFill patternType="none">
          <fgColor indexed="64"/>
          <bgColor auto="1"/>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1" indent="0" justifyLastLine="0" shrinkToFit="0" readingOrder="0"/>
    </dxf>
    <dxf>
      <font>
        <strike val="0"/>
        <outline val="0"/>
        <shadow val="0"/>
        <u val="none"/>
        <vertAlign val="baseline"/>
        <sz val="11"/>
        <color auto="1"/>
        <name val="Calibri"/>
        <family val="2"/>
        <scheme val="none"/>
      </font>
      <numFmt numFmtId="32" formatCode="_-&quot;$&quot;\ * #,##0_-;\-&quot;$&quot;\ * #,##0_-;_-&quot;$&quot;\ * &quot;-&quot;_-;_-@_-"/>
      <fill>
        <patternFill patternType="none">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2" formatCode="_-&quot;$&quot;\ * #,##0_-;\-&quot;$&quot;\ * #,##0_-;_-&quot;$&quot;\ * &quot;-&quot;_-;_-@_-"/>
      <fill>
        <patternFill patternType="none">
          <fgColor indexed="64"/>
          <bgColor auto="1"/>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none"/>
      </font>
      <numFmt numFmtId="32" formatCode="_-&quot;$&quot;\ * #,##0_-;\-&quot;$&quot;\ * #,##0_-;_-&quot;$&quot;\ * &quot;-&quot;_-;_-@_-"/>
      <fill>
        <patternFill patternType="none">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ill>
        <patternFill>
          <bgColor theme="7" tint="0.79998168889431442"/>
        </patternFill>
      </fill>
    </dxf>
    <dxf>
      <fill>
        <patternFill>
          <bgColor theme="5" tint="0.59996337778862885"/>
        </patternFill>
      </fill>
    </dxf>
    <dxf>
      <fill>
        <patternFill>
          <bgColor theme="7" tint="0.59996337778862885"/>
        </patternFill>
      </fill>
    </dxf>
    <dxf>
      <fill>
        <patternFill>
          <bgColor rgb="FFFF0000"/>
        </patternFill>
      </fill>
    </dxf>
    <dxf>
      <fill>
        <patternFill>
          <bgColor rgb="FFFF9999"/>
        </patternFill>
      </fill>
    </dxf>
    <dxf>
      <fill>
        <patternFill>
          <bgColor theme="7" tint="0.39994506668294322"/>
        </patternFill>
      </fill>
    </dxf>
    <dxf>
      <fill>
        <patternFill>
          <bgColor theme="7" tint="0.79998168889431442"/>
        </patternFill>
      </fill>
    </dxf>
    <dxf>
      <fill>
        <patternFill>
          <bgColor theme="5" tint="0.59996337778862885"/>
        </patternFill>
      </fill>
    </dxf>
    <dxf>
      <fill>
        <patternFill>
          <bgColor theme="7" tint="0.59996337778862885"/>
        </patternFill>
      </fill>
    </dxf>
    <dxf>
      <fill>
        <patternFill>
          <bgColor rgb="FFFF0000"/>
        </patternFill>
      </fill>
    </dxf>
    <dxf>
      <fill>
        <patternFill>
          <bgColor rgb="FFFF9999"/>
        </patternFill>
      </fill>
    </dxf>
    <dxf>
      <fill>
        <patternFill>
          <bgColor theme="7" tint="0.39994506668294322"/>
        </patternFill>
      </fill>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14" formatCode="0.00%"/>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14" formatCode="0.00%"/>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5" formatCode="0.0%"/>
      <fill>
        <patternFill patternType="none">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7" formatCode="d/mm/yyyy"/>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family val="2"/>
        <scheme val="none"/>
      </font>
      <numFmt numFmtId="165" formatCode="0.0%"/>
      <fill>
        <patternFill patternType="none">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numFmt numFmtId="169" formatCode="dd/mm/yyyy;@"/>
      <fill>
        <patternFill patternType="none">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numFmt numFmtId="167" formatCode="d/mm/yyyy"/>
      <fill>
        <patternFill patternType="none">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numFmt numFmtId="167" formatCode="d/mm/yyyy"/>
      <fill>
        <patternFill patternType="none">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fill>
        <patternFill patternType="none">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4" formatCode="#,##0;[Red]#,##0"/>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4" formatCode="#,##0;[Red]#,##0"/>
      <fill>
        <patternFill patternType="none">
          <fgColor indexed="64"/>
          <bgColor auto="1"/>
        </patternFill>
      </fill>
      <alignment horizontal="right"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4" formatCode="#,##0;[Red]#,##0"/>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numFmt numFmtId="164" formatCode="#,##0;[Red]#,##0"/>
      <fill>
        <patternFill patternType="none">
          <fgColor indexed="64"/>
          <bgColor auto="1"/>
        </patternFill>
      </fill>
      <alignment horizontal="right"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32" formatCode="_-&quot;$&quot;\ * #,##0_-;\-&quot;$&quot;\ * #,##0_-;_-&quot;$&quot;\ * &quot;-&quot;_-;_-@_-"/>
      <fill>
        <patternFill patternType="none">
          <fgColor indexed="64"/>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32" formatCode="_-&quot;$&quot;\ * #,##0_-;\-&quot;$&quot;\ * #,##0_-;_-&quot;$&quot;\ * &quot;-&quot;_-;_-@_-"/>
      <fill>
        <patternFill patternType="none">
          <fgColor indexed="64"/>
          <bgColor auto="1"/>
        </patternFill>
      </fill>
      <alignment horizontal="right"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strike val="0"/>
        <outline val="0"/>
        <shadow val="0"/>
        <u val="none"/>
        <vertAlign val="baseline"/>
        <sz val="11"/>
        <color auto="1"/>
        <name val="Calibri"/>
        <family val="2"/>
        <scheme val="none"/>
      </font>
      <numFmt numFmtId="32" formatCode="_-&quot;$&quot;\ * #,##0_-;\-&quot;$&quot;\ * #,##0_-;_-&quot;$&quot;\ * &quot;-&quot;_-;_-@_-"/>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none">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right"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Calibri"/>
        <family val="2"/>
        <scheme val="none"/>
      </font>
      <fill>
        <patternFill patternType="none">
          <bgColor auto="1"/>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none">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strike val="0"/>
        <outline val="0"/>
        <shadow val="0"/>
        <u val="none"/>
        <vertAlign val="baseline"/>
        <sz val="11"/>
      </font>
      <fill>
        <patternFill patternType="none">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none">
          <bgColor auto="1"/>
        </patternFill>
      </fill>
      <alignment horizontal="general" vertical="center" textRotation="0" wrapText="1" indent="0" justifyLastLine="0" shrinkToFit="0" readingOrder="0"/>
      <protection locked="1" hidden="0"/>
    </dxf>
    <dxf>
      <fill>
        <patternFill patternType="solid">
          <fgColor rgb="FFFF0000"/>
          <bgColor rgb="FF000000"/>
        </patternFill>
      </fill>
    </dxf>
    <dxf>
      <fill>
        <patternFill patternType="solid">
          <fgColor rgb="FFFF0000"/>
          <bgColor rgb="FF000000"/>
        </patternFill>
      </fill>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14" formatCode="0.00%"/>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14" formatCode="0.00%"/>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5" formatCode="0.0%"/>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7" formatCode="d/mm/yyyy"/>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family val="2"/>
        <scheme val="none"/>
      </font>
      <numFmt numFmtId="165" formatCode="0.0%"/>
      <fill>
        <patternFill patternType="none">
          <fgColor indexed="64"/>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numFmt numFmtId="169" formatCode="dd/mm/yyyy;@"/>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numFmt numFmtId="167" formatCode="d/mm/yyyy"/>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numFmt numFmtId="167" formatCode="d/mm/yyyy"/>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4" formatCode="#,##0;[Red]#,##0"/>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 formatCode="0"/>
      <fill>
        <patternFill patternType="none">
          <fgColor indexed="64"/>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4" formatCode="#,##0;[Red]#,##0"/>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4" formatCode="#,##0;[Red]#,##0"/>
      <fill>
        <patternFill patternType="none">
          <fgColor indexed="64"/>
          <bgColor indexed="65"/>
        </patternFill>
      </fill>
      <alignment horizontal="right"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32" formatCode="_-&quot;$&quot;\ * #,##0_-;\-&quot;$&quot;\ * #,##0_-;_-&quot;$&quot;\ * &quot;-&quot;_-;_-@_-"/>
      <fill>
        <patternFill patternType="none">
          <fgColor indexed="64"/>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32" formatCode="_-&quot;$&quot;\ * #,##0_-;\-&quot;$&quot;\ * #,##0_-;_-&quot;$&quot;\ * &quot;-&quot;_-;_-@_-"/>
      <fill>
        <patternFill patternType="none">
          <fgColor indexed="64"/>
          <bgColor auto="1"/>
        </patternFill>
      </fill>
      <alignment horizontal="right"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32" formatCode="_-&quot;$&quot;\ * #,##0_-;\-&quot;$&quot;\ * #,##0_-;_-&quot;$&quot;\ * &quot;-&quot;_-;_-@_-"/>
      <fill>
        <patternFill patternType="none">
          <fgColor indexed="64"/>
          <bgColor auto="1"/>
        </patternFill>
      </fill>
      <alignment horizontal="right"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strike val="0"/>
        <outline val="0"/>
        <shadow val="0"/>
        <u val="none"/>
        <vertAlign val="baseline"/>
        <sz val="11"/>
        <color auto="1"/>
        <name val="Calibri"/>
        <family val="2"/>
        <scheme val="none"/>
      </font>
      <numFmt numFmtId="32" formatCode="_-&quot;$&quot;\ * #,##0_-;\-&quot;$&quot;\ * #,##0_-;_-&quot;$&quot;\ * &quot;-&quot;_-;_-@_-"/>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strike val="0"/>
        <outline val="0"/>
        <shadow val="0"/>
        <u val="none"/>
        <vertAlign val="baseline"/>
        <sz val="11"/>
        <color auto="1"/>
        <name val="Calibri"/>
        <family val="2"/>
        <scheme val="none"/>
      </font>
      <numFmt numFmtId="32" formatCode="_-&quot;$&quot;\ * #,##0_-;\-&quot;$&quot;\ * #,##0_-;_-&quot;$&quot;\ * &quot;-&quot;_-;_-@_-"/>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right"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Calibri"/>
        <family val="2"/>
        <scheme val="none"/>
      </font>
      <fill>
        <patternFill patternType="none">
          <fgColor indexed="64"/>
          <bgColor auto="1"/>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strike val="0"/>
        <outline val="0"/>
        <shadow val="0"/>
        <u val="none"/>
        <vertAlign val="baseline"/>
        <sz val="11"/>
      </font>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border outline="0">
        <top style="medium">
          <color auto="1"/>
        </top>
        <bottom style="thin">
          <color rgb="FF000000"/>
        </bottom>
      </border>
    </dxf>
    <dxf>
      <font>
        <b val="0"/>
        <i val="0"/>
        <strike val="0"/>
        <condense val="0"/>
        <extend val="0"/>
        <outline val="0"/>
        <shadow val="0"/>
        <u val="none"/>
        <vertAlign val="baseline"/>
        <sz val="11"/>
        <color rgb="FF000000"/>
        <name val="Calibri"/>
        <family val="2"/>
        <scheme val="none"/>
      </font>
      <fill>
        <patternFill patternType="none">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indexed="9"/>
        <name val="Calibr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0" formatCode="General"/>
      <fill>
        <patternFill patternType="none">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none">
          <fgColor indexed="64"/>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fill>
        <patternFill patternType="none">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numFmt numFmtId="14" formatCode="0.00%"/>
      <fill>
        <patternFill patternType="none">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numFmt numFmtId="14" formatCode="0.00%"/>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5" formatCode="0.0%"/>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7" formatCode="d/mm/yyyy"/>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000000"/>
        <name val="Calibri"/>
        <family val="2"/>
        <scheme val="none"/>
      </font>
      <numFmt numFmtId="165" formatCode="0.0%"/>
      <fill>
        <patternFill patternType="none">
          <fgColor indexed="64"/>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169" formatCode="dd/mm/yyyy;@"/>
      <fill>
        <patternFill patternType="none">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167" formatCode="d/mm/yyyy"/>
      <fill>
        <patternFill patternType="none">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167" formatCode="d/mm/yyyy"/>
      <fill>
        <patternFill patternType="none">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164" formatCode="#,##0;[Red]#,##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164" formatCode="#,##0;[Red]#,##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164" formatCode="#,##0;[Red]#,##0"/>
      <fill>
        <patternFill patternType="none">
          <fgColor indexed="64"/>
          <bgColor auto="1"/>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164" formatCode="#,##0;[Red]#,##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164" formatCode="#,##0;[Red]#,##0"/>
      <fill>
        <patternFill patternType="none">
          <fgColor indexed="64"/>
          <bgColor auto="1"/>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32" formatCode="_-&quot;$&quot;\ * #,##0_-;\-&quot;$&quot;\ * #,##0_-;_-&quot;$&quot;\ * &quot;-&quot;_-;_-@_-"/>
      <fill>
        <patternFill patternType="none">
          <fgColor indexed="64"/>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32" formatCode="_-&quot;$&quot;\ * #,##0_-;\-&quot;$&quot;\ * #,##0_-;_-&quot;$&quot;\ * &quot;-&quot;_-;_-@_-"/>
      <fill>
        <patternFill patternType="none">
          <fgColor indexed="64"/>
          <bgColor auto="1"/>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0"/>
        <color theme="1"/>
        <name val="Calibri"/>
        <family val="2"/>
        <scheme val="none"/>
      </font>
      <numFmt numFmtId="32" formatCode="_-&quot;$&quot;\ * #,##0_-;\-&quot;$&quot;\ * #,##0_-;_-&quot;$&quot;\ * &quot;-&quot;_-;_-@_-"/>
      <fill>
        <patternFill patternType="none">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theme="1"/>
        <name val="Calibri"/>
        <family val="2"/>
        <scheme val="none"/>
      </font>
      <fill>
        <patternFill patternType="none">
          <fgColor indexed="64"/>
          <bgColor auto="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1" indent="0" justifyLastLine="0" shrinkToFit="0" readingOrder="0"/>
      <protection locked="1" hidden="0"/>
    </dxf>
    <dxf>
      <font>
        <strike val="0"/>
        <outline val="0"/>
        <shadow val="0"/>
        <u val="none"/>
        <vertAlign val="baseline"/>
        <sz val="11"/>
      </font>
      <fill>
        <patternFill patternType="none">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fill>
        <patternFill patternType="none">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rgb="FF000000"/>
        <name val="Calibri"/>
        <family val="2"/>
        <scheme val="none"/>
      </font>
      <fill>
        <patternFill patternType="none">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border outline="0">
        <top style="medium">
          <color auto="1"/>
        </top>
        <bottom style="thin">
          <color rgb="FF000000"/>
        </bottom>
      </border>
    </dxf>
    <dxf>
      <font>
        <b val="0"/>
        <i val="0"/>
        <strike val="0"/>
        <condense val="0"/>
        <extend val="0"/>
        <outline val="0"/>
        <shadow val="0"/>
        <u val="none"/>
        <vertAlign val="baseline"/>
        <sz val="11"/>
        <color rgb="FF000000"/>
        <name val="Calibri"/>
        <family val="2"/>
        <scheme val="none"/>
      </font>
      <fill>
        <patternFill patternType="none">
          <bgColor auto="1"/>
        </patternFill>
      </fill>
      <alignment horizontal="general" vertical="center" textRotation="0" wrapText="1" indent="0" justifyLastLine="0" shrinkToFit="0" readingOrder="0"/>
      <protection locked="1" hidden="0"/>
    </dxf>
    <dxf>
      <border>
        <bottom style="medium">
          <color theme="0" tint="-0.24994659260841701"/>
        </bottom>
      </border>
    </dxf>
    <dxf>
      <font>
        <b/>
        <i val="0"/>
        <strike val="0"/>
        <condense val="0"/>
        <extend val="0"/>
        <outline val="0"/>
        <shadow val="0"/>
        <u val="none"/>
        <vertAlign val="baseline"/>
        <sz val="11"/>
        <color indexed="9"/>
        <name val="Calibri"/>
        <family val="2"/>
        <scheme val="none"/>
      </font>
      <fill>
        <patternFill patternType="none">
          <fgColor indexed="64"/>
          <bgColor auto="1"/>
        </patternFill>
      </fill>
      <alignment horizontal="general" vertical="center" textRotation="0" wrapText="1" indent="0" justifyLastLine="0" shrinkToFit="0" readingOrder="0"/>
      <border diagonalUp="0" diagonalDown="0">
        <left style="medium">
          <color theme="0" tint="-0.24994659260841701"/>
        </left>
        <right style="medium">
          <color theme="0" tint="-0.24994659260841701"/>
        </right>
        <top/>
        <bottom/>
        <vertical style="medium">
          <color theme="0" tint="-0.24994659260841701"/>
        </vertical>
        <horizontal/>
      </border>
      <protection locked="1" hidden="0"/>
    </dxf>
    <dxf>
      <fill>
        <patternFill patternType="solid">
          <fgColor rgb="FFFF0000"/>
          <bgColor rgb="FF000000"/>
        </patternFill>
      </fill>
    </dxf>
    <dxf>
      <fill>
        <patternFill patternType="solid">
          <fgColor rgb="FFFF0000"/>
          <bgColor rgb="FF000000"/>
        </patternFill>
      </fill>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border outline="0">
        <top style="medium">
          <color auto="1"/>
        </top>
        <bottom style="thin">
          <color rgb="FF000000"/>
        </bottom>
      </border>
    </dxf>
    <dxf>
      <font>
        <b val="0"/>
        <i val="0"/>
        <strike val="0"/>
        <condense val="0"/>
        <extend val="0"/>
        <outline val="0"/>
        <shadow val="0"/>
        <u val="none"/>
        <vertAlign val="baseline"/>
        <sz val="11"/>
        <color rgb="FF000000"/>
        <name val="Calibri"/>
        <family val="2"/>
        <scheme val="none"/>
      </font>
      <fill>
        <patternFill patternType="none">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indexed="9"/>
        <name val="Calibr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0" formatCode="General"/>
      <fill>
        <patternFill patternType="none">
          <bgColor auto="1"/>
        </patternFill>
      </fill>
      <alignment horizontal="center" vertical="center" textRotation="0" wrapText="0" indent="0" justifyLastLine="0" shrinkToFit="0" readingOrder="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fill>
        <patternFill patternType="none">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14" formatCode="0.00%"/>
      <fill>
        <patternFill patternType="none">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14" formatCode="0.00%"/>
      <fill>
        <patternFill patternType="none">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5" formatCode="0.0%"/>
      <fill>
        <patternFill patternType="none">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7" formatCode="d/mm/yyyy"/>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family val="2"/>
        <scheme val="none"/>
      </font>
      <numFmt numFmtId="165" formatCode="0.0%"/>
      <fill>
        <patternFill patternType="none">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numFmt numFmtId="169" formatCode="dd/mm/yyyy;@"/>
      <fill>
        <patternFill patternType="none">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numFmt numFmtId="167" formatCode="d/mm/yyyy"/>
      <fill>
        <patternFill patternType="none">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numFmt numFmtId="167" formatCode="d/mm/yyyy"/>
      <fill>
        <patternFill patternType="none">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4" formatCode="#,##0;[Red]#,##0"/>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4" formatCode="#,##0;[Red]#,##0"/>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4" formatCode="#,##0;[Red]#,##0"/>
      <fill>
        <patternFill patternType="none">
          <fgColor indexed="64"/>
          <bgColor indexed="65"/>
        </patternFill>
      </fill>
      <alignment horizontal="right"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4" formatCode="#,##0;[Red]#,##0"/>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numFmt numFmtId="164" formatCode="#,##0;[Red]#,##0"/>
      <fill>
        <patternFill patternType="none">
          <fgColor indexed="64"/>
          <bgColor indexed="65"/>
        </patternFill>
      </fill>
      <alignment horizontal="right"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32" formatCode="_-&quot;$&quot;\ * #,##0_-;\-&quot;$&quot;\ * #,##0_-;_-&quot;$&quot;\ * &quot;-&quot;_-;_-@_-"/>
      <fill>
        <patternFill patternType="none">
          <fgColor indexed="64"/>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32" formatCode="_-&quot;$&quot;\ * #,##0_-;\-&quot;$&quot;\ * #,##0_-;_-&quot;$&quot;\ * &quot;-&quot;_-;_-@_-"/>
      <fill>
        <patternFill patternType="none">
          <fgColor indexed="64"/>
          <bgColor auto="1"/>
        </patternFill>
      </fill>
      <alignment horizontal="right"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2" formatCode="_-&quot;$&quot;\ * #,##0_-;\-&quot;$&quot;\ * #,##0_-;_-&quot;$&quot;\ * &quot;-&quot;_-;_-@_-"/>
      <fill>
        <patternFill patternType="none">
          <fgColor indexed="64"/>
          <bgColor auto="1"/>
        </patternFill>
      </fill>
      <alignment horizontal="right"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32" formatCode="_-&quot;$&quot;\ * #,##0_-;\-&quot;$&quot;\ * #,##0_-;_-&quot;$&quot;\ * &quot;-&quot;_-;_-@_-"/>
      <fill>
        <patternFill patternType="none">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2" formatCode="_-&quot;$&quot;\ * #,##0_-;\-&quot;$&quot;\ * #,##0_-;_-&quot;$&quot;\ * &quot;-&quot;_-;_-@_-"/>
      <fill>
        <patternFill patternType="none">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none">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Calibri"/>
        <family val="2"/>
        <scheme val="none"/>
      </font>
      <fill>
        <patternFill patternType="none">
          <bgColor auto="1"/>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none">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strike val="0"/>
        <outline val="0"/>
        <shadow val="0"/>
        <u val="none"/>
        <vertAlign val="baseline"/>
        <sz val="11"/>
      </font>
      <fill>
        <patternFill patternType="none">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none">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none">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family val="2"/>
        <scheme val="none"/>
      </font>
      <fill>
        <patternFill patternType="none">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border outline="0">
        <top style="medium">
          <color auto="1"/>
        </top>
        <bottom style="thin">
          <color rgb="FF000000"/>
        </bottom>
      </border>
    </dxf>
    <dxf>
      <font>
        <b val="0"/>
        <i val="0"/>
        <strike val="0"/>
        <condense val="0"/>
        <extend val="0"/>
        <outline val="0"/>
        <shadow val="0"/>
        <u val="none"/>
        <vertAlign val="baseline"/>
        <sz val="11"/>
        <color rgb="FF000000"/>
        <name val="Calibri"/>
        <family val="2"/>
        <scheme val="none"/>
      </font>
      <fill>
        <patternFill patternType="none">
          <bgColor auto="1"/>
        </patternFill>
      </fill>
      <alignment horizontal="general" vertical="center" textRotation="0" wrapText="1" indent="0" justifyLastLine="0" shrinkToFit="0" readingOrder="0"/>
      <protection locked="1" hidden="0"/>
    </dxf>
    <dxf>
      <border>
        <bottom style="medium">
          <color theme="0" tint="-0.24994659260841701"/>
        </bottom>
      </border>
    </dxf>
    <dxf>
      <font>
        <b/>
        <i val="0"/>
        <strike val="0"/>
        <condense val="0"/>
        <extend val="0"/>
        <outline val="0"/>
        <shadow val="0"/>
        <u val="none"/>
        <vertAlign val="baseline"/>
        <sz val="11"/>
        <color indexed="9"/>
        <name val="Calibri"/>
        <family val="2"/>
        <scheme val="none"/>
      </font>
      <fill>
        <patternFill patternType="none">
          <fgColor indexed="64"/>
          <bgColor auto="1"/>
        </patternFill>
      </fill>
      <alignment horizontal="general" vertical="center" textRotation="0" wrapText="1" indent="0" justifyLastLine="0" shrinkToFit="0" readingOrder="0"/>
      <border diagonalUp="0" diagonalDown="0">
        <left style="medium">
          <color theme="0" tint="-0.24994659260841701"/>
        </left>
        <right style="medium">
          <color theme="0" tint="-0.24994659260841701"/>
        </right>
        <top/>
        <bottom/>
        <vertical style="medium">
          <color theme="0" tint="-0.24994659260841701"/>
        </vertical>
        <horizontal/>
      </border>
      <protection locked="1" hidden="0"/>
    </dxf>
  </dxfs>
  <tableStyles count="0" defaultTableStyle="TableStyleMedium2" defaultPivotStyle="PivotStyleLight16"/>
  <colors>
    <mruColors>
      <color rgb="FFE63992"/>
      <color rgb="FFFFCCFF"/>
      <color rgb="FFCC66FF"/>
      <color rgb="FF9B4CBA"/>
      <color rgb="FFFF99FF"/>
      <color rgb="FFC0C0C0"/>
      <color rgb="FFFF3399"/>
      <color rgb="FFFF33CC"/>
      <color rgb="FF95E06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D54A47FB-F06C-449E-B5FE-164BA3B5A923}"/>
  <namedSheetView name="Vista 2" id="{769ECEA4-5C61-46CA-8EA4-C88A81846961}"/>
  <namedSheetView name="Vista 3" id="{93E146EF-0125-43C9-9277-BEF0BFE3BCB4}"/>
  <namedSheetView name="Vista 4" id="{B597A221-9299-43EB-94C9-CDB5BBFF6F5A}"/>
  <namedSheetView name="Vista 5" id="{D4B0208C-364C-4B2E-8525-EAF521A80468}"/>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0354FDD4-633D-4195-BD61-50F39792AECF}"/>
  <namedSheetView name="Vista 2" id="{980E77F4-E774-4E10-A6D5-A21F20B9FA5C}"/>
  <namedSheetView name="Vista 3" id="{8CD67158-2C0B-4433-B798-31CF51177F52}"/>
  <namedSheetView name="Vista 4" id="{7A2CC5DC-4BC3-40E1-A418-FFB65DBA1FE1}"/>
  <namedSheetView name="Vista 5" id="{69584B1D-5985-4E04-8168-52C6F80F766D}"/>
  <namedSheetView name="Vista 6" id="{30824651-E147-47A4-9967-6879DBE48699}"/>
  <namedSheetView name="Vista 7" id="{54DE137C-7386-4EEA-821B-DB4D98382603}"/>
  <namedSheetView name="Vista 8" id="{F5EA7E84-EFD4-4F55-B5F2-37B7DE854CDD}">
    <nsvFilter filterId="{3F9315A9-A7D7-4CFA-894A-0E208324D35C}" ref="A5:AC242" tableId="1">
      <columnFilter colId="0" id="{8DAAED24-C340-4DD8-8A05-C71BD2EE6B50}">
        <filter colId="0">
          <x:filters>
            <x:filter val="Sucursal Villavicencio"/>
          </x:filters>
        </filter>
      </columnFilter>
    </nsvFilter>
  </namedSheetView>
  <namedSheetView name="Vista 9" id="{0EA26629-99AA-44AE-B277-294F6AAD4C67}">
    <nsvFilter filterId="{3F9315A9-A7D7-4CFA-894A-0E208324D35C}" ref="A5:AC242" tableId="1">
      <columnFilter colId="3" id="{6DBBE71E-4435-4824-A59B-E444930EE42D}">
        <filter colId="3">
          <x:filters>
            <x:dateGroupItem year="2025" dateTimeGrouping="year"/>
          </x:filters>
        </filter>
      </columnFilter>
      <columnFilter colId="25" id="{D2508395-0C21-408E-89B9-DD02D230E63E}">
        <dxf>
          <x:fill>
            <x:patternFill patternType="solid">
              <x:fgColor rgb="FFFF0000"/>
              <x:bgColor rgb="FF000000"/>
            </x:patternFill>
          </x:fill>
        </dxf>
        <filter colId="25">
          <x:colorFilter/>
        </filter>
      </columnFilter>
    </nsvFilter>
  </namedSheetView>
  <namedSheetView name="Vista 10" id="{5932F5AC-1384-4C4F-8C38-1C1611BA31BB}">
    <nsvFilter filterId="{3F9315A9-A7D7-4CFA-894A-0E208324D35C}" ref="A5:AC242" tableId="1">
      <columnFilter colId="0" id="{8DAAED24-C340-4DD8-8A05-C71BD2EE6B50}">
        <filter colId="0">
          <x:filters>
            <x:filter val="Sucursal Sincelejo"/>
          </x:filters>
        </filter>
      </columnFilter>
      <columnFilter colId="25" id="{D2508395-0C21-408E-89B9-DD02D230E63E}">
        <dxf>
          <x:fill>
            <x:patternFill patternType="solid">
              <x:fgColor rgb="FFFF0000"/>
              <x:bgColor rgb="FF000000"/>
            </x:patternFill>
          </x:fill>
        </dxf>
        <filter colId="25">
          <x:colorFilter/>
        </filter>
      </columnFilter>
    </nsvFilter>
  </namedSheetView>
</namedSheetViews>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79EC6D94-3420-486E-88B6-C377E66E8641}"/>
  <namedSheetView name="Vista 2" id="{5CFCC10F-4D58-4DCF-9E5A-6AEA89893042}"/>
  <namedSheetView name="Vista 3" id="{A74D0AB9-903C-40F5-B0A5-0D9EDFF0E3E6}"/>
  <namedSheetView name="Vista 4" id="{7D26D95A-C4B1-4B37-BD58-98E46D16CE7E}"/>
  <namedSheetView name="Vista 5" id="{A7A89513-EF92-4F12-A9CD-2D9F373D82F3}"/>
</namedSheetViews>
</file>

<file path=xl/namedSheetViews/namedSheetView4.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243585AC-2FB3-4DC0-BD37-8E5628C31713}"/>
  <namedSheetView name="Vista 2" id="{56FE8BDC-8952-4761-9F0E-1F9D7178FA84}"/>
  <namedSheetView name="Vista 3" id="{75003BD1-C8D6-490A-9237-E6965EDD3510}"/>
  <namedSheetView name="Vista 4" id="{C5E6A3F0-2510-49BA-B3CE-E67C0A8D0439}"/>
  <namedSheetView name="Vista 5" id="{C33EA370-56CF-423A-9177-84791F157E9C}"/>
  <namedSheetView name="Vista 6" id="{9960F167-849E-4153-9275-EE45902BE627}"/>
  <namedSheetView name="Vista 7" id="{C75A79F8-C61A-4E2A-B85C-1631B03AC2B9}"/>
  <namedSheetView name="Vista 8" id="{1E21F8BB-CF59-4404-ABF1-D289F31D8B04}">
    <nsvFilter filterId="{3F9315A9-A7D7-4CFA-894A-0E208324D35C}" ref="A3:AE24" tableId="3">
      <columnFilter colId="1" id="{345E452F-81DB-4E14-9240-F2F4850575CF}">
        <filter colId="1">
          <x:filters>
            <x:filter val="Sucursal Villavicencio"/>
          </x:filters>
        </filter>
      </columnFilter>
    </nsvFilter>
  </namedSheetView>
  <namedSheetView name="Vista 9" id="{9EB3234F-6225-47E3-878C-1E3AFC5EDA5D}">
    <nsvFilter filterId="{3F9315A9-A7D7-4CFA-894A-0E208324D35C}" ref="A3:AE24" tableId="3">
      <columnFilter colId="4" id="{D8CE8A4C-C6FB-4444-AC14-31747C7025D7}">
        <filter colId="4">
          <x:filters>
            <x:dateGroupItem year="2025" dateTimeGrouping="year"/>
          </x:filters>
        </filter>
      </columnFilter>
      <columnFilter colId="26" id="{510DACA5-5F3A-47A7-9620-1A08508E62A0}">
        <dxf>
          <x:fill>
            <x:patternFill patternType="solid">
              <x:fgColor rgb="FFFF0000"/>
              <x:bgColor rgb="FF000000"/>
            </x:patternFill>
          </x:fill>
        </dxf>
        <filter colId="26">
          <x:colorFilter/>
        </filter>
      </columnFilter>
    </nsvFilter>
  </namedSheetView>
  <namedSheetView name="Vista 10" id="{F67B2070-BE46-4FC2-8747-053C2BFA3FA4}">
    <nsvFilter filterId="{3F9315A9-A7D7-4CFA-894A-0E208324D35C}" ref="A3:AE24" tableId="3">
      <columnFilter colId="1" id="{345E452F-81DB-4E14-9240-F2F4850575CF}">
        <filter colId="1">
          <x:filters>
            <x:filter val="Sucursal Sincelejo"/>
          </x:filters>
        </filter>
      </columnFilter>
      <columnFilter colId="26" id="{510DACA5-5F3A-47A7-9620-1A08508E62A0}">
        <dxf>
          <x:fill>
            <x:patternFill patternType="solid">
              <x:fgColor rgb="FFFF0000"/>
              <x:bgColor rgb="FF000000"/>
            </x:patternFill>
          </x:fill>
        </dxf>
        <filter colId="26">
          <x:colorFilter/>
        </filter>
      </columnFilter>
    </nsvFilter>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F9315A9-A7D7-4CFA-894A-0E208324D35C}" name="Tabla1513" displayName="Tabla1513" ref="A5:AE286" totalsRowCount="1" headerRowDxfId="287" dataDxfId="285" totalsRowDxfId="283" headerRowBorderDxfId="286" tableBorderDxfId="284">
  <autoFilter ref="A5:AE285" xr:uid="{CB3AD687-7584-4110-A215-4ECC1DF649D6}"/>
  <tableColumns count="31">
    <tableColumn id="18" xr3:uid="{877942F1-C2BE-4891-95E0-4B8B80E15632}" name="CM / SUC." totalsRowFunction="count" dataDxfId="282" totalsRowDxfId="281"/>
    <tableColumn id="1" xr3:uid="{3340515B-4FC5-4A57-A9DB-F0C2A5BF8ED1}" name="VICEPRESIDENCIA" totalsRowFunction="count" dataDxfId="280" totalsRowDxfId="279"/>
    <tableColumn id="2" xr3:uid="{A52DC4EC-02C4-4DCA-AD0A-B6E61FEE7AA8}" name="ÁREA QUE CONTRATA " totalsRowFunction="count" dataDxfId="278" totalsRowDxfId="277"/>
    <tableColumn id="26" xr3:uid="{FF08F505-16D2-45DC-8323-DD2D11A43D5A}" name="MODALIDAD CONTRATACIÓN" totalsRowFunction="count" dataDxfId="276" totalsRowDxfId="275"/>
    <tableColumn id="3" xr3:uid="{CADA9439-F50D-49D6-8AE6-BC68B0D796D7}" name="N° DE CONTRATO" totalsRowFunction="count" dataDxfId="274" totalsRowDxfId="273"/>
    <tableColumn id="20" xr3:uid="{BA874ED6-2FC4-41E5-884D-F684EDD25CD5}" name="FECHA SUSCRIPCIÓN DEL CONTRATO" totalsRowFunction="count" dataDxfId="272" totalsRowDxfId="271"/>
    <tableColumn id="4" xr3:uid="{B319458B-FAAB-4621-8DF4-477BD6202043}" name="CLASE DE CONTRATO" totalsRowFunction="count" dataDxfId="270" totalsRowDxfId="269"/>
    <tableColumn id="5" xr3:uid="{109F4E99-006C-4EC4-826B-C38FA698F4D8}" name="OBJETO DEL CONTRATO" totalsRowFunction="count" dataDxfId="268" totalsRowDxfId="267"/>
    <tableColumn id="45" xr3:uid="{773815A3-5027-4501-82DB-C195017C0350}" name="N° DE IDENTIFICACIÓN DEL CONTRATISTA" totalsRowFunction="count" dataDxfId="266" totalsRowDxfId="265"/>
    <tableColumn id="6" xr3:uid="{C173B1C5-0084-46B1-9DB4-190591A6FD14}" name="RAZÓN SOCIAL DEL CONTRATISTA" totalsRowFunction="count" dataDxfId="264" totalsRowDxfId="263"/>
    <tableColumn id="35" xr3:uid="{2F045F43-EB33-4C20-AE19-8DA18D44A1A1}" name="VALOR INICIAL DEL CONTRATO_x000a_ (en pesos) _x000a_SIN IVA" totalsRowFunction="sum" dataDxfId="262" totalsRowDxfId="261"/>
    <tableColumn id="36" xr3:uid="{F2B55E52-E4CA-4134-B770-EE0D87077365}" name="VALOR IVA_x000a_(si aplica)" totalsRowFunction="sum" dataDxfId="260" totalsRowDxfId="259"/>
    <tableColumn id="10" xr3:uid="{C6766E54-10CE-44C4-82E8-09BC4019BCA6}" name="VALOR TOTAL DEL CONTRATO_x000a_(en pesos)_x000a_CON IVA_x000a_(inicial)" totalsRowFunction="sum" dataDxfId="258" totalsRowDxfId="257" dataCellStyle="Moneda [0]"/>
    <tableColumn id="32" xr3:uid="{AF5732DB-7966-4F30-91C8-DA941BB01B0C}" name="ADICIONES_x000a_(SI / NO)" totalsRowFunction="count" dataDxfId="256" totalsRowDxfId="255"/>
    <tableColumn id="11" xr3:uid="{F317C9AB-AD0B-4CEE-8917-AF352F63E135}" name="VALOR DE LAS ADICIONES_x000a_(en pesos)_x000a_CON IVA" totalsRowFunction="sum" dataDxfId="254" totalsRowDxfId="253"/>
    <tableColumn id="25" xr3:uid="{44FD2830-99C1-495E-AA65-93086D547D7E}" name="VALOR TOTAL CONTRATO CON IVA (VALOR INICIAL + ADICIONES) " totalsRowFunction="sum" dataDxfId="252" totalsRowDxfId="251">
      <calculatedColumnFormula>+Tabla1513[[#This Row],[VALOR TOTAL DEL CONTRATO
(en pesos)
CON IVA
(inicial)]]+Tabla1513[[#This Row],[VALOR DE LAS ADICIONES
(en pesos)
CON IVA]]</calculatedColumnFormula>
    </tableColumn>
    <tableColumn id="28" xr3:uid="{37B1B6DD-EA38-4D7E-A090-F70707987025}" name="PLAZO DEL CONTRATO_x000a_ (inicial)_x000a_(días)" totalsRowFunction="count" dataDxfId="250" totalsRowDxfId="249" dataCellStyle="Moneda [0]"/>
    <tableColumn id="33" xr3:uid="{FF11E3EC-CD38-45CE-BAA9-F46CD564F37E}" name="PRÓRROGA_x000a_(SI / NO)" totalsRowFunction="count" dataDxfId="248" totalsRowDxfId="247"/>
    <tableColumn id="29" xr3:uid="{1B42BED5-8DA4-4D4F-8ADE-0BD709DCFAF9}" name="ADICIONES: NÚMERO DE DÍAS" totalsRowFunction="count" dataDxfId="246" totalsRowDxfId="245" dataCellStyle="Moneda [0]"/>
    <tableColumn id="47" xr3:uid="{E54CB220-578F-4B64-9E48-8A1B9AF8CFEE}" name="SUSPENSIÓN (SI/NO)" totalsRowFunction="count" dataDxfId="244" totalsRowDxfId="243" dataCellStyle="Moneda [0]"/>
    <tableColumn id="48" xr3:uid="{BC8CD308-14DA-4575-BB22-67E12DFE6796}" name="NÚMERO DE DÍAS" totalsRowFunction="count" dataDxfId="242" totalsRowDxfId="241" dataCellStyle="Moneda [0]"/>
    <tableColumn id="12" xr3:uid="{7C89AF31-1DFA-4AA6-BE93-219A0B4131C9}" name="FECHA INICIO CONTRATO" totalsRowFunction="count" dataDxfId="240" totalsRowDxfId="239"/>
    <tableColumn id="13" xr3:uid="{98F786DA-F542-4BCF-A801-0E717B2BA4B8}" name="FECHA TERMINACIÓN CONTRATO_x000a_(inicial)" totalsRowFunction="count" dataDxfId="238" totalsRowDxfId="237"/>
    <tableColumn id="14" xr3:uid="{020D0D67-9FCD-4596-ACC5-08B5DED15447}" name="FECHA TERMINACIÓN DEL CONTRATO_x000a_(inicial + prórrogas)" totalsRowFunction="count" dataDxfId="236" totalsRowDxfId="235"/>
    <tableColumn id="27" xr3:uid="{1B0E5D43-831D-46CD-80E9-1A5C77040741}" name="ESTADO DEL CONTRATO (EN EJECUCIÓN EN LIQUIDACIÓN POR LIQUIDAR NO SE LIQUIDA)" totalsRowFunction="count" dataDxfId="234" totalsRowDxfId="233"/>
    <tableColumn id="19" xr3:uid="{6540665A-4573-468F-98F5-10E6A25F6A8D}" name="FECHA LIQUIDACIÓN DEL CONTRATO" totalsRowFunction="count" dataDxfId="232" totalsRowDxfId="231"/>
    <tableColumn id="30" xr3:uid="{392C415B-0BAD-4B40-8C60-6312ACF59B7A}" name="CAUSAL DE TERMINACIÓN" totalsRowFunction="count" dataDxfId="230" totalsRowDxfId="229"/>
    <tableColumn id="24" xr3:uid="{991CAB3B-5CA0-4B1E-91D0-A03CAC9C0B6F}" name="PORCENTAJE DE EJECUCIÓN FÍSICA _x000a_A 31 DICIEMBRE 2025" totalsRowFunction="count" dataDxfId="228" totalsRowDxfId="227" dataCellStyle="Porcentaje"/>
    <tableColumn id="22" xr3:uid="{5D67D560-C171-40AA-98E8-2C7095AD1B31}" name="PORCENTAJE DE EJECUCIÓN PRESUPUESTAL_x000a_A 31 DICIEMBRE 2025" totalsRowFunction="count" dataDxfId="226" totalsRowDxfId="225" dataCellStyle="Porcentaje"/>
    <tableColumn id="21" xr3:uid="{45455F10-B55A-4C69-A84A-797A853FAA9F}" name="VALOR PAGADO (en pesos)_x000a_A 31 DICIEMBRE 2025" totalsRowFunction="sum" dataDxfId="224" totalsRowDxfId="223" dataCellStyle="Moneda [0]"/>
    <tableColumn id="42" xr3:uid="{0EFDAC6C-E3EA-4E96-AF2D-3EA77A876DCF}" name="LINK SECOP I, II _x000a_(según aplique)" totalsRowFunction="count" dataDxfId="222" totalsRowDxfId="221" dataCellStyle="Moneda [0]"/>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457B968-62A6-4250-8BE1-8C852642F0B8}" name="Tabla15132" displayName="Tabla15132" ref="A5:AC243" totalsRowCount="1" headerRowDxfId="220" dataDxfId="219" totalsRowDxfId="217" tableBorderDxfId="218">
  <autoFilter ref="A5:AC242" xr:uid="{3F9315A9-A7D7-4CFA-894A-0E208324D35C}"/>
  <tableColumns count="29">
    <tableColumn id="2" xr3:uid="{8DAAED24-C340-4DD8-8A05-C71BD2EE6B50}" name="ÁREA QUE CONTRATA " totalsRowFunction="count" dataDxfId="108" totalsRowDxfId="107"/>
    <tableColumn id="26" xr3:uid="{1266AC8F-79AD-4453-9314-BB2273FF8013}" name="MODALIDAD CONTRATACIÓN" totalsRowFunction="count" dataDxfId="106" totalsRowDxfId="105"/>
    <tableColumn id="3" xr3:uid="{A34EF67B-B121-4C10-88DD-17D4A38C0F36}" name="N° DE CONTRATO" totalsRowFunction="count" dataDxfId="104" totalsRowDxfId="103"/>
    <tableColumn id="20" xr3:uid="{6DBBE71E-4435-4824-A59B-E444930EE42D}" name="FECHA SUSCRIPCIÓN DEL CONTRATO" totalsRowFunction="count" dataDxfId="102" totalsRowDxfId="101"/>
    <tableColumn id="4" xr3:uid="{A2621DB9-86B1-46CA-9816-4E23E3885AE5}" name="CLASE DE CONTRATO" totalsRowFunction="count" dataDxfId="100" totalsRowDxfId="99"/>
    <tableColumn id="5" xr3:uid="{F4E56A12-A222-4F35-8AC3-7EFC07A18DC7}" name="OBJETO DEL CONTRATO" totalsRowFunction="count" dataDxfId="98" totalsRowDxfId="97"/>
    <tableColumn id="8" xr3:uid="{4B9272EF-2D51-4DF9-8854-E1075621CE43}" name="N° DE IDENTIFICACIÓN DEL CONTRATISTA" totalsRowFunction="count" dataDxfId="96" totalsRowDxfId="95"/>
    <tableColumn id="6" xr3:uid="{4636AC46-C304-4100-AFCC-53385EA48237}" name="RAZÓN SOCIAL DEL CONTRATISTA" totalsRowFunction="count" dataDxfId="94" totalsRowDxfId="93"/>
    <tableColumn id="35" xr3:uid="{34C867FD-400D-42F2-9A65-D60275EB06FC}" name="VALOR INICIAL DEL CONTRATO_x000a_ (en pesos) _x000a_SIN IVA" totalsRowFunction="sum" dataDxfId="92" totalsRowDxfId="91"/>
    <tableColumn id="36" xr3:uid="{B0C18DA4-A094-4CE3-9624-D02DA3A02A16}" name="VALOR IVA_x000a_(si aplica)" totalsRowFunction="sum" dataDxfId="2" totalsRowDxfId="90"/>
    <tableColumn id="10" xr3:uid="{8679A351-8350-4DE9-8E03-05E00621ED71}" name="VALOR TOTAL DEL CONTRATO_x000a_(en pesos)_x000a_CON IVA_x000a_(inicial)" totalsRowFunction="sum" dataDxfId="0" totalsRowDxfId="89" dataCellStyle="Moneda [0]"/>
    <tableColumn id="32" xr3:uid="{2696F903-A33C-46E4-9228-61AC7ACEAAEF}" name="ADICIONES_x000a_(SI / NO)" totalsRowFunction="count" dataDxfId="1" totalsRowDxfId="88"/>
    <tableColumn id="11" xr3:uid="{BE005805-E91F-4171-9B3F-7BD7790CAED9}" name="VALOR DE LAS ADICIONES_x000a_(en pesos)_x000a_CON IVA" totalsRowFunction="sum" dataDxfId="87" totalsRowDxfId="86"/>
    <tableColumn id="25" xr3:uid="{B767E310-C126-4D5E-9C22-BEB9A90A4905}" name="VALOR TOTAL CONTRATO CON IVA (VALOR INICIAL + ADICIONES) " totalsRowFunction="sum" dataDxfId="85" totalsRowDxfId="84">
      <calculatedColumnFormula>+Tabla15132[[#This Row],[VALOR TOTAL DEL CONTRATO
(en pesos)
CON IVA
(inicial)]]+Tabla15132[[#This Row],[VALOR DE LAS ADICIONES
(en pesos)
CON IVA]]</calculatedColumnFormula>
    </tableColumn>
    <tableColumn id="28" xr3:uid="{0A3CFE10-6CDC-4EE3-888C-4563E9974500}" name="PLAZO DEL CONTRATO_x000a_ (inicial)_x000a_(días)" totalsRowFunction="custom" dataDxfId="83" totalsRowDxfId="82">
      <calculatedColumnFormula>+Tabla15132[[#This Row],[FECHA TERMINACIÓN CONTRATO
(inicial)]]-Tabla15132[[#This Row],[FECHA INICIO CONTRATO]]</calculatedColumnFormula>
      <totalsRowFormula>SUBTOTAL(102,O6:O242)</totalsRowFormula>
    </tableColumn>
    <tableColumn id="33" xr3:uid="{407A98E2-E553-49D3-80A4-E2A76A7E2CE0}" name="PRÓRROGA_x000a_(SI / NO)" totalsRowFunction="count" dataDxfId="81" totalsRowDxfId="80"/>
    <tableColumn id="29" xr3:uid="{06383934-8C9E-48D3-8371-F9517725B728}" name="ADICIONES: NÚMERO DE DÍAS" totalsRowFunction="count" dataDxfId="79" totalsRowDxfId="78">
      <calculatedColumnFormula>+Tabla15132[[#This Row],[FECHA TERMINACIÓN DEL CONTRATO
(inicial + prórrogas)]]-Tabla15132[[#This Row],[FECHA TERMINACIÓN CONTRATO
(inicial)]]</calculatedColumnFormula>
    </tableColumn>
    <tableColumn id="47" xr3:uid="{6D07DF8E-308A-42FD-84FC-61446BBD5B09}" name="SUSPENSIÓN (SI/NO)" totalsRowFunction="count" dataDxfId="77" totalsRowDxfId="76" dataCellStyle="Moneda [0]"/>
    <tableColumn id="42" xr3:uid="{1C1B3D30-1F47-444A-99F7-AF274A21A4B9}" name="NÚMERO DE DÍAS" dataDxfId="75" totalsRowDxfId="74"/>
    <tableColumn id="12" xr3:uid="{8B07F1A3-E92C-4BFB-9079-4E460853846F}" name="FECHA INICIO CONTRATO" totalsRowFunction="count" dataDxfId="73" totalsRowDxfId="72"/>
    <tableColumn id="13" xr3:uid="{AE771814-DAF9-4CED-AE4F-A3176A4B4C5B}" name="FECHA TERMINACIÓN CONTRATO_x000a_(inicial)" totalsRowFunction="count" dataDxfId="71" totalsRowDxfId="70"/>
    <tableColumn id="14" xr3:uid="{AFEAFD9F-8785-4A14-84DB-D8937A46061D}" name="FECHA TERMINACIÓN DEL CONTRATO_x000a_(inicial + prórrogas)" totalsRowFunction="count" dataDxfId="69" totalsRowDxfId="68"/>
    <tableColumn id="27" xr3:uid="{D1B4CCEC-9094-4D5F-8F43-7F7B17B7D03A}" name="ESTADO DEL CONTRATO (EN EJECUCIÓN EN LIQUIDACIÓN POR LIQUIDAR NO SE LIQUIDA)" totalsRowFunction="count" dataDxfId="67" totalsRowDxfId="66"/>
    <tableColumn id="19" xr3:uid="{1CBD363C-4A16-421E-923C-55DFC3A2BB2D}" name="FECHA LIQUIDACIÓN DEL CONTRATO" totalsRowFunction="count" dataDxfId="65" totalsRowDxfId="64"/>
    <tableColumn id="30" xr3:uid="{AAE06B9C-C1A6-43B4-9536-F90DB231C44A}" name="CAUSAL DE TERMINACIÓN" totalsRowFunction="count" dataDxfId="63" totalsRowDxfId="62"/>
    <tableColumn id="24" xr3:uid="{D2508395-0C21-408E-89B9-DD02D230E63E}" name="PORCENTAJE DE EJECUCIÓN FÍSICA _x000a_A 31 DICIEMBRE 2025" totalsRowFunction="count" dataDxfId="61" totalsRowDxfId="60" dataCellStyle="Porcentaje"/>
    <tableColumn id="22" xr3:uid="{1E026949-6276-4078-BA4B-56CED3FDA6D3}" name="PORCENTAJE DE EJECUCIÓN PRESUPUESTAL_x000a_A 31 DICIEMBRE 20252025" totalsRowFunction="count" dataDxfId="59" totalsRowDxfId="58" dataCellStyle="Porcentaje"/>
    <tableColumn id="21" xr3:uid="{82B85D4A-81E7-45A3-96E6-B4195AA77687}" name="VALOR PAGADO (en pesos)_x000a_A 31 DICIEMBRE 2025" totalsRowFunction="sum" dataDxfId="57" totalsRowDxfId="56" dataCellStyle="Moneda [0]"/>
    <tableColumn id="45" xr3:uid="{90C32D21-3ED6-4581-8F06-8218B0B29C08}" name="LINK CONSULTA SECOP I II _x000a_(SEGÚN APLIQUE)" dataDxfId="55" totalsRowDxfId="54" dataCellStyle="Moneda [0]"/>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BC1999B-67B8-4FB7-AF8A-37A1E5DE8BA7}" name="Tabla15133" displayName="Tabla15133" ref="A3:AJ308" totalsRowCount="1" headerRowDxfId="214" dataDxfId="212" totalsRowDxfId="210" headerRowBorderDxfId="213" tableBorderDxfId="211">
  <autoFilter ref="A3:AJ307" xr:uid="{CB3AD687-7584-4110-A215-4ECC1DF649D6}"/>
  <tableColumns count="36">
    <tableColumn id="18" xr3:uid="{108DF349-3865-4F4C-B693-D229906B6B13}" name="CM / SUC." totalsRowFunction="count" dataDxfId="209" totalsRowDxfId="41"/>
    <tableColumn id="1" xr3:uid="{B91C51BE-BF87-40D3-A1B7-6FD36B378CEC}" name="VICEPRESIDENCIA" totalsRowFunction="count" dataDxfId="208" totalsRowDxfId="40"/>
    <tableColumn id="2" xr3:uid="{47777BC3-ABEC-4F18-AA6F-80FD19F60738}" name="ÁREA QUE CONTRATA " totalsRowFunction="count" dataDxfId="207" totalsRowDxfId="39"/>
    <tableColumn id="34" xr3:uid="{901CF4D3-26ED-4537-BC86-D49173CE3862}" name="NÚMERO DEL PROCESO CONTRACTUAL" totalsRowFunction="count" dataDxfId="206" totalsRowDxfId="38"/>
    <tableColumn id="26" xr3:uid="{12A42CF9-1F02-4B50-B48C-7C0F2D370543}" name="MODALIDAD DE SELECCIÓN _x000a_(CONTRATACIÓN)" totalsRowFunction="count" dataDxfId="205" totalsRowDxfId="37"/>
    <tableColumn id="3" xr3:uid="{070E1D1E-17FE-42A8-A3E1-E543A1493EC5}" name="N° DE CONTRATO" totalsRowFunction="count" dataDxfId="204" totalsRowDxfId="36"/>
    <tableColumn id="20" xr3:uid="{9EFF6012-F1DA-4B5D-A0BB-2B6251913035}" name="FECHA SUSCRIPCIÓN DEL CONTRATO" totalsRowFunction="count" dataDxfId="203" totalsRowDxfId="35"/>
    <tableColumn id="4" xr3:uid="{7D096CF2-0BE0-4AF6-ADC2-16F6FA1E1E2E}" name="CLASE DE CONTRATO" totalsRowFunction="count" dataDxfId="202" totalsRowDxfId="34"/>
    <tableColumn id="5" xr3:uid="{F4339171-31C3-47F1-965C-F28561CA4848}" name="OBJETO DEL CONTRATO" totalsRowFunction="count" dataDxfId="201" totalsRowDxfId="33"/>
    <tableColumn id="15" xr3:uid="{EDB486C3-92C9-43B7-B247-BA3F8CB17BA8}" name="CONTRATISTA NATURALEZA" totalsRowFunction="count" dataDxfId="200" totalsRowDxfId="32"/>
    <tableColumn id="7" xr3:uid="{38B0442E-25F0-4DFF-8D46-4FCB33BBE587}" name="TIPO DE IDENTIFICACIÓN CONTRATISTA" totalsRowFunction="count" dataDxfId="199" totalsRowDxfId="31"/>
    <tableColumn id="45" xr3:uid="{5B2E98E6-2CC8-4FDE-B46F-F508FC41D16E}" name="N° DE IDENTIFICACIÓN DEL CONTRATISTA" totalsRowFunction="count" dataDxfId="198" totalsRowDxfId="30"/>
    <tableColumn id="6" xr3:uid="{74F2C402-2E6B-4FC5-952A-C8D8F126CA31}" name="RAZÓN SOCIAL DEL CONTRATISTA" totalsRowFunction="count" dataDxfId="197" totalsRowDxfId="29"/>
    <tableColumn id="35" xr3:uid="{2C1F4D9F-A2E3-4BD9-A3A8-808674F809CB}" name="VALOR INICIAL DEL CONTRATO_x000a_ (en pesos) _x000a_SIN IVA" totalsRowFunction="sum" dataDxfId="196" totalsRowDxfId="28"/>
    <tableColumn id="36" xr3:uid="{F44F0BC6-415A-43BF-9709-5551A52D84CC}" name="VALOR IVA_x000a_(si aplica)" totalsRowFunction="sum" dataDxfId="5" totalsRowDxfId="27"/>
    <tableColumn id="10" xr3:uid="{B097309A-2585-40EF-A262-EF71923E1219}" name="VALOR TOTAL DEL CONTRATO_x000a_(en pesos)_x000a_CON IVA_x000a_(inicial)" totalsRowFunction="sum" dataDxfId="3" totalsRowDxfId="26" dataCellStyle="Moneda [0]"/>
    <tableColumn id="32" xr3:uid="{9C4F3FD3-7568-40AD-ABFE-88DFE9A1EA78}" name="ADICIONES_x000a_(SI / NO)" totalsRowFunction="count" dataDxfId="4" totalsRowDxfId="25"/>
    <tableColumn id="11" xr3:uid="{13F20B8B-42D1-4505-9B3F-AD2FEB34E097}" name="VALOR DE LAS ADICIONES_x000a_(en pesos)_x000a_CON IVA" totalsRowFunction="sum" dataDxfId="195" totalsRowDxfId="24"/>
    <tableColumn id="25" xr3:uid="{89565DFD-D444-4B84-8EAD-6D678D8104F9}" name="VALOR TOTAL CONTRATO CON IVA (VALOR INICIAL + ADICIONES) " totalsRowFunction="sum" dataDxfId="194" totalsRowDxfId="23">
      <calculatedColumnFormula>+Tabla15133[[#This Row],[VALOR TOTAL DEL CONTRATO
(en pesos)
CON IVA
(inicial)]]+Tabla15133[[#This Row],[VALOR DE LAS ADICIONES
(en pesos)
CON IVA]]</calculatedColumnFormula>
    </tableColumn>
    <tableColumn id="28" xr3:uid="{FD01DD1E-58F5-40E7-BB2D-279898F6CEF3}" name="PLAZO DEL CONTRATO_x000a_ (inicial)_x000a_(días)" totalsRowFunction="count" dataDxfId="193" totalsRowDxfId="22"/>
    <tableColumn id="33" xr3:uid="{9074FA94-0E8E-4721-8AEE-86D6986549D6}" name="PRÓRROGA_x000a_(SI / NO)" totalsRowFunction="count" dataDxfId="192" totalsRowDxfId="21"/>
    <tableColumn id="29" xr3:uid="{3CDF6564-EB70-4D85-B8A7-D8466EA77719}" name="ADICIONES: NÚMERO DE DÍAS" totalsRowFunction="count" dataDxfId="191" totalsRowDxfId="20"/>
    <tableColumn id="47" xr3:uid="{E60531A1-396C-4BF4-BEAC-0DE2A36D65B9}" name="SUSPENSIÓN (SI/NO)" totalsRowFunction="count" dataDxfId="190" totalsRowDxfId="19" dataCellStyle="Moneda [0]"/>
    <tableColumn id="48" xr3:uid="{FD9DB430-69E4-4604-8707-C112C2BEC448}" name="NÚMERO DE DÍAS" dataDxfId="189" totalsRowDxfId="18" dataCellStyle="Moneda [0]"/>
    <tableColumn id="12" xr3:uid="{669790C5-C4AE-41A6-9380-C61D78CBC30A}" name="FECHA INICIO CONTRATO" totalsRowFunction="count" dataDxfId="188" totalsRowDxfId="17"/>
    <tableColumn id="13" xr3:uid="{079BB133-9C63-44D3-96FE-7D0C3B239075}" name="FECHA TERMINACIÓN DEL CONTRATO_x000a_(inicial)" totalsRowFunction="count" dataDxfId="187" totalsRowDxfId="16"/>
    <tableColumn id="14" xr3:uid="{E94D3E5E-A400-42B4-95FF-878AD76E70ED}" name="FECHA TERMINACIÓN DEL CONTRATO_x000a_(inicial + prórroga)" totalsRowFunction="count" dataDxfId="186" totalsRowDxfId="15"/>
    <tableColumn id="27" xr3:uid="{D06E702E-B147-4863-BC50-7B6F9D3D047E}" name="ESTADO DEL CONTRATO (EN EJECUCIÓN EN LIQUIDACIÓN POR LIQUIDAR NO SE LIQUIDA)" totalsRowFunction="count" dataDxfId="185" totalsRowDxfId="14"/>
    <tableColumn id="19" xr3:uid="{6E5BFC70-CD0A-4C7A-9DED-83CEBF5B0B70}" name="FECHA LIQUIDACIÓN DEL CONTRATO" totalsRowFunction="count" dataDxfId="184" totalsRowDxfId="13"/>
    <tableColumn id="30" xr3:uid="{7C23A28A-4F09-4F0C-B235-C71B60D34BCE}" name="CAUSAL DE TERMINACIÓN" totalsRowFunction="count" dataDxfId="183" totalsRowDxfId="12"/>
    <tableColumn id="24" xr3:uid="{08BA69CC-AC70-4642-B3AB-DB8AF251DE46}" name="PORCENTAJE DE EJECUCIÓN FÍSICA _x000a_2025" totalsRowFunction="count" dataDxfId="182" totalsRowDxfId="11" dataCellStyle="Porcentaje"/>
    <tableColumn id="22" xr3:uid="{43A294CE-5C37-4F34-A1A3-0C40D3D65133}" name="PORCENTAJE DE EJECUCIÓN PRESUPUESTAL_x000a_2025" totalsRowFunction="count" dataDxfId="181" totalsRowDxfId="10" dataCellStyle="Porcentaje"/>
    <tableColumn id="21" xr3:uid="{683BC9C4-9010-4999-AAE2-AE00AC553380}" name="VALOR PAGADO (en pesos)_x000a_A 31 DICIEMBRE 2025" totalsRowFunction="sum" dataDxfId="180" totalsRowDxfId="9" dataCellStyle="Moneda [0]"/>
    <tableColumn id="23" xr3:uid="{F1816B72-C6AE-441D-9C19-0F92ED22C429}" name="OBSERVACION MODIFICACIONES" dataDxfId="179" totalsRowDxfId="8" dataCellStyle="Moneda [0]"/>
    <tableColumn id="42" xr3:uid="{CE1E2A3C-34A3-4CF1-A6F7-3AAC3FBA1CF5}" name="LINK SECOP I, II _x000a_(según aplique)" totalsRowFunction="count" dataDxfId="178" totalsRowDxfId="7" dataCellStyle="Moneda [0]"/>
    <tableColumn id="31" xr3:uid="{4A6F68BD-13DC-4698-B28D-3BBA019DE468}" name="AÑO SUSCRIPCIÓN" totalsRowFunction="count" dataDxfId="177" totalsRowDxfId="6"/>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9AE11F-A795-4335-9C8A-F329F05F4B32}" name="Tabla151324" displayName="Tabla151324" ref="A3:AE25" totalsRowCount="1" headerRowDxfId="176" dataDxfId="175" totalsRowDxfId="173" tableBorderDxfId="174">
  <autoFilter ref="A3:AE24" xr:uid="{3F9315A9-A7D7-4CFA-894A-0E208324D35C}"/>
  <tableColumns count="31">
    <tableColumn id="18" xr3:uid="{39B92817-2CF0-4602-89B6-078A52ABF117}" name="CM / SUC." totalsRowFunction="count" dataDxfId="172" totalsRowDxfId="171"/>
    <tableColumn id="2" xr3:uid="{345E452F-81DB-4E14-9240-F2F4850575CF}" name="ÁREA QUE CONTRATA " totalsRowFunction="count" dataDxfId="170" totalsRowDxfId="169"/>
    <tableColumn id="26" xr3:uid="{E7345903-6E9C-4E0A-AED7-DFD7A1F22C79}" name="MODALIDAD CONTRATACIÓN" totalsRowFunction="count" dataDxfId="168" totalsRowDxfId="167"/>
    <tableColumn id="3" xr3:uid="{CB58BA21-5D7E-48C7-9C2E-C956990C2F93}" name="N° DE CONTRATO" totalsRowFunction="count" dataDxfId="166" totalsRowDxfId="165"/>
    <tableColumn id="20" xr3:uid="{D8CE8A4C-C6FB-4444-AC14-31747C7025D7}" name="FECHA SUSCRIPCIÓN DEL CONTRATO" totalsRowFunction="count" dataDxfId="164" totalsRowDxfId="163"/>
    <tableColumn id="4" xr3:uid="{2F73A931-0019-4E7B-92DA-65F2D58BCAA5}" name="CLASE DE CONTRATO" totalsRowFunction="count" dataDxfId="162" totalsRowDxfId="161"/>
    <tableColumn id="5" xr3:uid="{4CFE4940-13F0-4B64-BEEC-54D3356BC4F3}" name="OBJETO DEL CONTRATO" totalsRowFunction="count" dataDxfId="160" totalsRowDxfId="159"/>
    <tableColumn id="8" xr3:uid="{20D61E1D-7C3B-4B73-A9F1-D16C2959B03A}" name="N° DE IDENTIFICACIÓN DEL CONTRATISTA" totalsRowFunction="count" dataDxfId="158" totalsRowDxfId="157"/>
    <tableColumn id="6" xr3:uid="{2DB99594-078F-405B-9B9A-F4CD5C104F6F}" name="RAZÓN SOCIAL DEL CONTRATISTA" totalsRowFunction="count" dataDxfId="156" totalsRowDxfId="155"/>
    <tableColumn id="35" xr3:uid="{B8687FF1-2110-407E-90E5-A29BDCC1877F}" name="VALOR INICIAL DEL CONTRATO_x000a_ (en pesos) _x000a_SIN IVA" totalsRowFunction="sum" dataDxfId="154" totalsRowDxfId="153"/>
    <tableColumn id="36" xr3:uid="{A9B5B305-3A67-48F6-B93E-4BE0DE289725}" name="VALOR IVA_x000a_(si aplica)" totalsRowFunction="sum" dataDxfId="152" totalsRowDxfId="151"/>
    <tableColumn id="10" xr3:uid="{31E23595-53E1-4AF2-8CF0-BE5C8F70426E}" name="VALOR TOTAL DEL CONTRATO_x000a_(en pesos)_x000a_CON IVA_x000a_(inicial)" totalsRowFunction="sum" dataDxfId="150" totalsRowDxfId="149" dataCellStyle="Moneda [0]"/>
    <tableColumn id="32" xr3:uid="{4F8BE9F2-E4F8-45E9-B7DA-255C1A8340E4}" name="ADICIONES_x000a_(SI / NO)" totalsRowFunction="count" dataDxfId="148" totalsRowDxfId="147"/>
    <tableColumn id="11" xr3:uid="{DA0F2F4E-DB8B-4E1F-AD8B-FA4408A8EF0B}" name="VALOR DE LAS ADICIONES_x000a_(en pesos)_x000a_CON IVA" totalsRowFunction="sum" dataDxfId="146" totalsRowDxfId="145"/>
    <tableColumn id="25" xr3:uid="{EC00FCB5-3F7D-4FCD-BEDA-7402888CE9AE}" name="VALOR TOTAL CONTRATO CON IVA (VALOR INICIAL + ADICIONES) " totalsRowFunction="sum" dataDxfId="144" totalsRowDxfId="143"/>
    <tableColumn id="28" xr3:uid="{AC9911E0-BF90-4C77-9FFD-A1877E008AA9}" name="PLAZO DEL CONTRATO_x000a_ (inicial)_x000a_(días)" totalsRowFunction="custom" dataDxfId="142" totalsRowDxfId="141" dataCellStyle="Moneda [0]">
      <totalsRowFormula>SUBTOTAL(102,P4:P24)</totalsRowFormula>
    </tableColumn>
    <tableColumn id="33" xr3:uid="{ACD94436-205F-40C7-9CD7-DB33BE7544CB}" name="PRÓRROGA_x000a_(SI / NO)" totalsRowFunction="count" dataDxfId="140" totalsRowDxfId="139"/>
    <tableColumn id="29" xr3:uid="{3F300A00-E851-4403-B968-14AEEF581E64}" name="ADICIONES: NÚMERO DE DÍAS" totalsRowFunction="count" dataDxfId="138" totalsRowDxfId="137"/>
    <tableColumn id="47" xr3:uid="{C98DDFEF-85B4-4B2F-8B4A-01E3063F3432}" name="SUSPENSIÓN (SI/NO)" totalsRowFunction="count" dataDxfId="136" totalsRowDxfId="135" dataCellStyle="Moneda [0]"/>
    <tableColumn id="42" xr3:uid="{51397B09-C362-4714-88EF-B4939CEC1974}" name="NÚMERO DE DÍAS" dataDxfId="134" totalsRowDxfId="133"/>
    <tableColumn id="12" xr3:uid="{0A9A4289-73D5-4A28-9A4B-B295618CA0CC}" name="FECHA INICIO CONTRATO" totalsRowFunction="count" dataDxfId="132" totalsRowDxfId="131"/>
    <tableColumn id="13" xr3:uid="{235D3172-02AF-4B8A-B8C5-7D4D438E78C2}" name="FECHA TERMINACIÓN DEL CONTRATO_x000a_(inicial)" totalsRowFunction="count" dataDxfId="130" totalsRowDxfId="129"/>
    <tableColumn id="14" xr3:uid="{63B0D5E2-652B-49A5-89DD-FC61ECCCD034}" name="FECHA TERMINACIÓN DEL CONTRATO_x000a_(inicial + prórrogas)" totalsRowFunction="count" dataDxfId="128" totalsRowDxfId="127"/>
    <tableColumn id="27" xr3:uid="{3E14AB48-AB4D-4E2F-8893-502A52936E99}" name="ESTADO DEL CONTRATO (EN EJECUCIÓN EN LIQUIDACIÓN POR LIQUIDAR NO SE LIQUIDA)" totalsRowFunction="count" dataDxfId="126" totalsRowDxfId="125"/>
    <tableColumn id="19" xr3:uid="{D999E48F-219C-47B2-B61E-7351CD76BD8E}" name="FECHA LIQUIDACIÓN DEL CONTRATO" totalsRowFunction="count" dataDxfId="124" totalsRowDxfId="123"/>
    <tableColumn id="30" xr3:uid="{6BB311A8-C48C-436B-804D-25399B0CAFCC}" name="CAUSAL DE TERMINACIÓN" totalsRowFunction="count" dataDxfId="122" totalsRowDxfId="121"/>
    <tableColumn id="24" xr3:uid="{510DACA5-5F3A-47A7-9620-1A08508E62A0}" name="PORCENTAJE DE EJECUCIÓN FÍSICA _x000a_A 31 DICIEMBRE 2025" totalsRowFunction="count" dataDxfId="120" totalsRowDxfId="119" dataCellStyle="Porcentaje"/>
    <tableColumn id="22" xr3:uid="{ACF51B8C-BFBC-47CF-91CC-DA1230BA00E1}" name="PORCENTAJE DE EJECUCIÓN PRESUPUESTAL_x000a_A 31 DICIEMBRE 20252025" totalsRowFunction="count" dataDxfId="118" totalsRowDxfId="117" dataCellStyle="Porcentaje"/>
    <tableColumn id="21" xr3:uid="{7CCFA7A0-E651-4A78-9ECD-BB8F0096907D}" name="VALOR PAGADO (en pesos)_x000a_A 31 DICIEMBRE 2025" totalsRowFunction="sum" dataDxfId="116" totalsRowDxfId="115" dataCellStyle="Moneda [0]"/>
    <tableColumn id="45" xr3:uid="{86956180-5B60-4029-B548-6204A795D10A}" name="LINK CONSULTA SECOP I II _x000a_(SEGÚN APLIQUE)" dataDxfId="114" totalsRowDxfId="113" dataCellStyle="Moneda [0]"/>
    <tableColumn id="31" xr3:uid="{E6953298-72A2-421A-8AD2-ED3782CB9E65}" name="AÑO SUSCRIPCIÓN" totalsRowFunction="count" dataDxfId="112" totalsRowDxfId="111"/>
  </tableColumns>
  <tableStyleInfo name="TableStyleLight18"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9/04/relationships/namedSheetView" Target="../namedSheetViews/namedSheetView1.xml"/></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ecop.gov.co/CO1BusinessLine/Tendering/ProcedureEdit/View?docUniqueIdentifier=CO1.REQ.2242880&amp;prevCtxUrl=https%3a%2f%2fwww.secop.gov.co%2fCO1BusinessLine%2fTendering%2fBuyerDossierWorkspace%2fIndex%3freference%3d036%26createDateFrom%3d01%2f12%2f2019+07%3a02%3a00%26createDateTo%3d01%2f06%2f2022+19%3a02%3a00%26filteringState%3d0%26sortingState%3dLastModifiedDESC%26showAdvancedSearch%3dTrue%26showAdvancedSearchFields%3dFalse%26advSrchFolderCode%3dALL%26selectedDossier%3dCO1.BDOS.2182999%26selectedRequest%3dCO1.REQ.2242880%26&amp;prevCtxLbl=Procesos+de+la+Entidad+Estatal" TargetMode="External"/><Relationship Id="rId1" Type="http://schemas.openxmlformats.org/officeDocument/2006/relationships/hyperlink" Target="https://community.secop.gov.co/Public/Tendering/ContractNoticePhases/View?PPI=CO1.PPI.36069771&amp;isFromPublicArea=True&amp;isModal=False" TargetMode="External"/><Relationship Id="rId5" Type="http://schemas.microsoft.com/office/2019/04/relationships/namedSheetView" Target="../namedSheetViews/namedSheetView3.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microsoft.com/office/2019/04/relationships/namedSheetView" Target="../namedSheetViews/namedSheetView4.xml"/><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E55A2-9D2E-4C76-BDA9-718766E93BD5}">
  <sheetPr codeName="Hoja1"/>
  <dimension ref="A1:F179"/>
  <sheetViews>
    <sheetView topLeftCell="A80" zoomScale="70" zoomScaleNormal="70" workbookViewId="0">
      <selection activeCell="G61" sqref="G1:O1048576"/>
    </sheetView>
  </sheetViews>
  <sheetFormatPr baseColWidth="10" defaultColWidth="11.453125" defaultRowHeight="14.5" x14ac:dyDescent="0.35"/>
  <cols>
    <col min="1" max="1" width="43.81640625" customWidth="1"/>
    <col min="2" max="2" width="35.26953125" customWidth="1"/>
    <col min="3" max="3" width="56.26953125" bestFit="1" customWidth="1"/>
    <col min="4" max="4" width="66.453125" customWidth="1"/>
    <col min="5" max="5" width="36.1796875" customWidth="1"/>
    <col min="6" max="6" width="42.453125" customWidth="1"/>
  </cols>
  <sheetData>
    <row r="1" spans="1:4" x14ac:dyDescent="0.35">
      <c r="A1" s="5" t="s">
        <v>0</v>
      </c>
      <c r="C1" s="7" t="s">
        <v>1</v>
      </c>
      <c r="D1" s="7" t="s">
        <v>2</v>
      </c>
    </row>
    <row r="2" spans="1:4" x14ac:dyDescent="0.35">
      <c r="A2" s="5" t="s">
        <v>3</v>
      </c>
      <c r="C2" s="8" t="s">
        <v>4</v>
      </c>
      <c r="D2" s="8" t="s">
        <v>5</v>
      </c>
    </row>
    <row r="3" spans="1:4" x14ac:dyDescent="0.35">
      <c r="A3" s="5" t="s">
        <v>6</v>
      </c>
      <c r="C3" s="8" t="s">
        <v>4</v>
      </c>
      <c r="D3" s="8" t="s">
        <v>7</v>
      </c>
    </row>
    <row r="4" spans="1:4" x14ac:dyDescent="0.35">
      <c r="A4" s="5" t="s">
        <v>8</v>
      </c>
      <c r="C4" s="8" t="s">
        <v>4</v>
      </c>
      <c r="D4" s="8" t="s">
        <v>9</v>
      </c>
    </row>
    <row r="5" spans="1:4" x14ac:dyDescent="0.35">
      <c r="A5" s="5" t="s">
        <v>10</v>
      </c>
      <c r="C5" s="8" t="s">
        <v>11</v>
      </c>
      <c r="D5" s="8" t="s">
        <v>12</v>
      </c>
    </row>
    <row r="6" spans="1:4" x14ac:dyDescent="0.35">
      <c r="A6" s="5" t="s">
        <v>13</v>
      </c>
      <c r="C6" s="8" t="s">
        <v>11</v>
      </c>
      <c r="D6" s="8" t="s">
        <v>14</v>
      </c>
    </row>
    <row r="7" spans="1:4" x14ac:dyDescent="0.35">
      <c r="A7" s="5" t="s">
        <v>15</v>
      </c>
      <c r="C7" s="8" t="s">
        <v>11</v>
      </c>
      <c r="D7" s="8" t="s">
        <v>16</v>
      </c>
    </row>
    <row r="8" spans="1:4" x14ac:dyDescent="0.35">
      <c r="A8" s="5" t="s">
        <v>17</v>
      </c>
      <c r="C8" s="8" t="s">
        <v>11</v>
      </c>
      <c r="D8" s="8" t="s">
        <v>18</v>
      </c>
    </row>
    <row r="9" spans="1:4" x14ac:dyDescent="0.35">
      <c r="C9" s="8" t="s">
        <v>11</v>
      </c>
      <c r="D9" s="8" t="s">
        <v>19</v>
      </c>
    </row>
    <row r="10" spans="1:4" x14ac:dyDescent="0.35">
      <c r="C10" s="8" t="s">
        <v>11</v>
      </c>
      <c r="D10" s="8" t="s">
        <v>20</v>
      </c>
    </row>
    <row r="11" spans="1:4" x14ac:dyDescent="0.35">
      <c r="C11" s="8" t="s">
        <v>21</v>
      </c>
      <c r="D11" s="8" t="s">
        <v>22</v>
      </c>
    </row>
    <row r="12" spans="1:4" x14ac:dyDescent="0.35">
      <c r="C12" s="8" t="s">
        <v>21</v>
      </c>
      <c r="D12" s="8" t="s">
        <v>23</v>
      </c>
    </row>
    <row r="13" spans="1:4" x14ac:dyDescent="0.35">
      <c r="C13" s="8" t="s">
        <v>21</v>
      </c>
      <c r="D13" s="8" t="s">
        <v>24</v>
      </c>
    </row>
    <row r="14" spans="1:4" x14ac:dyDescent="0.35">
      <c r="C14" s="8" t="s">
        <v>21</v>
      </c>
      <c r="D14" s="8" t="s">
        <v>25</v>
      </c>
    </row>
    <row r="15" spans="1:4" x14ac:dyDescent="0.35">
      <c r="C15" s="8" t="s">
        <v>21</v>
      </c>
      <c r="D15" s="8" t="s">
        <v>26</v>
      </c>
    </row>
    <row r="16" spans="1:4" x14ac:dyDescent="0.35">
      <c r="C16" s="8" t="s">
        <v>21</v>
      </c>
      <c r="D16" s="8" t="s">
        <v>27</v>
      </c>
    </row>
    <row r="17" spans="3:4" x14ac:dyDescent="0.35">
      <c r="C17" s="8" t="s">
        <v>21</v>
      </c>
      <c r="D17" s="8" t="s">
        <v>28</v>
      </c>
    </row>
    <row r="18" spans="3:4" x14ac:dyDescent="0.35">
      <c r="C18" s="8" t="s">
        <v>21</v>
      </c>
      <c r="D18" s="8" t="s">
        <v>29</v>
      </c>
    </row>
    <row r="19" spans="3:4" x14ac:dyDescent="0.35">
      <c r="C19" s="8" t="s">
        <v>21</v>
      </c>
      <c r="D19" s="8" t="s">
        <v>30</v>
      </c>
    </row>
    <row r="20" spans="3:4" x14ac:dyDescent="0.35">
      <c r="C20" s="8" t="s">
        <v>31</v>
      </c>
      <c r="D20" s="9" t="s">
        <v>32</v>
      </c>
    </row>
    <row r="21" spans="3:4" x14ac:dyDescent="0.35">
      <c r="C21" s="8" t="s">
        <v>31</v>
      </c>
      <c r="D21" s="9" t="s">
        <v>33</v>
      </c>
    </row>
    <row r="22" spans="3:4" x14ac:dyDescent="0.35">
      <c r="C22" s="8" t="s">
        <v>31</v>
      </c>
      <c r="D22" s="9" t="s">
        <v>34</v>
      </c>
    </row>
    <row r="23" spans="3:4" x14ac:dyDescent="0.35">
      <c r="C23" s="8" t="s">
        <v>31</v>
      </c>
      <c r="D23" s="9" t="s">
        <v>35</v>
      </c>
    </row>
    <row r="24" spans="3:4" x14ac:dyDescent="0.35">
      <c r="C24" s="8" t="s">
        <v>31</v>
      </c>
      <c r="D24" s="9" t="s">
        <v>36</v>
      </c>
    </row>
    <row r="25" spans="3:4" x14ac:dyDescent="0.35">
      <c r="C25" s="8" t="s">
        <v>31</v>
      </c>
      <c r="D25" s="9" t="s">
        <v>37</v>
      </c>
    </row>
    <row r="26" spans="3:4" x14ac:dyDescent="0.35">
      <c r="C26" s="8" t="s">
        <v>31</v>
      </c>
      <c r="D26" s="9" t="s">
        <v>38</v>
      </c>
    </row>
    <row r="27" spans="3:4" x14ac:dyDescent="0.35">
      <c r="C27" s="8" t="s">
        <v>31</v>
      </c>
      <c r="D27" s="9" t="s">
        <v>39</v>
      </c>
    </row>
    <row r="28" spans="3:4" x14ac:dyDescent="0.35">
      <c r="C28" s="8" t="s">
        <v>31</v>
      </c>
      <c r="D28" s="9" t="s">
        <v>40</v>
      </c>
    </row>
    <row r="29" spans="3:4" x14ac:dyDescent="0.35">
      <c r="C29" s="8" t="s">
        <v>31</v>
      </c>
      <c r="D29" s="9" t="s">
        <v>41</v>
      </c>
    </row>
    <row r="30" spans="3:4" x14ac:dyDescent="0.35">
      <c r="C30" s="8" t="s">
        <v>10</v>
      </c>
      <c r="D30" s="9" t="s">
        <v>42</v>
      </c>
    </row>
    <row r="31" spans="3:4" x14ac:dyDescent="0.35">
      <c r="C31" s="8" t="s">
        <v>10</v>
      </c>
      <c r="D31" s="9" t="s">
        <v>43</v>
      </c>
    </row>
    <row r="32" spans="3:4" x14ac:dyDescent="0.35">
      <c r="C32" s="8" t="s">
        <v>10</v>
      </c>
      <c r="D32" s="9" t="s">
        <v>44</v>
      </c>
    </row>
    <row r="33" spans="3:4" x14ac:dyDescent="0.35">
      <c r="C33" s="8" t="s">
        <v>10</v>
      </c>
      <c r="D33" s="9" t="s">
        <v>45</v>
      </c>
    </row>
    <row r="34" spans="3:4" x14ac:dyDescent="0.35">
      <c r="C34" s="8" t="s">
        <v>10</v>
      </c>
      <c r="D34" s="9" t="s">
        <v>46</v>
      </c>
    </row>
    <row r="35" spans="3:4" x14ac:dyDescent="0.35">
      <c r="C35" s="8" t="s">
        <v>10</v>
      </c>
      <c r="D35" s="9" t="s">
        <v>47</v>
      </c>
    </row>
    <row r="36" spans="3:4" x14ac:dyDescent="0.35">
      <c r="C36" s="8" t="s">
        <v>10</v>
      </c>
      <c r="D36" s="9" t="s">
        <v>48</v>
      </c>
    </row>
    <row r="37" spans="3:4" x14ac:dyDescent="0.35">
      <c r="C37" s="8" t="s">
        <v>10</v>
      </c>
      <c r="D37" s="9" t="s">
        <v>49</v>
      </c>
    </row>
    <row r="38" spans="3:4" x14ac:dyDescent="0.35">
      <c r="C38" s="10" t="s">
        <v>10</v>
      </c>
      <c r="D38" s="9" t="s">
        <v>50</v>
      </c>
    </row>
    <row r="39" spans="3:4" x14ac:dyDescent="0.35">
      <c r="C39" s="8" t="s">
        <v>13</v>
      </c>
      <c r="D39" s="8" t="s">
        <v>51</v>
      </c>
    </row>
    <row r="40" spans="3:4" x14ac:dyDescent="0.35">
      <c r="C40" s="8" t="s">
        <v>13</v>
      </c>
      <c r="D40" s="9" t="s">
        <v>52</v>
      </c>
    </row>
    <row r="41" spans="3:4" x14ac:dyDescent="0.35">
      <c r="C41" s="8" t="s">
        <v>13</v>
      </c>
      <c r="D41" s="9" t="s">
        <v>53</v>
      </c>
    </row>
    <row r="42" spans="3:4" x14ac:dyDescent="0.35">
      <c r="C42" s="8" t="s">
        <v>13</v>
      </c>
      <c r="D42" s="9" t="s">
        <v>54</v>
      </c>
    </row>
    <row r="43" spans="3:4" x14ac:dyDescent="0.35">
      <c r="C43" s="8" t="s">
        <v>13</v>
      </c>
      <c r="D43" s="9" t="s">
        <v>55</v>
      </c>
    </row>
    <row r="44" spans="3:4" x14ac:dyDescent="0.35">
      <c r="C44" s="8" t="s">
        <v>13</v>
      </c>
      <c r="D44" s="9" t="s">
        <v>56</v>
      </c>
    </row>
    <row r="45" spans="3:4" x14ac:dyDescent="0.35">
      <c r="C45" s="8" t="s">
        <v>13</v>
      </c>
      <c r="D45" s="9" t="s">
        <v>57</v>
      </c>
    </row>
    <row r="46" spans="3:4" x14ac:dyDescent="0.35">
      <c r="C46" s="8" t="s">
        <v>13</v>
      </c>
      <c r="D46" s="9" t="s">
        <v>58</v>
      </c>
    </row>
    <row r="47" spans="3:4" x14ac:dyDescent="0.35">
      <c r="C47" s="10" t="s">
        <v>13</v>
      </c>
      <c r="D47" s="8" t="s">
        <v>59</v>
      </c>
    </row>
    <row r="48" spans="3:4" x14ac:dyDescent="0.35">
      <c r="C48" s="8" t="s">
        <v>15</v>
      </c>
      <c r="D48" s="9" t="s">
        <v>60</v>
      </c>
    </row>
    <row r="49" spans="3:4" x14ac:dyDescent="0.35">
      <c r="C49" s="8" t="s">
        <v>15</v>
      </c>
      <c r="D49" s="9" t="s">
        <v>61</v>
      </c>
    </row>
    <row r="50" spans="3:4" x14ac:dyDescent="0.35">
      <c r="C50" s="8" t="s">
        <v>15</v>
      </c>
      <c r="D50" s="9" t="s">
        <v>62</v>
      </c>
    </row>
    <row r="51" spans="3:4" x14ac:dyDescent="0.35">
      <c r="C51" s="8" t="s">
        <v>15</v>
      </c>
      <c r="D51" s="9" t="s">
        <v>63</v>
      </c>
    </row>
    <row r="52" spans="3:4" x14ac:dyDescent="0.35">
      <c r="C52" s="8" t="s">
        <v>15</v>
      </c>
      <c r="D52" s="9" t="s">
        <v>64</v>
      </c>
    </row>
    <row r="53" spans="3:4" x14ac:dyDescent="0.35">
      <c r="C53" s="10" t="s">
        <v>15</v>
      </c>
      <c r="D53" s="9" t="s">
        <v>65</v>
      </c>
    </row>
    <row r="54" spans="3:4" x14ac:dyDescent="0.35">
      <c r="C54" s="8" t="s">
        <v>17</v>
      </c>
      <c r="D54" s="8" t="s">
        <v>66</v>
      </c>
    </row>
    <row r="55" spans="3:4" x14ac:dyDescent="0.35">
      <c r="C55" s="8" t="s">
        <v>17</v>
      </c>
      <c r="D55" s="8" t="s">
        <v>67</v>
      </c>
    </row>
    <row r="56" spans="3:4" x14ac:dyDescent="0.35">
      <c r="C56" s="8" t="s">
        <v>17</v>
      </c>
      <c r="D56" s="8" t="s">
        <v>68</v>
      </c>
    </row>
    <row r="57" spans="3:4" x14ac:dyDescent="0.35">
      <c r="C57" s="8" t="s">
        <v>17</v>
      </c>
      <c r="D57" s="8" t="s">
        <v>69</v>
      </c>
    </row>
    <row r="58" spans="3:4" x14ac:dyDescent="0.35">
      <c r="C58" s="8" t="s">
        <v>17</v>
      </c>
      <c r="D58" s="8" t="s">
        <v>70</v>
      </c>
    </row>
    <row r="59" spans="3:4" x14ac:dyDescent="0.35">
      <c r="C59" s="8" t="s">
        <v>17</v>
      </c>
      <c r="D59" s="8" t="s">
        <v>71</v>
      </c>
    </row>
    <row r="60" spans="3:4" x14ac:dyDescent="0.35">
      <c r="C60" s="8" t="s">
        <v>17</v>
      </c>
      <c r="D60" s="8" t="s">
        <v>72</v>
      </c>
    </row>
    <row r="61" spans="3:4" x14ac:dyDescent="0.35">
      <c r="C61" s="8" t="s">
        <v>17</v>
      </c>
      <c r="D61" s="8" t="s">
        <v>73</v>
      </c>
    </row>
    <row r="62" spans="3:4" x14ac:dyDescent="0.35">
      <c r="C62" s="8" t="s">
        <v>17</v>
      </c>
      <c r="D62" s="8" t="s">
        <v>74</v>
      </c>
    </row>
    <row r="63" spans="3:4" x14ac:dyDescent="0.35">
      <c r="C63" s="8" t="s">
        <v>17</v>
      </c>
      <c r="D63" s="8" t="s">
        <v>75</v>
      </c>
    </row>
    <row r="64" spans="3:4" x14ac:dyDescent="0.35">
      <c r="C64" s="8" t="s">
        <v>17</v>
      </c>
      <c r="D64" s="8" t="s">
        <v>76</v>
      </c>
    </row>
    <row r="65" spans="1:6" x14ac:dyDescent="0.35">
      <c r="C65" s="8" t="s">
        <v>17</v>
      </c>
      <c r="D65" s="8" t="s">
        <v>77</v>
      </c>
    </row>
    <row r="66" spans="1:6" x14ac:dyDescent="0.35">
      <c r="C66" s="8" t="s">
        <v>17</v>
      </c>
      <c r="D66" s="8" t="s">
        <v>78</v>
      </c>
    </row>
    <row r="67" spans="1:6" x14ac:dyDescent="0.35">
      <c r="C67" s="8" t="s">
        <v>17</v>
      </c>
      <c r="D67" s="8" t="s">
        <v>79</v>
      </c>
    </row>
    <row r="68" spans="1:6" x14ac:dyDescent="0.35">
      <c r="C68" s="10" t="s">
        <v>17</v>
      </c>
      <c r="D68" s="8" t="s">
        <v>80</v>
      </c>
    </row>
    <row r="72" spans="1:6" x14ac:dyDescent="0.35">
      <c r="A72" t="s">
        <v>81</v>
      </c>
      <c r="B72" t="s">
        <v>82</v>
      </c>
      <c r="C72" t="s">
        <v>83</v>
      </c>
      <c r="D72" t="s">
        <v>84</v>
      </c>
      <c r="E72" t="s">
        <v>85</v>
      </c>
      <c r="F72" t="s">
        <v>86</v>
      </c>
    </row>
    <row r="73" spans="1:6" x14ac:dyDescent="0.35">
      <c r="A73" t="s">
        <v>87</v>
      </c>
      <c r="B73" t="s">
        <v>88</v>
      </c>
      <c r="C73" t="s">
        <v>89</v>
      </c>
      <c r="D73" t="s">
        <v>90</v>
      </c>
      <c r="E73" t="s">
        <v>91</v>
      </c>
      <c r="F73" t="s">
        <v>92</v>
      </c>
    </row>
    <row r="74" spans="1:6" x14ac:dyDescent="0.35">
      <c r="A74" t="s">
        <v>93</v>
      </c>
      <c r="B74" t="s">
        <v>94</v>
      </c>
      <c r="C74" t="s">
        <v>95</v>
      </c>
      <c r="D74" t="s">
        <v>96</v>
      </c>
      <c r="E74" t="s">
        <v>97</v>
      </c>
      <c r="F74" t="s">
        <v>98</v>
      </c>
    </row>
    <row r="75" spans="1:6" x14ac:dyDescent="0.35">
      <c r="A75" t="s">
        <v>99</v>
      </c>
      <c r="B75" t="s">
        <v>100</v>
      </c>
      <c r="C75" t="s">
        <v>101</v>
      </c>
      <c r="D75" t="s">
        <v>102</v>
      </c>
      <c r="E75" t="s">
        <v>103</v>
      </c>
      <c r="F75" t="s">
        <v>104</v>
      </c>
    </row>
    <row r="76" spans="1:6" x14ac:dyDescent="0.35">
      <c r="A76" t="s">
        <v>105</v>
      </c>
      <c r="B76" t="s">
        <v>106</v>
      </c>
      <c r="D76" t="s">
        <v>107</v>
      </c>
      <c r="E76" t="s">
        <v>108</v>
      </c>
    </row>
    <row r="77" spans="1:6" x14ac:dyDescent="0.35">
      <c r="A77" t="s">
        <v>109</v>
      </c>
      <c r="B77" t="s">
        <v>110</v>
      </c>
      <c r="E77" t="s">
        <v>111</v>
      </c>
    </row>
    <row r="78" spans="1:6" x14ac:dyDescent="0.35">
      <c r="A78" t="s">
        <v>112</v>
      </c>
      <c r="B78" t="s">
        <v>113</v>
      </c>
      <c r="E78" t="s">
        <v>114</v>
      </c>
    </row>
    <row r="79" spans="1:6" x14ac:dyDescent="0.35">
      <c r="A79" t="s">
        <v>115</v>
      </c>
      <c r="B79" t="s">
        <v>116</v>
      </c>
      <c r="E79" t="s">
        <v>117</v>
      </c>
    </row>
    <row r="80" spans="1:6" x14ac:dyDescent="0.35">
      <c r="A80" t="s">
        <v>118</v>
      </c>
      <c r="B80" t="s">
        <v>119</v>
      </c>
      <c r="E80" t="s">
        <v>120</v>
      </c>
    </row>
    <row r="81" spans="1:5" x14ac:dyDescent="0.35">
      <c r="A81" t="s">
        <v>121</v>
      </c>
      <c r="B81" t="s">
        <v>122</v>
      </c>
      <c r="E81" t="s">
        <v>123</v>
      </c>
    </row>
    <row r="82" spans="1:5" x14ac:dyDescent="0.35">
      <c r="A82" t="s">
        <v>124</v>
      </c>
      <c r="B82" t="s">
        <v>125</v>
      </c>
      <c r="E82" t="s">
        <v>126</v>
      </c>
    </row>
    <row r="83" spans="1:5" x14ac:dyDescent="0.35">
      <c r="A83" t="s">
        <v>127</v>
      </c>
      <c r="B83" t="s">
        <v>128</v>
      </c>
    </row>
    <row r="84" spans="1:5" x14ac:dyDescent="0.35">
      <c r="A84" t="s">
        <v>129</v>
      </c>
      <c r="B84" t="s">
        <v>130</v>
      </c>
    </row>
    <row r="85" spans="1:5" x14ac:dyDescent="0.35">
      <c r="A85" t="s">
        <v>131</v>
      </c>
      <c r="B85" t="s">
        <v>132</v>
      </c>
    </row>
    <row r="86" spans="1:5" x14ac:dyDescent="0.35">
      <c r="A86" t="s">
        <v>133</v>
      </c>
      <c r="B86" t="s">
        <v>134</v>
      </c>
    </row>
    <row r="87" spans="1:5" x14ac:dyDescent="0.35">
      <c r="A87" t="s">
        <v>135</v>
      </c>
      <c r="B87" t="s">
        <v>136</v>
      </c>
    </row>
    <row r="88" spans="1:5" x14ac:dyDescent="0.35">
      <c r="A88" t="s">
        <v>137</v>
      </c>
      <c r="B88" t="s">
        <v>138</v>
      </c>
    </row>
    <row r="89" spans="1:5" x14ac:dyDescent="0.35">
      <c r="A89" t="s">
        <v>139</v>
      </c>
      <c r="B89" t="s">
        <v>140</v>
      </c>
    </row>
    <row r="90" spans="1:5" x14ac:dyDescent="0.35">
      <c r="A90" t="s">
        <v>141</v>
      </c>
      <c r="B90" t="s">
        <v>142</v>
      </c>
    </row>
    <row r="91" spans="1:5" x14ac:dyDescent="0.35">
      <c r="A91" t="s">
        <v>143</v>
      </c>
      <c r="B91" t="s">
        <v>144</v>
      </c>
    </row>
    <row r="92" spans="1:5" x14ac:dyDescent="0.35">
      <c r="A92" t="s">
        <v>145</v>
      </c>
      <c r="B92" t="s">
        <v>146</v>
      </c>
    </row>
    <row r="93" spans="1:5" x14ac:dyDescent="0.35">
      <c r="A93" t="s">
        <v>147</v>
      </c>
      <c r="B93" t="s">
        <v>148</v>
      </c>
    </row>
    <row r="94" spans="1:5" x14ac:dyDescent="0.35">
      <c r="A94" t="s">
        <v>149</v>
      </c>
      <c r="B94" t="s">
        <v>150</v>
      </c>
    </row>
    <row r="95" spans="1:5" x14ac:dyDescent="0.35">
      <c r="A95" t="s">
        <v>151</v>
      </c>
      <c r="B95" t="s">
        <v>152</v>
      </c>
    </row>
    <row r="96" spans="1:5" x14ac:dyDescent="0.35">
      <c r="A96" t="s">
        <v>153</v>
      </c>
      <c r="B96" t="s">
        <v>154</v>
      </c>
    </row>
    <row r="97" spans="1:2" x14ac:dyDescent="0.35">
      <c r="A97" t="s">
        <v>155</v>
      </c>
      <c r="B97" t="s">
        <v>156</v>
      </c>
    </row>
    <row r="98" spans="1:2" x14ac:dyDescent="0.35">
      <c r="A98" t="s">
        <v>157</v>
      </c>
      <c r="B98" t="s">
        <v>158</v>
      </c>
    </row>
    <row r="99" spans="1:2" x14ac:dyDescent="0.35">
      <c r="A99" t="s">
        <v>159</v>
      </c>
      <c r="B99" t="s">
        <v>160</v>
      </c>
    </row>
    <row r="100" spans="1:2" x14ac:dyDescent="0.35">
      <c r="A100" t="s">
        <v>161</v>
      </c>
      <c r="B100" t="s">
        <v>162</v>
      </c>
    </row>
    <row r="101" spans="1:2" x14ac:dyDescent="0.35">
      <c r="A101" t="s">
        <v>163</v>
      </c>
      <c r="B101" t="s">
        <v>164</v>
      </c>
    </row>
    <row r="102" spans="1:2" x14ac:dyDescent="0.35">
      <c r="A102" t="s">
        <v>165</v>
      </c>
    </row>
    <row r="103" spans="1:2" x14ac:dyDescent="0.35">
      <c r="A103" t="s">
        <v>166</v>
      </c>
    </row>
    <row r="104" spans="1:2" x14ac:dyDescent="0.35">
      <c r="A104" t="s">
        <v>167</v>
      </c>
    </row>
    <row r="105" spans="1:2" x14ac:dyDescent="0.35">
      <c r="A105" t="s">
        <v>168</v>
      </c>
    </row>
    <row r="106" spans="1:2" x14ac:dyDescent="0.35">
      <c r="A106" t="s">
        <v>169</v>
      </c>
    </row>
    <row r="107" spans="1:2" x14ac:dyDescent="0.35">
      <c r="A107" t="s">
        <v>170</v>
      </c>
    </row>
    <row r="108" spans="1:2" x14ac:dyDescent="0.35">
      <c r="A108" t="s">
        <v>171</v>
      </c>
    </row>
    <row r="109" spans="1:2" x14ac:dyDescent="0.35">
      <c r="A109" t="s">
        <v>172</v>
      </c>
    </row>
    <row r="110" spans="1:2" x14ac:dyDescent="0.35">
      <c r="A110" t="s">
        <v>173</v>
      </c>
    </row>
    <row r="111" spans="1:2" x14ac:dyDescent="0.35">
      <c r="A111" t="s">
        <v>174</v>
      </c>
    </row>
    <row r="112" spans="1:2" x14ac:dyDescent="0.35">
      <c r="A112" t="s">
        <v>175</v>
      </c>
    </row>
    <row r="113" spans="1:1" x14ac:dyDescent="0.35">
      <c r="A113" t="s">
        <v>176</v>
      </c>
    </row>
    <row r="114" spans="1:1" x14ac:dyDescent="0.35">
      <c r="A114" t="s">
        <v>177</v>
      </c>
    </row>
    <row r="115" spans="1:1" x14ac:dyDescent="0.35">
      <c r="A115" t="s">
        <v>178</v>
      </c>
    </row>
    <row r="116" spans="1:1" x14ac:dyDescent="0.35">
      <c r="A116" t="s">
        <v>179</v>
      </c>
    </row>
    <row r="117" spans="1:1" x14ac:dyDescent="0.35">
      <c r="A117" t="s">
        <v>180</v>
      </c>
    </row>
    <row r="118" spans="1:1" x14ac:dyDescent="0.35">
      <c r="A118" t="s">
        <v>181</v>
      </c>
    </row>
    <row r="119" spans="1:1" x14ac:dyDescent="0.35">
      <c r="A119" t="s">
        <v>182</v>
      </c>
    </row>
    <row r="120" spans="1:1" x14ac:dyDescent="0.35">
      <c r="A120" t="s">
        <v>183</v>
      </c>
    </row>
    <row r="121" spans="1:1" x14ac:dyDescent="0.35">
      <c r="A121" t="s">
        <v>184</v>
      </c>
    </row>
    <row r="122" spans="1:1" x14ac:dyDescent="0.35">
      <c r="A122" t="s">
        <v>185</v>
      </c>
    </row>
    <row r="136" spans="1:6" x14ac:dyDescent="0.35">
      <c r="A136" s="13" t="s">
        <v>186</v>
      </c>
      <c r="B136">
        <v>5874</v>
      </c>
    </row>
    <row r="137" spans="1:6" x14ac:dyDescent="0.35">
      <c r="A137" s="13" t="s">
        <v>187</v>
      </c>
      <c r="B137" s="11"/>
      <c r="C137" t="s">
        <v>188</v>
      </c>
    </row>
    <row r="138" spans="1:6" x14ac:dyDescent="0.35">
      <c r="A138" s="13" t="s">
        <v>189</v>
      </c>
      <c r="B138" s="11">
        <v>5880</v>
      </c>
    </row>
    <row r="139" spans="1:6" x14ac:dyDescent="0.35">
      <c r="A139" s="13" t="s">
        <v>190</v>
      </c>
      <c r="B139" s="14" t="s">
        <v>191</v>
      </c>
      <c r="C139" t="s">
        <v>192</v>
      </c>
      <c r="D139" s="15" t="s">
        <v>193</v>
      </c>
      <c r="F139" s="15" t="s">
        <v>194</v>
      </c>
    </row>
    <row r="140" spans="1:6" x14ac:dyDescent="0.35">
      <c r="A140" s="16" t="s">
        <v>195</v>
      </c>
      <c r="B140">
        <v>5876</v>
      </c>
      <c r="C140" t="s">
        <v>196</v>
      </c>
    </row>
    <row r="141" spans="1:6" x14ac:dyDescent="0.35">
      <c r="D141" s="17" t="s">
        <v>197</v>
      </c>
      <c r="F141" t="s">
        <v>198</v>
      </c>
    </row>
    <row r="142" spans="1:6" x14ac:dyDescent="0.35">
      <c r="D142" s="17" t="s">
        <v>199</v>
      </c>
      <c r="F142" t="s">
        <v>200</v>
      </c>
    </row>
    <row r="143" spans="1:6" x14ac:dyDescent="0.35">
      <c r="D143" s="17" t="s">
        <v>201</v>
      </c>
      <c r="F143" t="s">
        <v>202</v>
      </c>
    </row>
    <row r="144" spans="1:6" x14ac:dyDescent="0.35">
      <c r="D144" s="17" t="s">
        <v>203</v>
      </c>
      <c r="F144" t="s">
        <v>204</v>
      </c>
    </row>
    <row r="145" spans="1:6" x14ac:dyDescent="0.35">
      <c r="A145" s="13" t="s">
        <v>205</v>
      </c>
      <c r="D145" s="17" t="s">
        <v>206</v>
      </c>
      <c r="F145" t="s">
        <v>207</v>
      </c>
    </row>
    <row r="146" spans="1:6" x14ac:dyDescent="0.35">
      <c r="D146" s="17" t="s">
        <v>208</v>
      </c>
      <c r="F146" t="s">
        <v>209</v>
      </c>
    </row>
    <row r="147" spans="1:6" x14ac:dyDescent="0.35">
      <c r="A147" s="18" t="s">
        <v>210</v>
      </c>
      <c r="D147" s="17" t="s">
        <v>211</v>
      </c>
      <c r="F147" t="s">
        <v>212</v>
      </c>
    </row>
    <row r="148" spans="1:6" x14ac:dyDescent="0.35">
      <c r="D148" s="17" t="s">
        <v>213</v>
      </c>
      <c r="F148" t="s">
        <v>214</v>
      </c>
    </row>
    <row r="149" spans="1:6" x14ac:dyDescent="0.35">
      <c r="D149" s="17" t="s">
        <v>215</v>
      </c>
      <c r="F149" t="s">
        <v>216</v>
      </c>
    </row>
    <row r="150" spans="1:6" x14ac:dyDescent="0.35">
      <c r="A150" t="s">
        <v>217</v>
      </c>
      <c r="B150" s="19">
        <v>122131</v>
      </c>
      <c r="D150" s="17" t="s">
        <v>218</v>
      </c>
      <c r="F150" t="s">
        <v>219</v>
      </c>
    </row>
    <row r="151" spans="1:6" x14ac:dyDescent="0.35">
      <c r="A151" t="s">
        <v>220</v>
      </c>
      <c r="B151" t="s">
        <v>221</v>
      </c>
      <c r="D151" s="17" t="s">
        <v>222</v>
      </c>
      <c r="F151" t="s">
        <v>223</v>
      </c>
    </row>
    <row r="152" spans="1:6" x14ac:dyDescent="0.35">
      <c r="A152" t="s">
        <v>224</v>
      </c>
      <c r="B152" t="s">
        <v>225</v>
      </c>
      <c r="D152" s="17" t="s">
        <v>226</v>
      </c>
      <c r="F152" t="s">
        <v>227</v>
      </c>
    </row>
    <row r="153" spans="1:6" x14ac:dyDescent="0.35">
      <c r="A153" s="11" t="s">
        <v>228</v>
      </c>
      <c r="B153" t="s">
        <v>229</v>
      </c>
      <c r="D153" s="17" t="s">
        <v>230</v>
      </c>
      <c r="F153" t="s">
        <v>231</v>
      </c>
    </row>
    <row r="154" spans="1:6" x14ac:dyDescent="0.35">
      <c r="A154" s="12" t="s">
        <v>232</v>
      </c>
      <c r="B154" s="11" t="s">
        <v>233</v>
      </c>
      <c r="D154" s="17" t="s">
        <v>234</v>
      </c>
      <c r="F154" t="s">
        <v>235</v>
      </c>
    </row>
    <row r="155" spans="1:6" x14ac:dyDescent="0.35">
      <c r="D155" s="17" t="s">
        <v>236</v>
      </c>
      <c r="F155" t="s">
        <v>237</v>
      </c>
    </row>
    <row r="156" spans="1:6" x14ac:dyDescent="0.35">
      <c r="A156" s="20" t="s">
        <v>238</v>
      </c>
      <c r="B156" s="21" t="s">
        <v>239</v>
      </c>
      <c r="D156" s="17" t="s">
        <v>240</v>
      </c>
      <c r="F156" t="s">
        <v>241</v>
      </c>
    </row>
    <row r="157" spans="1:6" x14ac:dyDescent="0.35">
      <c r="D157" s="17" t="s">
        <v>242</v>
      </c>
      <c r="F157" t="s">
        <v>243</v>
      </c>
    </row>
    <row r="158" spans="1:6" x14ac:dyDescent="0.35">
      <c r="D158" s="17" t="s">
        <v>244</v>
      </c>
      <c r="F158" t="s">
        <v>245</v>
      </c>
    </row>
    <row r="159" spans="1:6" x14ac:dyDescent="0.35">
      <c r="D159" s="17" t="s">
        <v>246</v>
      </c>
      <c r="F159" t="s">
        <v>247</v>
      </c>
    </row>
    <row r="160" spans="1:6" x14ac:dyDescent="0.35">
      <c r="D160" s="17" t="s">
        <v>248</v>
      </c>
      <c r="F160" t="s">
        <v>249</v>
      </c>
    </row>
    <row r="161" spans="4:6" x14ac:dyDescent="0.35">
      <c r="D161" s="17" t="s">
        <v>250</v>
      </c>
      <c r="F161" t="s">
        <v>251</v>
      </c>
    </row>
    <row r="162" spans="4:6" x14ac:dyDescent="0.35">
      <c r="D162" s="17" t="s">
        <v>252</v>
      </c>
      <c r="F162" t="s">
        <v>253</v>
      </c>
    </row>
    <row r="163" spans="4:6" x14ac:dyDescent="0.35">
      <c r="D163" s="17" t="s">
        <v>254</v>
      </c>
      <c r="F163" t="s">
        <v>255</v>
      </c>
    </row>
    <row r="164" spans="4:6" x14ac:dyDescent="0.35">
      <c r="D164" s="17" t="s">
        <v>256</v>
      </c>
      <c r="F164" t="s">
        <v>257</v>
      </c>
    </row>
    <row r="165" spans="4:6" x14ac:dyDescent="0.35">
      <c r="D165" s="17" t="s">
        <v>258</v>
      </c>
      <c r="F165" t="s">
        <v>259</v>
      </c>
    </row>
    <row r="166" spans="4:6" x14ac:dyDescent="0.35">
      <c r="D166" s="17" t="s">
        <v>260</v>
      </c>
      <c r="F166" t="s">
        <v>261</v>
      </c>
    </row>
    <row r="167" spans="4:6" x14ac:dyDescent="0.35">
      <c r="D167" s="22" t="s">
        <v>262</v>
      </c>
      <c r="F167" t="s">
        <v>263</v>
      </c>
    </row>
    <row r="168" spans="4:6" x14ac:dyDescent="0.35">
      <c r="D168" s="17" t="s">
        <v>264</v>
      </c>
      <c r="F168" t="s">
        <v>265</v>
      </c>
    </row>
    <row r="169" spans="4:6" x14ac:dyDescent="0.35">
      <c r="D169" s="17" t="s">
        <v>266</v>
      </c>
      <c r="F169" t="s">
        <v>267</v>
      </c>
    </row>
    <row r="170" spans="4:6" x14ac:dyDescent="0.35">
      <c r="D170" s="17" t="s">
        <v>268</v>
      </c>
      <c r="F170" t="s">
        <v>269</v>
      </c>
    </row>
    <row r="171" spans="4:6" x14ac:dyDescent="0.35">
      <c r="D171" s="17" t="s">
        <v>270</v>
      </c>
      <c r="F171" t="s">
        <v>271</v>
      </c>
    </row>
    <row r="172" spans="4:6" x14ac:dyDescent="0.35">
      <c r="D172" s="17" t="s">
        <v>272</v>
      </c>
    </row>
    <row r="173" spans="4:6" x14ac:dyDescent="0.35">
      <c r="D173" s="17" t="s">
        <v>273</v>
      </c>
    </row>
    <row r="174" spans="4:6" x14ac:dyDescent="0.35">
      <c r="D174" s="17" t="s">
        <v>274</v>
      </c>
    </row>
    <row r="175" spans="4:6" x14ac:dyDescent="0.35">
      <c r="D175" s="17" t="s">
        <v>275</v>
      </c>
    </row>
    <row r="176" spans="4:6" x14ac:dyDescent="0.35">
      <c r="D176" s="17" t="s">
        <v>276</v>
      </c>
    </row>
    <row r="177" spans="4:4" x14ac:dyDescent="0.35">
      <c r="D177" s="17" t="s">
        <v>277</v>
      </c>
    </row>
    <row r="178" spans="4:4" x14ac:dyDescent="0.35">
      <c r="D178" s="17" t="s">
        <v>278</v>
      </c>
    </row>
    <row r="179" spans="4:4" x14ac:dyDescent="0.35">
      <c r="D179" s="17" t="s">
        <v>279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A1C6B-7F6F-4B21-9F30-EDEFA05ABDAD}">
  <sheetPr codeName="Hoja2"/>
  <dimension ref="A1:AG288"/>
  <sheetViews>
    <sheetView showGridLines="0" topLeftCell="J1" zoomScale="90" zoomScaleNormal="90" workbookViewId="0">
      <selection activeCell="A3" sqref="A3:AE3"/>
    </sheetView>
  </sheetViews>
  <sheetFormatPr baseColWidth="10" defaultColWidth="11.453125" defaultRowHeight="14.5" x14ac:dyDescent="0.35"/>
  <cols>
    <col min="1" max="1" width="14.1796875" style="2" customWidth="1"/>
    <col min="2" max="2" width="20.1796875" style="2" customWidth="1"/>
    <col min="3" max="3" width="17.54296875" style="2" bestFit="1" customWidth="1"/>
    <col min="4" max="4" width="17.1796875" style="2" bestFit="1" customWidth="1"/>
    <col min="5" max="5" width="14.08984375" style="2" customWidth="1"/>
    <col min="6" max="6" width="16" style="2" bestFit="1" customWidth="1"/>
    <col min="7" max="7" width="18.453125" style="2" customWidth="1"/>
    <col min="8" max="8" width="39.90625" style="1" customWidth="1"/>
    <col min="9" max="9" width="16.81640625" style="2" customWidth="1"/>
    <col min="10" max="10" width="27.54296875" style="2" customWidth="1"/>
    <col min="11" max="11" width="21" style="2" hidden="1" customWidth="1"/>
    <col min="12" max="12" width="17.1796875" style="2" hidden="1" customWidth="1"/>
    <col min="13" max="13" width="19.90625" style="2" customWidth="1"/>
    <col min="14" max="14" width="14.54296875" style="2" customWidth="1"/>
    <col min="15" max="15" width="19.90625" style="2" customWidth="1"/>
    <col min="16" max="16" width="19.7265625" style="2" customWidth="1"/>
    <col min="17" max="17" width="15.54296875" style="2" bestFit="1" customWidth="1"/>
    <col min="18" max="18" width="15.7265625" style="2" bestFit="1" customWidth="1"/>
    <col min="19" max="19" width="15.54296875" style="27" customWidth="1"/>
    <col min="20" max="20" width="15.453125" style="2" customWidth="1"/>
    <col min="21" max="21" width="11.90625" style="2" customWidth="1"/>
    <col min="22" max="22" width="19.54296875" style="2" customWidth="1"/>
    <col min="23" max="23" width="20.6328125" style="2" customWidth="1"/>
    <col min="24" max="24" width="19.90625" style="2" customWidth="1"/>
    <col min="25" max="25" width="21.26953125" style="2" customWidth="1"/>
    <col min="26" max="26" width="16.453125" style="2" customWidth="1"/>
    <col min="27" max="27" width="18.54296875" style="2" customWidth="1"/>
    <col min="28" max="28" width="24.08984375" style="2" customWidth="1"/>
    <col min="29" max="29" width="26.81640625" style="2" customWidth="1"/>
    <col min="30" max="30" width="24.81640625" style="34" customWidth="1"/>
    <col min="31" max="31" width="34.1796875" style="2" customWidth="1"/>
    <col min="32" max="32" width="26.90625" style="2" customWidth="1"/>
    <col min="33" max="33" width="13.453125" style="46" customWidth="1"/>
    <col min="34" max="34" width="21" style="2" customWidth="1"/>
    <col min="35" max="16384" width="11.453125" style="2"/>
  </cols>
  <sheetData>
    <row r="1" spans="1:33" ht="21" x14ac:dyDescent="0.35">
      <c r="A1" s="178" t="s">
        <v>4059</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G1" s="2"/>
    </row>
    <row r="2" spans="1:33" ht="21" x14ac:dyDescent="0.35">
      <c r="A2" s="178" t="s">
        <v>4064</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G2" s="2"/>
    </row>
    <row r="3" spans="1:33" ht="21" x14ac:dyDescent="0.35">
      <c r="A3" s="178" t="s">
        <v>4060</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G3" s="2"/>
    </row>
    <row r="4" spans="1:33" ht="15.5" customHeight="1" thickBot="1" x14ac:dyDescent="0.4">
      <c r="A4" s="177"/>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G4" s="2"/>
    </row>
    <row r="5" spans="1:33" ht="87.5" thickBot="1" x14ac:dyDescent="0.4">
      <c r="A5" s="48" t="s">
        <v>280</v>
      </c>
      <c r="B5" s="48" t="s">
        <v>281</v>
      </c>
      <c r="C5" s="48" t="s">
        <v>282</v>
      </c>
      <c r="D5" s="48" t="s">
        <v>283</v>
      </c>
      <c r="E5" s="51" t="s">
        <v>284</v>
      </c>
      <c r="F5" s="48" t="s">
        <v>1378</v>
      </c>
      <c r="G5" s="48" t="s">
        <v>285</v>
      </c>
      <c r="H5" s="57" t="s">
        <v>286</v>
      </c>
      <c r="I5" s="48" t="s">
        <v>1379</v>
      </c>
      <c r="J5" s="48" t="s">
        <v>1436</v>
      </c>
      <c r="K5" s="49" t="s">
        <v>1437</v>
      </c>
      <c r="L5" s="49" t="s">
        <v>1380</v>
      </c>
      <c r="M5" s="49" t="s">
        <v>1438</v>
      </c>
      <c r="N5" s="49" t="s">
        <v>289</v>
      </c>
      <c r="O5" s="49" t="s">
        <v>1439</v>
      </c>
      <c r="P5" s="50" t="s">
        <v>1440</v>
      </c>
      <c r="Q5" s="51" t="s">
        <v>1381</v>
      </c>
      <c r="R5" s="51" t="s">
        <v>290</v>
      </c>
      <c r="S5" s="48" t="s">
        <v>291</v>
      </c>
      <c r="T5" s="51" t="s">
        <v>292</v>
      </c>
      <c r="U5" s="51" t="s">
        <v>1404</v>
      </c>
      <c r="V5" s="52" t="s">
        <v>293</v>
      </c>
      <c r="W5" s="52" t="s">
        <v>1441</v>
      </c>
      <c r="X5" s="52" t="s">
        <v>1692</v>
      </c>
      <c r="Y5" s="48" t="s">
        <v>294</v>
      </c>
      <c r="Z5" s="51" t="s">
        <v>295</v>
      </c>
      <c r="AA5" s="51" t="s">
        <v>296</v>
      </c>
      <c r="AB5" s="54" t="s">
        <v>1445</v>
      </c>
      <c r="AC5" s="54" t="s">
        <v>2528</v>
      </c>
      <c r="AD5" s="53" t="s">
        <v>1442</v>
      </c>
      <c r="AE5" s="51" t="s">
        <v>1444</v>
      </c>
      <c r="AG5" s="2"/>
    </row>
    <row r="6" spans="1:33" ht="43.5" x14ac:dyDescent="0.35">
      <c r="A6" s="43" t="s">
        <v>306</v>
      </c>
      <c r="B6" s="2" t="s">
        <v>327</v>
      </c>
      <c r="C6" s="26" t="s">
        <v>535</v>
      </c>
      <c r="D6" s="2" t="s">
        <v>300</v>
      </c>
      <c r="E6" s="66" t="s">
        <v>534</v>
      </c>
      <c r="F6" s="65">
        <v>45695</v>
      </c>
      <c r="G6" s="26" t="s">
        <v>150</v>
      </c>
      <c r="H6" s="67" t="s">
        <v>537</v>
      </c>
      <c r="I6" s="26" t="s">
        <v>1447</v>
      </c>
      <c r="J6" s="2" t="s">
        <v>536</v>
      </c>
      <c r="K6" s="84">
        <v>599456595.00999999</v>
      </c>
      <c r="L6" s="84">
        <v>113896754</v>
      </c>
      <c r="M6" s="85">
        <v>713353349</v>
      </c>
      <c r="N6" s="69" t="s">
        <v>302</v>
      </c>
      <c r="O6" s="3"/>
      <c r="P6" s="28">
        <f>+Tabla1513[[#This Row],[VALOR TOTAL DEL CONTRATO
(en pesos)
CON IVA
(inicial)]]+Tabla1513[[#This Row],[VALOR DE LAS ADICIONES
(en pesos)
CON IVA]]</f>
        <v>713353349</v>
      </c>
      <c r="Q6" s="37">
        <v>729</v>
      </c>
      <c r="R6" s="23" t="s">
        <v>302</v>
      </c>
      <c r="S6" s="4"/>
      <c r="T6" s="70" t="s">
        <v>302</v>
      </c>
      <c r="U6" s="89"/>
      <c r="V6" s="65">
        <v>45713</v>
      </c>
      <c r="W6" s="65">
        <v>46442</v>
      </c>
      <c r="X6" s="65">
        <v>46442</v>
      </c>
      <c r="Y6" s="64" t="s">
        <v>303</v>
      </c>
      <c r="Z6" s="71"/>
      <c r="AA6" s="71"/>
      <c r="AB6" s="30">
        <v>0.41660000000000003</v>
      </c>
      <c r="AC6" s="30">
        <v>0.26700000000000002</v>
      </c>
      <c r="AD6" s="62">
        <v>190444435</v>
      </c>
      <c r="AE6" s="32" t="s">
        <v>694</v>
      </c>
      <c r="AG6" s="2"/>
    </row>
    <row r="7" spans="1:33" ht="43.5" x14ac:dyDescent="0.35">
      <c r="A7" s="43" t="s">
        <v>306</v>
      </c>
      <c r="B7" s="2" t="s">
        <v>11</v>
      </c>
      <c r="C7" s="26" t="s">
        <v>19</v>
      </c>
      <c r="D7" s="2" t="s">
        <v>300</v>
      </c>
      <c r="E7" s="66" t="s">
        <v>481</v>
      </c>
      <c r="F7" s="65">
        <v>45667</v>
      </c>
      <c r="G7" s="26" t="s">
        <v>142</v>
      </c>
      <c r="H7" s="67" t="s">
        <v>483</v>
      </c>
      <c r="I7" s="26" t="s">
        <v>1448</v>
      </c>
      <c r="J7" s="2" t="s">
        <v>484</v>
      </c>
      <c r="K7" s="86">
        <v>22169634</v>
      </c>
      <c r="L7" s="86">
        <v>4212230</v>
      </c>
      <c r="M7" s="87">
        <v>26381864</v>
      </c>
      <c r="N7" s="69" t="s">
        <v>302</v>
      </c>
      <c r="O7" s="3"/>
      <c r="P7" s="28">
        <f>+Tabla1513[[#This Row],[VALOR TOTAL DEL CONTRATO
(en pesos)
CON IVA
(inicial)]]+Tabla1513[[#This Row],[VALOR DE LAS ADICIONES
(en pesos)
CON IVA]]</f>
        <v>26381864</v>
      </c>
      <c r="Q7" s="37">
        <v>355</v>
      </c>
      <c r="R7" s="23" t="s">
        <v>302</v>
      </c>
      <c r="S7" s="4"/>
      <c r="T7" s="70" t="s">
        <v>302</v>
      </c>
      <c r="U7" s="89"/>
      <c r="V7" s="65">
        <v>45667</v>
      </c>
      <c r="W7" s="65">
        <v>46022</v>
      </c>
      <c r="X7" s="65">
        <v>46022</v>
      </c>
      <c r="Y7" s="64" t="s">
        <v>325</v>
      </c>
      <c r="Z7" s="71"/>
      <c r="AA7" s="70" t="s">
        <v>321</v>
      </c>
      <c r="AB7" s="30">
        <v>0.96</v>
      </c>
      <c r="AC7" s="30">
        <v>0.62</v>
      </c>
      <c r="AD7" s="31">
        <v>10017211</v>
      </c>
      <c r="AE7" s="32" t="s">
        <v>1145</v>
      </c>
      <c r="AG7" s="2"/>
    </row>
    <row r="8" spans="1:33" ht="29" x14ac:dyDescent="0.35">
      <c r="A8" s="43" t="s">
        <v>306</v>
      </c>
      <c r="B8" s="2" t="s">
        <v>4</v>
      </c>
      <c r="C8" s="26" t="s">
        <v>352</v>
      </c>
      <c r="D8" s="2" t="s">
        <v>300</v>
      </c>
      <c r="E8" s="66" t="s">
        <v>482</v>
      </c>
      <c r="F8" s="65">
        <v>45664</v>
      </c>
      <c r="G8" s="26" t="s">
        <v>150</v>
      </c>
      <c r="H8" s="67" t="s">
        <v>486</v>
      </c>
      <c r="I8" s="26" t="s">
        <v>1449</v>
      </c>
      <c r="J8" s="2" t="s">
        <v>485</v>
      </c>
      <c r="K8" s="86">
        <v>15300000</v>
      </c>
      <c r="L8" s="86">
        <v>2907000</v>
      </c>
      <c r="M8" s="87">
        <v>18207000</v>
      </c>
      <c r="N8" s="69" t="s">
        <v>302</v>
      </c>
      <c r="O8" s="3"/>
      <c r="P8" s="28">
        <f>+Tabla1513[[#This Row],[VALOR TOTAL DEL CONTRATO
(en pesos)
CON IVA
(inicial)]]+Tabla1513[[#This Row],[VALOR DE LAS ADICIONES
(en pesos)
CON IVA]]</f>
        <v>18207000</v>
      </c>
      <c r="Q8" s="37">
        <v>365</v>
      </c>
      <c r="R8" s="23" t="s">
        <v>302</v>
      </c>
      <c r="S8" s="4"/>
      <c r="T8" s="70" t="s">
        <v>302</v>
      </c>
      <c r="U8" s="89"/>
      <c r="V8" s="65">
        <v>45672</v>
      </c>
      <c r="W8" s="65">
        <v>46037</v>
      </c>
      <c r="X8" s="65">
        <v>46037</v>
      </c>
      <c r="Y8" s="64" t="s">
        <v>303</v>
      </c>
      <c r="Z8" s="71"/>
      <c r="AA8" s="71"/>
      <c r="AB8" s="61">
        <v>0.98</v>
      </c>
      <c r="AC8" s="61">
        <v>1</v>
      </c>
      <c r="AD8" s="73">
        <v>18207000</v>
      </c>
      <c r="AE8" s="32" t="s">
        <v>487</v>
      </c>
      <c r="AG8" s="2"/>
    </row>
    <row r="9" spans="1:33" ht="29" x14ac:dyDescent="0.35">
      <c r="A9" s="43" t="s">
        <v>306</v>
      </c>
      <c r="B9" s="2" t="s">
        <v>11</v>
      </c>
      <c r="C9" s="26" t="s">
        <v>19</v>
      </c>
      <c r="D9" s="2" t="s">
        <v>300</v>
      </c>
      <c r="E9" s="66" t="s">
        <v>488</v>
      </c>
      <c r="F9" s="65">
        <v>45674</v>
      </c>
      <c r="G9" s="26" t="s">
        <v>113</v>
      </c>
      <c r="H9" s="67" t="s">
        <v>638</v>
      </c>
      <c r="I9" s="26" t="s">
        <v>1450</v>
      </c>
      <c r="J9" s="2" t="s">
        <v>491</v>
      </c>
      <c r="K9" s="84">
        <v>50023670.009999998</v>
      </c>
      <c r="L9" s="84">
        <v>0</v>
      </c>
      <c r="M9" s="85">
        <v>50023670</v>
      </c>
      <c r="N9" s="69" t="s">
        <v>302</v>
      </c>
      <c r="O9" s="3"/>
      <c r="P9" s="28">
        <f>+Tabla1513[[#This Row],[VALOR TOTAL DEL CONTRATO
(en pesos)
CON IVA
(inicial)]]+Tabla1513[[#This Row],[VALOR DE LAS ADICIONES
(en pesos)
CON IVA]]</f>
        <v>50023670</v>
      </c>
      <c r="Q9" s="37">
        <v>348</v>
      </c>
      <c r="R9" s="23" t="s">
        <v>301</v>
      </c>
      <c r="S9" s="4">
        <v>304</v>
      </c>
      <c r="T9" s="70" t="s">
        <v>302</v>
      </c>
      <c r="U9" s="89"/>
      <c r="V9" s="65">
        <v>45674</v>
      </c>
      <c r="W9" s="65">
        <v>46022</v>
      </c>
      <c r="X9" s="65">
        <v>46326</v>
      </c>
      <c r="Y9" s="64" t="s">
        <v>303</v>
      </c>
      <c r="Z9" s="71"/>
      <c r="AA9" s="71"/>
      <c r="AB9" s="30">
        <v>0.92</v>
      </c>
      <c r="AC9" s="30">
        <v>0.55000000000000004</v>
      </c>
      <c r="AD9" s="31">
        <v>27468000</v>
      </c>
      <c r="AE9" s="32" t="s">
        <v>818</v>
      </c>
      <c r="AG9" s="2"/>
    </row>
    <row r="10" spans="1:33" ht="43.5" x14ac:dyDescent="0.35">
      <c r="A10" s="43" t="s">
        <v>306</v>
      </c>
      <c r="B10" s="2" t="s">
        <v>11</v>
      </c>
      <c r="C10" s="26" t="s">
        <v>18</v>
      </c>
      <c r="D10" s="2" t="s">
        <v>300</v>
      </c>
      <c r="E10" s="66" t="s">
        <v>489</v>
      </c>
      <c r="F10" s="65">
        <v>45674</v>
      </c>
      <c r="G10" s="26" t="s">
        <v>150</v>
      </c>
      <c r="H10" s="67" t="s">
        <v>490</v>
      </c>
      <c r="I10" s="26" t="s">
        <v>1451</v>
      </c>
      <c r="J10" s="2" t="s">
        <v>492</v>
      </c>
      <c r="K10" s="84">
        <v>60000000</v>
      </c>
      <c r="L10" s="84">
        <v>0</v>
      </c>
      <c r="M10" s="85">
        <v>60000000</v>
      </c>
      <c r="N10" s="69" t="s">
        <v>302</v>
      </c>
      <c r="O10" s="3"/>
      <c r="P10" s="28">
        <f>+Tabla1513[[#This Row],[VALOR TOTAL DEL CONTRATO
(en pesos)
CON IVA
(inicial)]]+Tabla1513[[#This Row],[VALOR DE LAS ADICIONES
(en pesos)
CON IVA]]</f>
        <v>60000000</v>
      </c>
      <c r="Q10" s="37">
        <v>348</v>
      </c>
      <c r="R10" s="23" t="s">
        <v>302</v>
      </c>
      <c r="S10" s="4"/>
      <c r="T10" s="70" t="s">
        <v>302</v>
      </c>
      <c r="U10" s="89"/>
      <c r="V10" s="65">
        <v>45674</v>
      </c>
      <c r="W10" s="65">
        <v>46022</v>
      </c>
      <c r="X10" s="65">
        <v>46022</v>
      </c>
      <c r="Y10" s="64" t="s">
        <v>325</v>
      </c>
      <c r="Z10" s="71"/>
      <c r="AA10" s="70" t="s">
        <v>321</v>
      </c>
      <c r="AB10" s="30">
        <v>1</v>
      </c>
      <c r="AC10" s="30">
        <v>0.9</v>
      </c>
      <c r="AD10" s="31">
        <v>54975031</v>
      </c>
      <c r="AE10" s="32" t="s">
        <v>819</v>
      </c>
      <c r="AG10" s="2"/>
    </row>
    <row r="11" spans="1:33" ht="43.5" x14ac:dyDescent="0.35">
      <c r="A11" s="43" t="s">
        <v>306</v>
      </c>
      <c r="B11" s="2" t="s">
        <v>329</v>
      </c>
      <c r="C11" s="26" t="s">
        <v>406</v>
      </c>
      <c r="D11" s="2" t="s">
        <v>300</v>
      </c>
      <c r="E11" s="74" t="s">
        <v>493</v>
      </c>
      <c r="F11" s="65">
        <v>45678</v>
      </c>
      <c r="G11" s="26" t="s">
        <v>150</v>
      </c>
      <c r="H11" s="67" t="s">
        <v>407</v>
      </c>
      <c r="I11" s="26" t="s">
        <v>1452</v>
      </c>
      <c r="J11" s="2" t="s">
        <v>408</v>
      </c>
      <c r="K11" s="84">
        <v>32494552</v>
      </c>
      <c r="L11" s="84">
        <v>0</v>
      </c>
      <c r="M11" s="85">
        <v>32494552</v>
      </c>
      <c r="N11" s="69" t="s">
        <v>302</v>
      </c>
      <c r="O11" s="3"/>
      <c r="P11" s="28">
        <f>+Tabla1513[[#This Row],[VALOR TOTAL DEL CONTRATO
(en pesos)
CON IVA
(inicial)]]+Tabla1513[[#This Row],[VALOR DE LAS ADICIONES
(en pesos)
CON IVA]]</f>
        <v>32494552</v>
      </c>
      <c r="Q11" s="37">
        <v>342</v>
      </c>
      <c r="R11" s="23" t="s">
        <v>302</v>
      </c>
      <c r="S11" s="4"/>
      <c r="T11" s="70" t="s">
        <v>302</v>
      </c>
      <c r="U11" s="89"/>
      <c r="V11" s="65">
        <v>45680</v>
      </c>
      <c r="W11" s="65">
        <v>46022</v>
      </c>
      <c r="X11" s="65">
        <v>46022</v>
      </c>
      <c r="Y11" s="64" t="s">
        <v>325</v>
      </c>
      <c r="Z11" s="71"/>
      <c r="AA11" s="71" t="s">
        <v>321</v>
      </c>
      <c r="AB11" s="61">
        <v>1</v>
      </c>
      <c r="AC11" s="61">
        <v>0.85829999999999995</v>
      </c>
      <c r="AD11" s="62">
        <v>27891154</v>
      </c>
      <c r="AE11" s="32" t="s">
        <v>695</v>
      </c>
      <c r="AG11" s="2"/>
    </row>
    <row r="12" spans="1:33" ht="43.5" x14ac:dyDescent="0.35">
      <c r="A12" s="43" t="s">
        <v>306</v>
      </c>
      <c r="B12" s="2" t="s">
        <v>329</v>
      </c>
      <c r="C12" s="26" t="s">
        <v>406</v>
      </c>
      <c r="D12" s="2" t="s">
        <v>300</v>
      </c>
      <c r="E12" s="74" t="s">
        <v>494</v>
      </c>
      <c r="F12" s="65">
        <v>45678</v>
      </c>
      <c r="G12" s="26" t="s">
        <v>150</v>
      </c>
      <c r="H12" s="67" t="s">
        <v>407</v>
      </c>
      <c r="I12" s="26" t="s">
        <v>1453</v>
      </c>
      <c r="J12" s="2" t="s">
        <v>495</v>
      </c>
      <c r="K12" s="84">
        <v>32494552</v>
      </c>
      <c r="L12" s="84">
        <v>0</v>
      </c>
      <c r="M12" s="85">
        <v>32494552</v>
      </c>
      <c r="N12" s="69" t="s">
        <v>302</v>
      </c>
      <c r="O12" s="3"/>
      <c r="P12" s="28">
        <f>+Tabla1513[[#This Row],[VALOR TOTAL DEL CONTRATO
(en pesos)
CON IVA
(inicial)]]+Tabla1513[[#This Row],[VALOR DE LAS ADICIONES
(en pesos)
CON IVA]]</f>
        <v>32494552</v>
      </c>
      <c r="Q12" s="37">
        <v>342</v>
      </c>
      <c r="R12" s="23" t="s">
        <v>302</v>
      </c>
      <c r="S12" s="4"/>
      <c r="T12" s="70" t="s">
        <v>302</v>
      </c>
      <c r="U12" s="89"/>
      <c r="V12" s="65">
        <v>45680</v>
      </c>
      <c r="W12" s="65">
        <v>46022</v>
      </c>
      <c r="X12" s="65">
        <v>46022</v>
      </c>
      <c r="Y12" s="64" t="s">
        <v>320</v>
      </c>
      <c r="Z12" s="71"/>
      <c r="AA12" s="70" t="s">
        <v>321</v>
      </c>
      <c r="AB12" s="61">
        <v>0.90959999999999996</v>
      </c>
      <c r="AC12" s="61">
        <v>0.85829999999999995</v>
      </c>
      <c r="AD12" s="62">
        <v>27891154</v>
      </c>
      <c r="AE12" s="32" t="s">
        <v>696</v>
      </c>
      <c r="AG12" s="2"/>
    </row>
    <row r="13" spans="1:33" ht="72.5" x14ac:dyDescent="0.35">
      <c r="A13" s="43" t="s">
        <v>306</v>
      </c>
      <c r="B13" s="2" t="s">
        <v>31</v>
      </c>
      <c r="C13" s="26" t="s">
        <v>36</v>
      </c>
      <c r="D13" s="2" t="s">
        <v>324</v>
      </c>
      <c r="E13" s="74" t="s">
        <v>496</v>
      </c>
      <c r="F13" s="65">
        <v>45687</v>
      </c>
      <c r="G13" s="26" t="s">
        <v>150</v>
      </c>
      <c r="H13" s="67" t="s">
        <v>498</v>
      </c>
      <c r="I13" s="26" t="s">
        <v>1454</v>
      </c>
      <c r="J13" s="2" t="s">
        <v>500</v>
      </c>
      <c r="K13" s="84">
        <v>4558117000</v>
      </c>
      <c r="L13" s="84">
        <v>858442230</v>
      </c>
      <c r="M13" s="85">
        <v>5416559230</v>
      </c>
      <c r="N13" s="69" t="s">
        <v>302</v>
      </c>
      <c r="O13" s="3"/>
      <c r="P13" s="28">
        <f>+Tabla1513[[#This Row],[VALOR TOTAL DEL CONTRATO
(en pesos)
CON IVA
(inicial)]]+Tabla1513[[#This Row],[VALOR DE LAS ADICIONES
(en pesos)
CON IVA]]</f>
        <v>5416559230</v>
      </c>
      <c r="Q13" s="37">
        <v>1123</v>
      </c>
      <c r="R13" s="23" t="s">
        <v>302</v>
      </c>
      <c r="S13" s="4"/>
      <c r="T13" s="70" t="s">
        <v>302</v>
      </c>
      <c r="U13" s="89"/>
      <c r="V13" s="65">
        <v>45688</v>
      </c>
      <c r="W13" s="65">
        <v>46811</v>
      </c>
      <c r="X13" s="65">
        <v>46811</v>
      </c>
      <c r="Y13" s="64" t="s">
        <v>303</v>
      </c>
      <c r="Z13" s="71"/>
      <c r="AA13" s="71"/>
      <c r="AB13" s="30">
        <v>0.27</v>
      </c>
      <c r="AC13" s="30">
        <v>0.25</v>
      </c>
      <c r="AD13" s="31">
        <v>1354139807.55</v>
      </c>
      <c r="AE13" s="32" t="s">
        <v>697</v>
      </c>
      <c r="AG13" s="2"/>
    </row>
    <row r="14" spans="1:33" ht="43.5" x14ac:dyDescent="0.35">
      <c r="A14" s="43" t="s">
        <v>306</v>
      </c>
      <c r="B14" s="2" t="s">
        <v>329</v>
      </c>
      <c r="C14" s="26" t="s">
        <v>406</v>
      </c>
      <c r="D14" s="2" t="s">
        <v>300</v>
      </c>
      <c r="E14" s="74" t="s">
        <v>497</v>
      </c>
      <c r="F14" s="65">
        <v>45678</v>
      </c>
      <c r="G14" s="26" t="s">
        <v>150</v>
      </c>
      <c r="H14" s="67" t="s">
        <v>499</v>
      </c>
      <c r="I14" s="26" t="s">
        <v>1455</v>
      </c>
      <c r="J14" s="2" t="s">
        <v>501</v>
      </c>
      <c r="K14" s="84">
        <v>32494552</v>
      </c>
      <c r="L14" s="84">
        <v>0</v>
      </c>
      <c r="M14" s="85">
        <v>32494552</v>
      </c>
      <c r="N14" s="69" t="s">
        <v>302</v>
      </c>
      <c r="O14" s="3"/>
      <c r="P14" s="28">
        <f>+Tabla1513[[#This Row],[VALOR TOTAL DEL CONTRATO
(en pesos)
CON IVA
(inicial)]]+Tabla1513[[#This Row],[VALOR DE LAS ADICIONES
(en pesos)
CON IVA]]</f>
        <v>32494552</v>
      </c>
      <c r="Q14" s="37">
        <v>342</v>
      </c>
      <c r="R14" s="23" t="s">
        <v>302</v>
      </c>
      <c r="S14" s="4"/>
      <c r="T14" s="70" t="s">
        <v>302</v>
      </c>
      <c r="U14" s="89"/>
      <c r="V14" s="65">
        <v>45680</v>
      </c>
      <c r="W14" s="65">
        <v>46022</v>
      </c>
      <c r="X14" s="65">
        <v>46022</v>
      </c>
      <c r="Y14" s="64" t="s">
        <v>320</v>
      </c>
      <c r="Z14" s="71"/>
      <c r="AA14" s="70" t="s">
        <v>321</v>
      </c>
      <c r="AB14" s="30">
        <v>0.90959999999999996</v>
      </c>
      <c r="AC14" s="30">
        <v>0.85829999999999995</v>
      </c>
      <c r="AD14" s="31">
        <v>27891154</v>
      </c>
      <c r="AE14" s="32" t="s">
        <v>820</v>
      </c>
      <c r="AG14" s="2"/>
    </row>
    <row r="15" spans="1:33" ht="43.5" x14ac:dyDescent="0.35">
      <c r="A15" s="43" t="s">
        <v>306</v>
      </c>
      <c r="B15" s="2" t="s">
        <v>329</v>
      </c>
      <c r="C15" s="26" t="s">
        <v>406</v>
      </c>
      <c r="D15" s="2" t="s">
        <v>300</v>
      </c>
      <c r="E15" s="74" t="s">
        <v>502</v>
      </c>
      <c r="F15" s="65">
        <v>45678</v>
      </c>
      <c r="G15" s="26" t="s">
        <v>150</v>
      </c>
      <c r="H15" s="67" t="s">
        <v>407</v>
      </c>
      <c r="I15" s="26" t="s">
        <v>1456</v>
      </c>
      <c r="J15" s="2" t="s">
        <v>409</v>
      </c>
      <c r="K15" s="84">
        <v>32494552</v>
      </c>
      <c r="L15" s="84">
        <v>0</v>
      </c>
      <c r="M15" s="85">
        <v>32494552</v>
      </c>
      <c r="N15" s="69" t="s">
        <v>302</v>
      </c>
      <c r="O15" s="3"/>
      <c r="P15" s="28">
        <f>+Tabla1513[[#This Row],[VALOR TOTAL DEL CONTRATO
(en pesos)
CON IVA
(inicial)]]+Tabla1513[[#This Row],[VALOR DE LAS ADICIONES
(en pesos)
CON IVA]]</f>
        <v>32494552</v>
      </c>
      <c r="Q15" s="37">
        <v>342</v>
      </c>
      <c r="R15" s="23" t="s">
        <v>302</v>
      </c>
      <c r="S15" s="4"/>
      <c r="T15" s="70" t="s">
        <v>302</v>
      </c>
      <c r="U15" s="89"/>
      <c r="V15" s="65">
        <v>45680</v>
      </c>
      <c r="W15" s="65">
        <v>46022</v>
      </c>
      <c r="X15" s="65">
        <v>46022</v>
      </c>
      <c r="Y15" s="64" t="s">
        <v>320</v>
      </c>
      <c r="Z15" s="71"/>
      <c r="AA15" s="70" t="s">
        <v>321</v>
      </c>
      <c r="AB15" s="30">
        <v>0.90959999999999996</v>
      </c>
      <c r="AC15" s="30">
        <v>0.85829999999999995</v>
      </c>
      <c r="AD15" s="31">
        <v>27891154</v>
      </c>
      <c r="AE15" s="32" t="s">
        <v>698</v>
      </c>
      <c r="AG15" s="2"/>
    </row>
    <row r="16" spans="1:33" ht="29" x14ac:dyDescent="0.35">
      <c r="A16" s="43" t="s">
        <v>306</v>
      </c>
      <c r="B16" s="2" t="s">
        <v>333</v>
      </c>
      <c r="C16" s="26" t="s">
        <v>62</v>
      </c>
      <c r="D16" s="2" t="s">
        <v>300</v>
      </c>
      <c r="E16" s="66" t="s">
        <v>503</v>
      </c>
      <c r="F16" s="65">
        <v>45677</v>
      </c>
      <c r="G16" s="26" t="s">
        <v>150</v>
      </c>
      <c r="H16" s="67" t="s">
        <v>505</v>
      </c>
      <c r="I16" s="26" t="s">
        <v>1457</v>
      </c>
      <c r="J16" s="2" t="s">
        <v>413</v>
      </c>
      <c r="K16" s="84">
        <v>48880904</v>
      </c>
      <c r="L16" s="84">
        <v>7598723</v>
      </c>
      <c r="M16" s="85">
        <v>56479627</v>
      </c>
      <c r="N16" s="69" t="s">
        <v>302</v>
      </c>
      <c r="O16" s="3"/>
      <c r="P16" s="28">
        <f>+Tabla1513[[#This Row],[VALOR TOTAL DEL CONTRATO
(en pesos)
CON IVA
(inicial)]]+Tabla1513[[#This Row],[VALOR DE LAS ADICIONES
(en pesos)
CON IVA]]</f>
        <v>56479627</v>
      </c>
      <c r="Q16" s="37">
        <v>337</v>
      </c>
      <c r="R16" s="23" t="s">
        <v>302</v>
      </c>
      <c r="S16" s="4"/>
      <c r="T16" s="70" t="s">
        <v>302</v>
      </c>
      <c r="U16" s="89"/>
      <c r="V16" s="65">
        <v>45685</v>
      </c>
      <c r="W16" s="65">
        <v>46022</v>
      </c>
      <c r="X16" s="65">
        <v>46022</v>
      </c>
      <c r="Y16" s="64" t="s">
        <v>325</v>
      </c>
      <c r="Z16" s="71"/>
      <c r="AA16" s="70" t="s">
        <v>321</v>
      </c>
      <c r="AB16" s="30">
        <v>1</v>
      </c>
      <c r="AC16" s="30">
        <v>0.77939999999999998</v>
      </c>
      <c r="AD16" s="31">
        <v>44022600</v>
      </c>
      <c r="AE16" s="32" t="s">
        <v>430</v>
      </c>
      <c r="AG16" s="2"/>
    </row>
    <row r="17" spans="1:33" ht="43.5" x14ac:dyDescent="0.35">
      <c r="A17" s="43" t="s">
        <v>306</v>
      </c>
      <c r="B17" s="2" t="s">
        <v>329</v>
      </c>
      <c r="C17" s="26" t="s">
        <v>406</v>
      </c>
      <c r="D17" s="2" t="s">
        <v>300</v>
      </c>
      <c r="E17" s="74" t="s">
        <v>504</v>
      </c>
      <c r="F17" s="65">
        <v>45677</v>
      </c>
      <c r="G17" s="26" t="s">
        <v>150</v>
      </c>
      <c r="H17" s="67" t="s">
        <v>407</v>
      </c>
      <c r="I17" s="26" t="s">
        <v>1458</v>
      </c>
      <c r="J17" s="2" t="s">
        <v>411</v>
      </c>
      <c r="K17" s="88">
        <v>32494552</v>
      </c>
      <c r="L17" s="84">
        <v>0</v>
      </c>
      <c r="M17" s="85">
        <v>32494552</v>
      </c>
      <c r="N17" s="69" t="s">
        <v>302</v>
      </c>
      <c r="O17" s="3"/>
      <c r="P17" s="28">
        <f>+Tabla1513[[#This Row],[VALOR TOTAL DEL CONTRATO
(en pesos)
CON IVA
(inicial)]]+Tabla1513[[#This Row],[VALOR DE LAS ADICIONES
(en pesos)
CON IVA]]</f>
        <v>32494552</v>
      </c>
      <c r="Q17" s="37">
        <v>342</v>
      </c>
      <c r="R17" s="23" t="s">
        <v>302</v>
      </c>
      <c r="S17" s="4"/>
      <c r="T17" s="70" t="s">
        <v>302</v>
      </c>
      <c r="U17" s="89"/>
      <c r="V17" s="65">
        <v>45680</v>
      </c>
      <c r="W17" s="65">
        <v>46022</v>
      </c>
      <c r="X17" s="65">
        <v>46022</v>
      </c>
      <c r="Y17" s="64" t="s">
        <v>320</v>
      </c>
      <c r="Z17" s="71"/>
      <c r="AA17" s="70" t="s">
        <v>321</v>
      </c>
      <c r="AB17" s="30">
        <v>0.90959999999999996</v>
      </c>
      <c r="AC17" s="30">
        <v>0.85829999999999995</v>
      </c>
      <c r="AD17" s="31">
        <v>27891154</v>
      </c>
      <c r="AE17" s="32" t="s">
        <v>699</v>
      </c>
      <c r="AG17" s="2"/>
    </row>
    <row r="18" spans="1:33" s="26" customFormat="1" ht="43.5" x14ac:dyDescent="0.35">
      <c r="A18" s="43" t="s">
        <v>306</v>
      </c>
      <c r="B18" s="2" t="s">
        <v>329</v>
      </c>
      <c r="C18" s="26" t="s">
        <v>406</v>
      </c>
      <c r="D18" s="2" t="s">
        <v>300</v>
      </c>
      <c r="E18" s="74" t="s">
        <v>506</v>
      </c>
      <c r="F18" s="65">
        <v>45677</v>
      </c>
      <c r="G18" s="26" t="s">
        <v>150</v>
      </c>
      <c r="H18" s="67" t="s">
        <v>407</v>
      </c>
      <c r="I18" s="26" t="s">
        <v>1459</v>
      </c>
      <c r="J18" s="2" t="s">
        <v>507</v>
      </c>
      <c r="K18" s="88">
        <v>32494504</v>
      </c>
      <c r="L18" s="84">
        <v>0</v>
      </c>
      <c r="M18" s="85">
        <v>32494504</v>
      </c>
      <c r="N18" s="69" t="s">
        <v>302</v>
      </c>
      <c r="O18" s="3"/>
      <c r="P18" s="28">
        <f>+Tabla1513[[#This Row],[VALOR TOTAL DEL CONTRATO
(en pesos)
CON IVA
(inicial)]]+Tabla1513[[#This Row],[VALOR DE LAS ADICIONES
(en pesos)
CON IVA]]</f>
        <v>32494504</v>
      </c>
      <c r="Q18" s="37">
        <v>124</v>
      </c>
      <c r="R18" s="23" t="s">
        <v>302</v>
      </c>
      <c r="S18" s="4"/>
      <c r="T18" s="70" t="s">
        <v>302</v>
      </c>
      <c r="U18" s="89"/>
      <c r="V18" s="65">
        <v>45680</v>
      </c>
      <c r="W18" s="65">
        <v>45804</v>
      </c>
      <c r="X18" s="65">
        <v>45804</v>
      </c>
      <c r="Y18" s="64" t="s">
        <v>323</v>
      </c>
      <c r="Z18" s="71">
        <v>45833</v>
      </c>
      <c r="AA18" s="75" t="s">
        <v>364</v>
      </c>
      <c r="AB18" s="30">
        <v>1</v>
      </c>
      <c r="AC18" s="30">
        <v>1</v>
      </c>
      <c r="AD18" s="31">
        <v>11643880</v>
      </c>
      <c r="AE18" s="32" t="s">
        <v>700</v>
      </c>
    </row>
    <row r="19" spans="1:33" s="26" customFormat="1" ht="43.5" x14ac:dyDescent="0.35">
      <c r="A19" s="43" t="s">
        <v>306</v>
      </c>
      <c r="B19" s="2" t="s">
        <v>329</v>
      </c>
      <c r="C19" s="26" t="s">
        <v>406</v>
      </c>
      <c r="D19" s="2" t="s">
        <v>300</v>
      </c>
      <c r="E19" s="74" t="s">
        <v>508</v>
      </c>
      <c r="F19" s="65">
        <v>45677</v>
      </c>
      <c r="G19" s="26" t="s">
        <v>150</v>
      </c>
      <c r="H19" s="67" t="s">
        <v>407</v>
      </c>
      <c r="I19" s="26" t="s">
        <v>1460</v>
      </c>
      <c r="J19" s="2" t="s">
        <v>509</v>
      </c>
      <c r="K19" s="88">
        <v>32494552</v>
      </c>
      <c r="L19" s="84">
        <v>0</v>
      </c>
      <c r="M19" s="85">
        <v>32494552</v>
      </c>
      <c r="N19" s="69" t="s">
        <v>302</v>
      </c>
      <c r="O19" s="3"/>
      <c r="P19" s="28">
        <f>+Tabla1513[[#This Row],[VALOR TOTAL DEL CONTRATO
(en pesos)
CON IVA
(inicial)]]+Tabla1513[[#This Row],[VALOR DE LAS ADICIONES
(en pesos)
CON IVA]]</f>
        <v>32494552</v>
      </c>
      <c r="Q19" s="37">
        <v>342</v>
      </c>
      <c r="R19" s="23" t="s">
        <v>302</v>
      </c>
      <c r="S19" s="4"/>
      <c r="T19" s="70" t="s">
        <v>302</v>
      </c>
      <c r="U19" s="89"/>
      <c r="V19" s="65">
        <v>45680</v>
      </c>
      <c r="W19" s="65">
        <v>46022</v>
      </c>
      <c r="X19" s="65">
        <v>46022</v>
      </c>
      <c r="Y19" s="64" t="s">
        <v>320</v>
      </c>
      <c r="Z19" s="71"/>
      <c r="AA19" s="70" t="s">
        <v>321</v>
      </c>
      <c r="AB19" s="30">
        <v>0.90959999999999996</v>
      </c>
      <c r="AC19" s="30">
        <v>0.85829999999999995</v>
      </c>
      <c r="AD19" s="31">
        <v>27891154</v>
      </c>
      <c r="AE19" s="32" t="s">
        <v>701</v>
      </c>
    </row>
    <row r="20" spans="1:33" s="26" customFormat="1" ht="43.5" x14ac:dyDescent="0.35">
      <c r="A20" s="43" t="s">
        <v>306</v>
      </c>
      <c r="B20" s="2" t="s">
        <v>329</v>
      </c>
      <c r="C20" s="26" t="s">
        <v>406</v>
      </c>
      <c r="D20" s="2" t="s">
        <v>300</v>
      </c>
      <c r="E20" s="74" t="s">
        <v>510</v>
      </c>
      <c r="F20" s="65">
        <v>45677</v>
      </c>
      <c r="G20" s="26" t="s">
        <v>150</v>
      </c>
      <c r="H20" s="67" t="s">
        <v>407</v>
      </c>
      <c r="I20" s="26" t="s">
        <v>1461</v>
      </c>
      <c r="J20" s="2" t="s">
        <v>511</v>
      </c>
      <c r="K20" s="88">
        <v>32494552</v>
      </c>
      <c r="L20" s="84">
        <v>0</v>
      </c>
      <c r="M20" s="85">
        <v>32494552</v>
      </c>
      <c r="N20" s="69" t="s">
        <v>302</v>
      </c>
      <c r="O20" s="3"/>
      <c r="P20" s="28">
        <f>+Tabla1513[[#This Row],[VALOR TOTAL DEL CONTRATO
(en pesos)
CON IVA
(inicial)]]+Tabla1513[[#This Row],[VALOR DE LAS ADICIONES
(en pesos)
CON IVA]]</f>
        <v>32494552</v>
      </c>
      <c r="Q20" s="37">
        <v>342</v>
      </c>
      <c r="R20" s="23" t="s">
        <v>302</v>
      </c>
      <c r="S20" s="4"/>
      <c r="T20" s="70" t="s">
        <v>302</v>
      </c>
      <c r="U20" s="89"/>
      <c r="V20" s="65">
        <v>45680</v>
      </c>
      <c r="W20" s="65">
        <v>46022</v>
      </c>
      <c r="X20" s="65">
        <v>46022</v>
      </c>
      <c r="Y20" s="64" t="s">
        <v>320</v>
      </c>
      <c r="Z20" s="71"/>
      <c r="AA20" s="70" t="s">
        <v>321</v>
      </c>
      <c r="AB20" s="30">
        <v>0.90959999999999996</v>
      </c>
      <c r="AC20" s="30">
        <v>0.85829999999999995</v>
      </c>
      <c r="AD20" s="31">
        <v>27891154</v>
      </c>
      <c r="AE20" s="32" t="s">
        <v>702</v>
      </c>
    </row>
    <row r="21" spans="1:33" s="26" customFormat="1" ht="43.5" x14ac:dyDescent="0.35">
      <c r="A21" s="43" t="s">
        <v>306</v>
      </c>
      <c r="B21" s="2" t="s">
        <v>329</v>
      </c>
      <c r="C21" s="26" t="s">
        <v>406</v>
      </c>
      <c r="D21" s="2" t="s">
        <v>300</v>
      </c>
      <c r="E21" s="66" t="s">
        <v>512</v>
      </c>
      <c r="F21" s="65">
        <v>45679</v>
      </c>
      <c r="G21" s="26" t="s">
        <v>150</v>
      </c>
      <c r="H21" s="67" t="s">
        <v>407</v>
      </c>
      <c r="I21" s="26" t="s">
        <v>1462</v>
      </c>
      <c r="J21" s="2" t="s">
        <v>414</v>
      </c>
      <c r="K21" s="88">
        <v>32494552</v>
      </c>
      <c r="L21" s="84">
        <v>0</v>
      </c>
      <c r="M21" s="85">
        <v>32494552</v>
      </c>
      <c r="N21" s="69" t="s">
        <v>302</v>
      </c>
      <c r="O21" s="3"/>
      <c r="P21" s="28">
        <f>+Tabla1513[[#This Row],[VALOR TOTAL DEL CONTRATO
(en pesos)
CON IVA
(inicial)]]+Tabla1513[[#This Row],[VALOR DE LAS ADICIONES
(en pesos)
CON IVA]]</f>
        <v>32494552</v>
      </c>
      <c r="Q21" s="37">
        <v>234</v>
      </c>
      <c r="R21" s="23" t="s">
        <v>302</v>
      </c>
      <c r="S21" s="4"/>
      <c r="T21" s="70" t="s">
        <v>302</v>
      </c>
      <c r="U21" s="89"/>
      <c r="V21" s="65">
        <v>45681</v>
      </c>
      <c r="W21" s="65">
        <v>45915</v>
      </c>
      <c r="X21" s="65">
        <v>45915</v>
      </c>
      <c r="Y21" s="64" t="s">
        <v>323</v>
      </c>
      <c r="Z21" s="71">
        <v>45940</v>
      </c>
      <c r="AA21" s="75" t="s">
        <v>364</v>
      </c>
      <c r="AB21" s="30">
        <v>0.65</v>
      </c>
      <c r="AC21" s="55">
        <f>+Tabla1513[[#This Row],[VALOR PAGADO (en pesos)
A 31 DICIEMBRE 2025]]/Tabla1513[[#This Row],[VALOR TOTAL CONTRATO CON IVA (VALOR INICIAL + ADICIONES) ]]</f>
        <v>0.64722215588631593</v>
      </c>
      <c r="AD21" s="31">
        <v>21031194</v>
      </c>
      <c r="AE21" s="32" t="s">
        <v>703</v>
      </c>
    </row>
    <row r="22" spans="1:33" s="26" customFormat="1" ht="43.5" x14ac:dyDescent="0.35">
      <c r="A22" s="43" t="s">
        <v>306</v>
      </c>
      <c r="B22" s="2" t="s">
        <v>329</v>
      </c>
      <c r="C22" s="26" t="s">
        <v>406</v>
      </c>
      <c r="D22" s="2" t="s">
        <v>300</v>
      </c>
      <c r="E22" s="74" t="s">
        <v>513</v>
      </c>
      <c r="F22" s="65">
        <v>45678</v>
      </c>
      <c r="G22" s="26" t="s">
        <v>150</v>
      </c>
      <c r="H22" s="67" t="s">
        <v>407</v>
      </c>
      <c r="I22" s="26" t="s">
        <v>1463</v>
      </c>
      <c r="J22" s="2" t="s">
        <v>410</v>
      </c>
      <c r="K22" s="88">
        <v>32494552</v>
      </c>
      <c r="L22" s="84">
        <v>0</v>
      </c>
      <c r="M22" s="85">
        <v>32494552</v>
      </c>
      <c r="N22" s="69" t="s">
        <v>302</v>
      </c>
      <c r="O22" s="3"/>
      <c r="P22" s="28">
        <f>+Tabla1513[[#This Row],[VALOR TOTAL DEL CONTRATO
(en pesos)
CON IVA
(inicial)]]+Tabla1513[[#This Row],[VALOR DE LAS ADICIONES
(en pesos)
CON IVA]]</f>
        <v>32494552</v>
      </c>
      <c r="Q22" s="37">
        <v>341</v>
      </c>
      <c r="R22" s="23" t="s">
        <v>302</v>
      </c>
      <c r="S22" s="4"/>
      <c r="T22" s="70" t="s">
        <v>302</v>
      </c>
      <c r="U22" s="89"/>
      <c r="V22" s="65">
        <v>45681</v>
      </c>
      <c r="W22" s="65">
        <v>46022</v>
      </c>
      <c r="X22" s="65">
        <v>46022</v>
      </c>
      <c r="Y22" s="64" t="s">
        <v>320</v>
      </c>
      <c r="Z22" s="71"/>
      <c r="AA22" s="70" t="s">
        <v>321</v>
      </c>
      <c r="AB22" s="30">
        <v>0.90939999999999999</v>
      </c>
      <c r="AC22" s="30">
        <v>0.85560000000000003</v>
      </c>
      <c r="AD22" s="31">
        <v>27800891</v>
      </c>
      <c r="AE22" s="32" t="s">
        <v>821</v>
      </c>
    </row>
    <row r="23" spans="1:33" s="26" customFormat="1" ht="43.5" x14ac:dyDescent="0.35">
      <c r="A23" s="43" t="s">
        <v>306</v>
      </c>
      <c r="B23" s="2" t="s">
        <v>329</v>
      </c>
      <c r="C23" s="26" t="s">
        <v>406</v>
      </c>
      <c r="D23" s="2" t="s">
        <v>300</v>
      </c>
      <c r="E23" s="74" t="s">
        <v>514</v>
      </c>
      <c r="F23" s="65">
        <v>45678</v>
      </c>
      <c r="G23" s="26" t="s">
        <v>150</v>
      </c>
      <c r="H23" s="67" t="s">
        <v>407</v>
      </c>
      <c r="I23" s="26" t="s">
        <v>1464</v>
      </c>
      <c r="J23" s="2" t="s">
        <v>516</v>
      </c>
      <c r="K23" s="88">
        <v>32494552</v>
      </c>
      <c r="L23" s="84">
        <v>0</v>
      </c>
      <c r="M23" s="85">
        <v>32494552</v>
      </c>
      <c r="N23" s="69" t="s">
        <v>302</v>
      </c>
      <c r="O23" s="3"/>
      <c r="P23" s="28">
        <f>+Tabla1513[[#This Row],[VALOR TOTAL DEL CONTRATO
(en pesos)
CON IVA
(inicial)]]+Tabla1513[[#This Row],[VALOR DE LAS ADICIONES
(en pesos)
CON IVA]]</f>
        <v>32494552</v>
      </c>
      <c r="Q23" s="37">
        <v>341</v>
      </c>
      <c r="R23" s="23" t="s">
        <v>302</v>
      </c>
      <c r="S23" s="4"/>
      <c r="T23" s="70" t="s">
        <v>302</v>
      </c>
      <c r="U23" s="89"/>
      <c r="V23" s="65">
        <v>45681</v>
      </c>
      <c r="W23" s="65">
        <v>46022</v>
      </c>
      <c r="X23" s="65">
        <v>46022</v>
      </c>
      <c r="Y23" s="64" t="s">
        <v>320</v>
      </c>
      <c r="Z23" s="71"/>
      <c r="AA23" s="70" t="s">
        <v>321</v>
      </c>
      <c r="AB23" s="30">
        <v>0.90939999999999999</v>
      </c>
      <c r="AC23" s="30">
        <v>0.85560000000000003</v>
      </c>
      <c r="AD23" s="31">
        <v>27800891</v>
      </c>
      <c r="AE23" s="32" t="s">
        <v>704</v>
      </c>
    </row>
    <row r="24" spans="1:33" s="26" customFormat="1" ht="43.5" x14ac:dyDescent="0.35">
      <c r="A24" s="43" t="s">
        <v>306</v>
      </c>
      <c r="B24" s="2" t="s">
        <v>329</v>
      </c>
      <c r="C24" s="26" t="s">
        <v>406</v>
      </c>
      <c r="D24" s="2" t="s">
        <v>300</v>
      </c>
      <c r="E24" s="66" t="s">
        <v>515</v>
      </c>
      <c r="F24" s="65">
        <v>45678</v>
      </c>
      <c r="G24" s="26" t="s">
        <v>150</v>
      </c>
      <c r="H24" s="67" t="s">
        <v>407</v>
      </c>
      <c r="I24" s="26" t="s">
        <v>1465</v>
      </c>
      <c r="J24" s="2" t="s">
        <v>517</v>
      </c>
      <c r="K24" s="88">
        <v>32494552</v>
      </c>
      <c r="L24" s="84">
        <v>0</v>
      </c>
      <c r="M24" s="85">
        <v>32494552</v>
      </c>
      <c r="N24" s="69" t="s">
        <v>302</v>
      </c>
      <c r="O24" s="3"/>
      <c r="P24" s="28">
        <f>+Tabla1513[[#This Row],[VALOR TOTAL DEL CONTRATO
(en pesos)
CON IVA
(inicial)]]+Tabla1513[[#This Row],[VALOR DE LAS ADICIONES
(en pesos)
CON IVA]]</f>
        <v>32494552</v>
      </c>
      <c r="Q24" s="37">
        <v>108</v>
      </c>
      <c r="R24" s="23" t="s">
        <v>302</v>
      </c>
      <c r="S24" s="4"/>
      <c r="T24" s="70" t="s">
        <v>302</v>
      </c>
      <c r="U24" s="89"/>
      <c r="V24" s="65">
        <v>45681</v>
      </c>
      <c r="W24" s="65">
        <v>45789</v>
      </c>
      <c r="X24" s="65">
        <v>45789</v>
      </c>
      <c r="Y24" s="64" t="s">
        <v>323</v>
      </c>
      <c r="Z24" s="71">
        <v>45799</v>
      </c>
      <c r="AA24" s="75" t="s">
        <v>364</v>
      </c>
      <c r="AB24" s="30">
        <v>0.19</v>
      </c>
      <c r="AC24" s="30">
        <v>0.19</v>
      </c>
      <c r="AD24" s="31">
        <v>6090844</v>
      </c>
      <c r="AE24" s="32" t="s">
        <v>705</v>
      </c>
    </row>
    <row r="25" spans="1:33" s="26" customFormat="1" ht="29" x14ac:dyDescent="0.35">
      <c r="A25" s="43" t="s">
        <v>306</v>
      </c>
      <c r="B25" s="2" t="s">
        <v>11</v>
      </c>
      <c r="C25" s="26" t="s">
        <v>19</v>
      </c>
      <c r="D25" s="2" t="s">
        <v>324</v>
      </c>
      <c r="E25" s="66" t="s">
        <v>518</v>
      </c>
      <c r="F25" s="65">
        <v>45658</v>
      </c>
      <c r="G25" s="26" t="s">
        <v>160</v>
      </c>
      <c r="H25" s="67" t="s">
        <v>520</v>
      </c>
      <c r="I25" s="26" t="s">
        <v>1466</v>
      </c>
      <c r="J25" s="2" t="s">
        <v>362</v>
      </c>
      <c r="K25" s="88">
        <v>1488454822</v>
      </c>
      <c r="L25" s="84">
        <v>282806416.17999989</v>
      </c>
      <c r="M25" s="85">
        <v>1771261238.1799998</v>
      </c>
      <c r="N25" s="69" t="s">
        <v>302</v>
      </c>
      <c r="O25" s="3"/>
      <c r="P25" s="28">
        <f>+Tabla1513[[#This Row],[VALOR TOTAL DEL CONTRATO
(en pesos)
CON IVA
(inicial)]]+Tabla1513[[#This Row],[VALOR DE LAS ADICIONES
(en pesos)
CON IVA]]</f>
        <v>1771261238.1799998</v>
      </c>
      <c r="Q25" s="37">
        <v>364</v>
      </c>
      <c r="R25" s="23" t="s">
        <v>302</v>
      </c>
      <c r="S25" s="4"/>
      <c r="T25" s="70" t="s">
        <v>302</v>
      </c>
      <c r="U25" s="89"/>
      <c r="V25" s="65">
        <v>45658</v>
      </c>
      <c r="W25" s="65">
        <v>46022</v>
      </c>
      <c r="X25" s="65">
        <v>46022</v>
      </c>
      <c r="Y25" s="64" t="s">
        <v>325</v>
      </c>
      <c r="Z25" s="71"/>
      <c r="AA25" s="70" t="s">
        <v>321</v>
      </c>
      <c r="AB25" s="30">
        <v>0.8</v>
      </c>
      <c r="AC25" s="30">
        <v>1</v>
      </c>
      <c r="AD25" s="31">
        <v>1771261238.1800001</v>
      </c>
      <c r="AE25" s="32" t="s">
        <v>1180</v>
      </c>
    </row>
    <row r="26" spans="1:33" s="26" customFormat="1" ht="43.5" x14ac:dyDescent="0.35">
      <c r="A26" s="43" t="s">
        <v>306</v>
      </c>
      <c r="B26" s="2" t="s">
        <v>11</v>
      </c>
      <c r="C26" s="26" t="s">
        <v>20</v>
      </c>
      <c r="D26" s="2" t="s">
        <v>300</v>
      </c>
      <c r="E26" s="66" t="s">
        <v>519</v>
      </c>
      <c r="F26" s="65">
        <v>45674</v>
      </c>
      <c r="G26" s="26" t="s">
        <v>150</v>
      </c>
      <c r="H26" s="67" t="s">
        <v>521</v>
      </c>
      <c r="I26" s="26" t="s">
        <v>1467</v>
      </c>
      <c r="J26" s="2" t="s">
        <v>522</v>
      </c>
      <c r="K26" s="88">
        <v>15885000</v>
      </c>
      <c r="L26" s="84">
        <v>3018150</v>
      </c>
      <c r="M26" s="85">
        <v>18903150</v>
      </c>
      <c r="N26" s="69" t="s">
        <v>301</v>
      </c>
      <c r="O26" s="3">
        <v>18903150</v>
      </c>
      <c r="P26" s="28">
        <f>+Tabla1513[[#This Row],[VALOR TOTAL DEL CONTRATO
(en pesos)
CON IVA
(inicial)]]+Tabla1513[[#This Row],[VALOR DE LAS ADICIONES
(en pesos)
CON IVA]]</f>
        <v>37806300</v>
      </c>
      <c r="Q26" s="37">
        <v>348</v>
      </c>
      <c r="R26" s="23" t="s">
        <v>302</v>
      </c>
      <c r="S26" s="4"/>
      <c r="T26" s="70" t="s">
        <v>302</v>
      </c>
      <c r="U26" s="89"/>
      <c r="V26" s="65">
        <v>45674</v>
      </c>
      <c r="W26" s="65">
        <v>46022</v>
      </c>
      <c r="X26" s="65">
        <v>46022</v>
      </c>
      <c r="Y26" s="64" t="s">
        <v>325</v>
      </c>
      <c r="Z26" s="71"/>
      <c r="AA26" s="70" t="s">
        <v>321</v>
      </c>
      <c r="AB26" s="30">
        <v>0.97</v>
      </c>
      <c r="AC26" s="30">
        <v>0.98</v>
      </c>
      <c r="AD26" s="31">
        <v>37198507.5</v>
      </c>
      <c r="AE26" s="32" t="s">
        <v>706</v>
      </c>
    </row>
    <row r="27" spans="1:33" s="26" customFormat="1" ht="29" x14ac:dyDescent="0.35">
      <c r="A27" s="43" t="s">
        <v>306</v>
      </c>
      <c r="B27" s="2" t="s">
        <v>11</v>
      </c>
      <c r="C27" s="26" t="s">
        <v>12</v>
      </c>
      <c r="D27" s="2" t="s">
        <v>300</v>
      </c>
      <c r="E27" s="66" t="s">
        <v>523</v>
      </c>
      <c r="F27" s="65">
        <v>45680</v>
      </c>
      <c r="G27" s="26" t="s">
        <v>150</v>
      </c>
      <c r="H27" s="67" t="s">
        <v>524</v>
      </c>
      <c r="I27" s="26" t="s">
        <v>1468</v>
      </c>
      <c r="J27" s="2" t="s">
        <v>331</v>
      </c>
      <c r="K27" s="88">
        <v>939399553</v>
      </c>
      <c r="L27" s="84">
        <v>0</v>
      </c>
      <c r="M27" s="85">
        <v>939399553</v>
      </c>
      <c r="N27" s="69" t="s">
        <v>301</v>
      </c>
      <c r="O27" s="3">
        <v>-339769307</v>
      </c>
      <c r="P27" s="28">
        <f>+Tabla1513[[#This Row],[VALOR TOTAL DEL CONTRATO
(en pesos)
CON IVA
(inicial)]]+Tabla1513[[#This Row],[VALOR DE LAS ADICIONES
(en pesos)
CON IVA]]</f>
        <v>599630246</v>
      </c>
      <c r="Q27" s="37">
        <v>1071</v>
      </c>
      <c r="R27" s="23" t="s">
        <v>301</v>
      </c>
      <c r="S27" s="60">
        <v>-518</v>
      </c>
      <c r="T27" s="70" t="s">
        <v>302</v>
      </c>
      <c r="U27" s="89"/>
      <c r="V27" s="65">
        <v>45681</v>
      </c>
      <c r="W27" s="65">
        <v>46752</v>
      </c>
      <c r="X27" s="65">
        <v>46234</v>
      </c>
      <c r="Y27" s="64" t="s">
        <v>303</v>
      </c>
      <c r="Z27" s="71"/>
      <c r="AA27" s="75"/>
      <c r="AB27" s="30">
        <v>0.61</v>
      </c>
      <c r="AC27" s="30">
        <v>0.6</v>
      </c>
      <c r="AD27" s="31">
        <v>304583075</v>
      </c>
      <c r="AE27" s="32" t="s">
        <v>707</v>
      </c>
    </row>
    <row r="28" spans="1:33" s="26" customFormat="1" ht="43.5" x14ac:dyDescent="0.35">
      <c r="A28" s="43" t="s">
        <v>306</v>
      </c>
      <c r="B28" s="2" t="s">
        <v>322</v>
      </c>
      <c r="C28" s="26" t="s">
        <v>74</v>
      </c>
      <c r="D28" s="2" t="s">
        <v>300</v>
      </c>
      <c r="E28" s="66" t="s">
        <v>538</v>
      </c>
      <c r="F28" s="65">
        <v>45681</v>
      </c>
      <c r="G28" s="26" t="s">
        <v>150</v>
      </c>
      <c r="H28" s="67" t="s">
        <v>539</v>
      </c>
      <c r="I28" s="26" t="s">
        <v>1469</v>
      </c>
      <c r="J28" s="2" t="s">
        <v>540</v>
      </c>
      <c r="K28" s="88">
        <v>25000000</v>
      </c>
      <c r="L28" s="84">
        <v>4750000</v>
      </c>
      <c r="M28" s="85">
        <v>29750000</v>
      </c>
      <c r="N28" s="69" t="s">
        <v>302</v>
      </c>
      <c r="O28" s="3"/>
      <c r="P28" s="28">
        <f>+Tabla1513[[#This Row],[VALOR TOTAL DEL CONTRATO
(en pesos)
CON IVA
(inicial)]]+Tabla1513[[#This Row],[VALOR DE LAS ADICIONES
(en pesos)
CON IVA]]</f>
        <v>29750000</v>
      </c>
      <c r="Q28" s="37">
        <v>328</v>
      </c>
      <c r="R28" s="23" t="s">
        <v>302</v>
      </c>
      <c r="S28" s="4"/>
      <c r="T28" s="70" t="s">
        <v>302</v>
      </c>
      <c r="U28" s="89"/>
      <c r="V28" s="65">
        <v>45694</v>
      </c>
      <c r="W28" s="65">
        <v>46022</v>
      </c>
      <c r="X28" s="65">
        <v>46022</v>
      </c>
      <c r="Y28" s="64" t="s">
        <v>325</v>
      </c>
      <c r="Z28" s="71"/>
      <c r="AA28" s="70" t="s">
        <v>321</v>
      </c>
      <c r="AB28" s="61">
        <v>1</v>
      </c>
      <c r="AC28" s="61">
        <v>0.87</v>
      </c>
      <c r="AD28" s="62">
        <v>25925224</v>
      </c>
      <c r="AE28" s="32" t="s">
        <v>708</v>
      </c>
    </row>
    <row r="29" spans="1:33" s="26" customFormat="1" ht="87" x14ac:dyDescent="0.35">
      <c r="A29" s="43" t="s">
        <v>306</v>
      </c>
      <c r="B29" s="2" t="s">
        <v>31</v>
      </c>
      <c r="C29" s="26" t="s">
        <v>424</v>
      </c>
      <c r="D29" s="2" t="s">
        <v>324</v>
      </c>
      <c r="E29" s="74" t="s">
        <v>525</v>
      </c>
      <c r="F29" s="65">
        <v>45681</v>
      </c>
      <c r="G29" s="26" t="s">
        <v>326</v>
      </c>
      <c r="H29" s="67" t="s">
        <v>526</v>
      </c>
      <c r="I29" s="26" t="s">
        <v>1470</v>
      </c>
      <c r="J29" s="2" t="s">
        <v>527</v>
      </c>
      <c r="K29" s="88">
        <v>2213509360</v>
      </c>
      <c r="L29" s="84">
        <v>420566778</v>
      </c>
      <c r="M29" s="85">
        <v>2634076138</v>
      </c>
      <c r="N29" s="69" t="s">
        <v>302</v>
      </c>
      <c r="O29" s="3"/>
      <c r="P29" s="28">
        <f>+Tabla1513[[#This Row],[VALOR TOTAL DEL CONTRATO
(en pesos)
CON IVA
(inicial)]]+Tabla1513[[#This Row],[VALOR DE LAS ADICIONES
(en pesos)
CON IVA]]</f>
        <v>2634076138</v>
      </c>
      <c r="Q29" s="37">
        <v>1469</v>
      </c>
      <c r="R29" s="23" t="s">
        <v>302</v>
      </c>
      <c r="S29" s="4"/>
      <c r="T29" s="70" t="s">
        <v>302</v>
      </c>
      <c r="U29" s="89"/>
      <c r="V29" s="65">
        <v>45681</v>
      </c>
      <c r="W29" s="65">
        <v>47150</v>
      </c>
      <c r="X29" s="65">
        <v>47150</v>
      </c>
      <c r="Y29" s="64" t="s">
        <v>303</v>
      </c>
      <c r="Z29" s="71"/>
      <c r="AA29" s="75"/>
      <c r="AB29" s="30">
        <v>0.15379999999999999</v>
      </c>
      <c r="AC29" s="30">
        <v>0.13569999999999999</v>
      </c>
      <c r="AD29" s="31">
        <v>357423269</v>
      </c>
      <c r="AE29" s="32" t="s">
        <v>709</v>
      </c>
    </row>
    <row r="30" spans="1:33" s="26" customFormat="1" ht="72.5" x14ac:dyDescent="0.35">
      <c r="A30" s="43" t="s">
        <v>306</v>
      </c>
      <c r="B30" s="2" t="s">
        <v>327</v>
      </c>
      <c r="C30" s="26" t="s">
        <v>1101</v>
      </c>
      <c r="D30" s="2" t="s">
        <v>324</v>
      </c>
      <c r="E30" s="66" t="s">
        <v>528</v>
      </c>
      <c r="F30" s="65">
        <v>45684</v>
      </c>
      <c r="G30" s="26" t="s">
        <v>119</v>
      </c>
      <c r="H30" s="67" t="s">
        <v>530</v>
      </c>
      <c r="I30" s="26" t="s">
        <v>1471</v>
      </c>
      <c r="J30" s="2" t="s">
        <v>531</v>
      </c>
      <c r="K30" s="88">
        <v>947700000</v>
      </c>
      <c r="L30" s="84">
        <v>222300000</v>
      </c>
      <c r="M30" s="85">
        <v>1170000000</v>
      </c>
      <c r="N30" s="69" t="s">
        <v>302</v>
      </c>
      <c r="O30" s="3"/>
      <c r="P30" s="28">
        <f>+Tabla1513[[#This Row],[VALOR TOTAL DEL CONTRATO
(en pesos)
CON IVA
(inicial)]]+Tabla1513[[#This Row],[VALOR DE LAS ADICIONES
(en pesos)
CON IVA]]</f>
        <v>1170000000</v>
      </c>
      <c r="Q30" s="37">
        <v>303</v>
      </c>
      <c r="R30" s="23" t="s">
        <v>301</v>
      </c>
      <c r="S30" s="4">
        <v>152</v>
      </c>
      <c r="T30" s="70" t="s">
        <v>302</v>
      </c>
      <c r="U30" s="89"/>
      <c r="V30" s="65">
        <v>45698</v>
      </c>
      <c r="W30" s="65">
        <v>46001</v>
      </c>
      <c r="X30" s="65">
        <v>46153</v>
      </c>
      <c r="Y30" s="64" t="s">
        <v>303</v>
      </c>
      <c r="Z30" s="71"/>
      <c r="AA30" s="75"/>
      <c r="AB30" s="61">
        <v>0.7</v>
      </c>
      <c r="AC30" s="61">
        <v>0.99</v>
      </c>
      <c r="AD30" s="62">
        <v>1159915966</v>
      </c>
      <c r="AE30" s="32" t="s">
        <v>710</v>
      </c>
    </row>
    <row r="31" spans="1:33" s="26" customFormat="1" ht="29" x14ac:dyDescent="0.35">
      <c r="A31" s="43" t="s">
        <v>306</v>
      </c>
      <c r="B31" s="2" t="s">
        <v>322</v>
      </c>
      <c r="C31" s="26" t="s">
        <v>77</v>
      </c>
      <c r="D31" s="2" t="s">
        <v>300</v>
      </c>
      <c r="E31" s="66" t="s">
        <v>541</v>
      </c>
      <c r="F31" s="65">
        <v>45685</v>
      </c>
      <c r="G31" s="26" t="s">
        <v>150</v>
      </c>
      <c r="H31" s="67" t="s">
        <v>543</v>
      </c>
      <c r="I31" s="26" t="s">
        <v>1472</v>
      </c>
      <c r="J31" s="2" t="s">
        <v>344</v>
      </c>
      <c r="K31" s="88">
        <v>25000000</v>
      </c>
      <c r="L31" s="84">
        <v>4750000</v>
      </c>
      <c r="M31" s="85">
        <v>29750000</v>
      </c>
      <c r="N31" s="69" t="s">
        <v>302</v>
      </c>
      <c r="O31" s="3"/>
      <c r="P31" s="28">
        <f>+Tabla1513[[#This Row],[VALOR TOTAL DEL CONTRATO
(en pesos)
CON IVA
(inicial)]]+Tabla1513[[#This Row],[VALOR DE LAS ADICIONES
(en pesos)
CON IVA]]</f>
        <v>29750000</v>
      </c>
      <c r="Q31" s="37">
        <v>337</v>
      </c>
      <c r="R31" s="23" t="s">
        <v>302</v>
      </c>
      <c r="S31" s="4"/>
      <c r="T31" s="70" t="s">
        <v>302</v>
      </c>
      <c r="U31" s="89"/>
      <c r="V31" s="65">
        <v>45685</v>
      </c>
      <c r="W31" s="65">
        <v>46022</v>
      </c>
      <c r="X31" s="65">
        <v>46022</v>
      </c>
      <c r="Y31" s="64" t="s">
        <v>325</v>
      </c>
      <c r="Z31" s="71"/>
      <c r="AA31" s="70" t="s">
        <v>321</v>
      </c>
      <c r="AB31" s="61">
        <v>0.42559999999999998</v>
      </c>
      <c r="AC31" s="61">
        <v>0.39069999999999999</v>
      </c>
      <c r="AD31" s="62">
        <v>10638772</v>
      </c>
      <c r="AE31" s="32" t="s">
        <v>711</v>
      </c>
    </row>
    <row r="32" spans="1:33" s="26" customFormat="1" ht="43.5" x14ac:dyDescent="0.35">
      <c r="A32" s="43" t="s">
        <v>306</v>
      </c>
      <c r="B32" s="2" t="s">
        <v>11</v>
      </c>
      <c r="C32" s="26" t="s">
        <v>20</v>
      </c>
      <c r="D32" s="2" t="s">
        <v>300</v>
      </c>
      <c r="E32" s="66" t="s">
        <v>542</v>
      </c>
      <c r="F32" s="65">
        <v>45686</v>
      </c>
      <c r="G32" s="26" t="s">
        <v>150</v>
      </c>
      <c r="H32" s="67" t="s">
        <v>544</v>
      </c>
      <c r="I32" s="26" t="s">
        <v>1473</v>
      </c>
      <c r="J32" s="2" t="s">
        <v>366</v>
      </c>
      <c r="K32" s="88">
        <v>20000000</v>
      </c>
      <c r="L32" s="84">
        <v>0</v>
      </c>
      <c r="M32" s="85">
        <v>20000000</v>
      </c>
      <c r="N32" s="69" t="s">
        <v>301</v>
      </c>
      <c r="O32" s="3">
        <v>20000000</v>
      </c>
      <c r="P32" s="28">
        <f>+Tabla1513[[#This Row],[VALOR TOTAL DEL CONTRATO
(en pesos)
CON IVA
(inicial)]]+Tabla1513[[#This Row],[VALOR DE LAS ADICIONES
(en pesos)
CON IVA]]</f>
        <v>40000000</v>
      </c>
      <c r="Q32" s="37">
        <v>90</v>
      </c>
      <c r="R32" s="23" t="s">
        <v>301</v>
      </c>
      <c r="S32" s="4">
        <v>91</v>
      </c>
      <c r="T32" s="70" t="s">
        <v>302</v>
      </c>
      <c r="U32" s="89"/>
      <c r="V32" s="65">
        <v>45686</v>
      </c>
      <c r="W32" s="65">
        <v>45776</v>
      </c>
      <c r="X32" s="65">
        <v>45867</v>
      </c>
      <c r="Y32" s="64" t="s">
        <v>323</v>
      </c>
      <c r="Z32" s="71">
        <v>45922</v>
      </c>
      <c r="AA32" s="71" t="s">
        <v>321</v>
      </c>
      <c r="AB32" s="30">
        <v>1</v>
      </c>
      <c r="AC32" s="55">
        <f>+Tabla1513[[#This Row],[VALOR PAGADO (en pesos)
A 31 DICIEMBRE 2025]]/Tabla1513[[#This Row],[VALOR TOTAL CONTRATO CON IVA (VALOR INICIAL + ADICIONES) ]]</f>
        <v>0.92945750000000005</v>
      </c>
      <c r="AD32" s="31">
        <v>37178300</v>
      </c>
      <c r="AE32" s="32" t="s">
        <v>822</v>
      </c>
    </row>
    <row r="33" spans="1:31" s="26" customFormat="1" ht="101.5" x14ac:dyDescent="0.35">
      <c r="A33" s="43" t="s">
        <v>306</v>
      </c>
      <c r="B33" s="2" t="s">
        <v>333</v>
      </c>
      <c r="C33" s="26" t="s">
        <v>1240</v>
      </c>
      <c r="D33" s="2" t="s">
        <v>300</v>
      </c>
      <c r="E33" s="66" t="s">
        <v>545</v>
      </c>
      <c r="F33" s="65">
        <v>45687</v>
      </c>
      <c r="G33" s="26" t="s">
        <v>150</v>
      </c>
      <c r="H33" s="67" t="s">
        <v>547</v>
      </c>
      <c r="I33" s="26" t="s">
        <v>1474</v>
      </c>
      <c r="J33" s="2" t="s">
        <v>546</v>
      </c>
      <c r="K33" s="88">
        <v>370845926</v>
      </c>
      <c r="L33" s="84">
        <v>22676739</v>
      </c>
      <c r="M33" s="85">
        <v>393522665</v>
      </c>
      <c r="N33" s="69" t="s">
        <v>302</v>
      </c>
      <c r="O33" s="3"/>
      <c r="P33" s="28">
        <f>+Tabla1513[[#This Row],[VALOR TOTAL DEL CONTRATO
(en pesos)
CON IVA
(inicial)]]+Tabla1513[[#This Row],[VALOR DE LAS ADICIONES
(en pesos)
CON IVA]]</f>
        <v>393522665</v>
      </c>
      <c r="Q33" s="37">
        <v>364</v>
      </c>
      <c r="R33" s="23" t="s">
        <v>302</v>
      </c>
      <c r="S33" s="4"/>
      <c r="T33" s="70" t="s">
        <v>302</v>
      </c>
      <c r="U33" s="89"/>
      <c r="V33" s="65">
        <v>45689</v>
      </c>
      <c r="W33" s="65">
        <v>46053</v>
      </c>
      <c r="X33" s="65">
        <v>46053</v>
      </c>
      <c r="Y33" s="64" t="s">
        <v>303</v>
      </c>
      <c r="Z33" s="71"/>
      <c r="AA33" s="75"/>
      <c r="AB33" s="30">
        <v>0.91700000000000004</v>
      </c>
      <c r="AC33" s="59">
        <v>0.73799999999999999</v>
      </c>
      <c r="AD33" s="31">
        <v>290366044</v>
      </c>
      <c r="AE33" s="32" t="s">
        <v>712</v>
      </c>
    </row>
    <row r="34" spans="1:31" s="26" customFormat="1" ht="43.5" x14ac:dyDescent="0.35">
      <c r="A34" s="43" t="s">
        <v>306</v>
      </c>
      <c r="B34" s="2" t="s">
        <v>322</v>
      </c>
      <c r="C34" s="26" t="s">
        <v>77</v>
      </c>
      <c r="D34" s="2" t="s">
        <v>300</v>
      </c>
      <c r="E34" s="66" t="s">
        <v>529</v>
      </c>
      <c r="F34" s="65">
        <v>45687</v>
      </c>
      <c r="G34" s="26" t="s">
        <v>150</v>
      </c>
      <c r="H34" s="67" t="s">
        <v>532</v>
      </c>
      <c r="I34" s="26" t="s">
        <v>1475</v>
      </c>
      <c r="J34" s="2" t="s">
        <v>533</v>
      </c>
      <c r="K34" s="88">
        <v>30000000</v>
      </c>
      <c r="L34" s="84">
        <v>5700000</v>
      </c>
      <c r="M34" s="85">
        <v>35700000</v>
      </c>
      <c r="N34" s="69" t="s">
        <v>302</v>
      </c>
      <c r="O34" s="3"/>
      <c r="P34" s="28">
        <f>+Tabla1513[[#This Row],[VALOR TOTAL DEL CONTRATO
(en pesos)
CON IVA
(inicial)]]+Tabla1513[[#This Row],[VALOR DE LAS ADICIONES
(en pesos)
CON IVA]]</f>
        <v>35700000</v>
      </c>
      <c r="Q34" s="37">
        <v>335</v>
      </c>
      <c r="R34" s="23" t="s">
        <v>302</v>
      </c>
      <c r="S34" s="4"/>
      <c r="T34" s="70" t="s">
        <v>302</v>
      </c>
      <c r="U34" s="89"/>
      <c r="V34" s="65">
        <v>45687</v>
      </c>
      <c r="W34" s="65">
        <v>46022</v>
      </c>
      <c r="X34" s="65">
        <v>46022</v>
      </c>
      <c r="Y34" s="64" t="s">
        <v>325</v>
      </c>
      <c r="Z34" s="71"/>
      <c r="AA34" s="70" t="s">
        <v>321</v>
      </c>
      <c r="AB34" s="61">
        <v>0</v>
      </c>
      <c r="AC34" s="61">
        <v>0</v>
      </c>
      <c r="AD34" s="62">
        <v>0</v>
      </c>
      <c r="AE34" s="32" t="s">
        <v>713</v>
      </c>
    </row>
    <row r="35" spans="1:31" s="26" customFormat="1" ht="29" x14ac:dyDescent="0.35">
      <c r="A35" s="43" t="s">
        <v>306</v>
      </c>
      <c r="B35" s="2" t="s">
        <v>333</v>
      </c>
      <c r="C35" s="26" t="s">
        <v>62</v>
      </c>
      <c r="D35" s="2" t="s">
        <v>300</v>
      </c>
      <c r="E35" s="66" t="s">
        <v>548</v>
      </c>
      <c r="F35" s="65">
        <v>45687</v>
      </c>
      <c r="G35" s="26" t="s">
        <v>150</v>
      </c>
      <c r="H35" s="67" t="s">
        <v>551</v>
      </c>
      <c r="I35" s="26" t="s">
        <v>1457</v>
      </c>
      <c r="J35" s="2" t="s">
        <v>413</v>
      </c>
      <c r="K35" s="88">
        <v>32184867</v>
      </c>
      <c r="L35" s="84">
        <v>6115125</v>
      </c>
      <c r="M35" s="85">
        <v>38299992</v>
      </c>
      <c r="N35" s="69" t="s">
        <v>302</v>
      </c>
      <c r="O35" s="3"/>
      <c r="P35" s="28">
        <f>+Tabla1513[[#This Row],[VALOR TOTAL DEL CONTRATO
(en pesos)
CON IVA
(inicial)]]+Tabla1513[[#This Row],[VALOR DE LAS ADICIONES
(en pesos)
CON IVA]]</f>
        <v>38299992</v>
      </c>
      <c r="Q35" s="37">
        <v>330</v>
      </c>
      <c r="R35" s="23" t="s">
        <v>302</v>
      </c>
      <c r="S35" s="4"/>
      <c r="T35" s="70" t="s">
        <v>302</v>
      </c>
      <c r="U35" s="89"/>
      <c r="V35" s="65">
        <v>45692</v>
      </c>
      <c r="W35" s="65">
        <v>46022</v>
      </c>
      <c r="X35" s="65">
        <v>46022</v>
      </c>
      <c r="Y35" s="64" t="s">
        <v>325</v>
      </c>
      <c r="Z35" s="71"/>
      <c r="AA35" s="70" t="s">
        <v>321</v>
      </c>
      <c r="AB35" s="30">
        <v>0.9718</v>
      </c>
      <c r="AC35" s="30">
        <v>0.9083</v>
      </c>
      <c r="AD35" s="31">
        <v>34789159</v>
      </c>
      <c r="AE35" s="32" t="s">
        <v>714</v>
      </c>
    </row>
    <row r="36" spans="1:31" s="26" customFormat="1" ht="43.5" x14ac:dyDescent="0.35">
      <c r="A36" s="43" t="s">
        <v>306</v>
      </c>
      <c r="B36" s="2" t="s">
        <v>11</v>
      </c>
      <c r="C36" s="26" t="s">
        <v>19</v>
      </c>
      <c r="D36" s="2" t="s">
        <v>300</v>
      </c>
      <c r="E36" s="66" t="s">
        <v>549</v>
      </c>
      <c r="F36" s="65">
        <v>45687</v>
      </c>
      <c r="G36" s="26" t="s">
        <v>142</v>
      </c>
      <c r="H36" s="67" t="s">
        <v>552</v>
      </c>
      <c r="I36" s="26" t="s">
        <v>1476</v>
      </c>
      <c r="J36" s="2" t="s">
        <v>550</v>
      </c>
      <c r="K36" s="88">
        <v>53308758.009999998</v>
      </c>
      <c r="L36" s="84">
        <v>10128663</v>
      </c>
      <c r="M36" s="85">
        <v>63437421</v>
      </c>
      <c r="N36" s="69" t="s">
        <v>302</v>
      </c>
      <c r="O36" s="3"/>
      <c r="P36" s="28">
        <f>+Tabla1513[[#This Row],[VALOR TOTAL DEL CONTRATO
(en pesos)
CON IVA
(inicial)]]+Tabla1513[[#This Row],[VALOR DE LAS ADICIONES
(en pesos)
CON IVA]]</f>
        <v>63437421</v>
      </c>
      <c r="Q36" s="37">
        <v>1033</v>
      </c>
      <c r="R36" s="23" t="s">
        <v>302</v>
      </c>
      <c r="S36" s="4"/>
      <c r="T36" s="70" t="s">
        <v>302</v>
      </c>
      <c r="U36" s="89"/>
      <c r="V36" s="65">
        <v>45719</v>
      </c>
      <c r="W36" s="65">
        <v>46752</v>
      </c>
      <c r="X36" s="65">
        <v>46752</v>
      </c>
      <c r="Y36" s="64" t="s">
        <v>303</v>
      </c>
      <c r="Z36" s="71"/>
      <c r="AA36" s="75"/>
      <c r="AB36" s="30">
        <v>0.28000000000000003</v>
      </c>
      <c r="AC36" s="30">
        <v>0.21</v>
      </c>
      <c r="AD36" s="31">
        <v>13091034</v>
      </c>
      <c r="AE36" s="32" t="s">
        <v>715</v>
      </c>
    </row>
    <row r="37" spans="1:31" s="26" customFormat="1" ht="29" x14ac:dyDescent="0.35">
      <c r="A37" s="43" t="s">
        <v>306</v>
      </c>
      <c r="B37" s="2" t="s">
        <v>11</v>
      </c>
      <c r="C37" s="26" t="s">
        <v>335</v>
      </c>
      <c r="D37" s="2" t="s">
        <v>300</v>
      </c>
      <c r="E37" s="66" t="s">
        <v>553</v>
      </c>
      <c r="F37" s="65">
        <v>45687</v>
      </c>
      <c r="G37" s="26" t="s">
        <v>150</v>
      </c>
      <c r="H37" s="67" t="s">
        <v>554</v>
      </c>
      <c r="I37" s="26" t="s">
        <v>1477</v>
      </c>
      <c r="J37" s="2" t="s">
        <v>359</v>
      </c>
      <c r="K37" s="88">
        <v>64460000</v>
      </c>
      <c r="L37" s="84">
        <v>0</v>
      </c>
      <c r="M37" s="85">
        <v>64460000</v>
      </c>
      <c r="N37" s="69" t="s">
        <v>302</v>
      </c>
      <c r="O37" s="3"/>
      <c r="P37" s="28">
        <f>+Tabla1513[[#This Row],[VALOR TOTAL DEL CONTRATO
(en pesos)
CON IVA
(inicial)]]+Tabla1513[[#This Row],[VALOR DE LAS ADICIONES
(en pesos)
CON IVA]]</f>
        <v>64460000</v>
      </c>
      <c r="Q37" s="37">
        <v>333</v>
      </c>
      <c r="R37" s="23" t="s">
        <v>302</v>
      </c>
      <c r="S37" s="4"/>
      <c r="T37" s="70" t="s">
        <v>302</v>
      </c>
      <c r="U37" s="89"/>
      <c r="V37" s="65">
        <v>45689</v>
      </c>
      <c r="W37" s="65">
        <v>46022</v>
      </c>
      <c r="X37" s="65">
        <v>46022</v>
      </c>
      <c r="Y37" s="64" t="s">
        <v>325</v>
      </c>
      <c r="Z37" s="71"/>
      <c r="AA37" s="70" t="s">
        <v>321</v>
      </c>
      <c r="AB37" s="30">
        <v>0.98</v>
      </c>
      <c r="AC37" s="30">
        <v>1</v>
      </c>
      <c r="AD37" s="31">
        <v>64460000</v>
      </c>
      <c r="AE37" s="32" t="s">
        <v>716</v>
      </c>
    </row>
    <row r="38" spans="1:31" s="26" customFormat="1" ht="43.5" x14ac:dyDescent="0.35">
      <c r="A38" s="43" t="s">
        <v>306</v>
      </c>
      <c r="B38" s="2" t="s">
        <v>11</v>
      </c>
      <c r="C38" s="26" t="s">
        <v>19</v>
      </c>
      <c r="D38" s="2" t="s">
        <v>300</v>
      </c>
      <c r="E38" s="66" t="s">
        <v>555</v>
      </c>
      <c r="F38" s="65">
        <v>45714</v>
      </c>
      <c r="G38" s="26" t="s">
        <v>142</v>
      </c>
      <c r="H38" s="67" t="s">
        <v>557</v>
      </c>
      <c r="I38" s="26" t="s">
        <v>1478</v>
      </c>
      <c r="J38" s="2" t="s">
        <v>392</v>
      </c>
      <c r="K38" s="88">
        <v>23913400.010000002</v>
      </c>
      <c r="L38" s="84">
        <v>4543546</v>
      </c>
      <c r="M38" s="85">
        <v>28456946</v>
      </c>
      <c r="N38" s="69" t="s">
        <v>302</v>
      </c>
      <c r="O38" s="3"/>
      <c r="P38" s="28">
        <f>+Tabla1513[[#This Row],[VALOR TOTAL DEL CONTRATO
(en pesos)
CON IVA
(inicial)]]+Tabla1513[[#This Row],[VALOR DE LAS ADICIONES
(en pesos)
CON IVA]]</f>
        <v>28456946</v>
      </c>
      <c r="Q38" s="37">
        <v>650</v>
      </c>
      <c r="R38" s="23" t="s">
        <v>302</v>
      </c>
      <c r="S38" s="4"/>
      <c r="T38" s="70" t="s">
        <v>302</v>
      </c>
      <c r="U38" s="89"/>
      <c r="V38" s="65">
        <v>45737</v>
      </c>
      <c r="W38" s="65">
        <v>46387</v>
      </c>
      <c r="X38" s="65">
        <v>46387</v>
      </c>
      <c r="Y38" s="64" t="s">
        <v>303</v>
      </c>
      <c r="Z38" s="71"/>
      <c r="AA38" s="75"/>
      <c r="AB38" s="30">
        <v>0.4</v>
      </c>
      <c r="AC38" s="30">
        <v>0.33</v>
      </c>
      <c r="AD38" s="31">
        <v>9287950</v>
      </c>
      <c r="AE38" s="32" t="s">
        <v>893</v>
      </c>
    </row>
    <row r="39" spans="1:31" s="26" customFormat="1" ht="43.5" x14ac:dyDescent="0.35">
      <c r="A39" s="43" t="s">
        <v>306</v>
      </c>
      <c r="B39" s="2" t="s">
        <v>322</v>
      </c>
      <c r="C39" s="26" t="s">
        <v>74</v>
      </c>
      <c r="D39" s="2" t="s">
        <v>300</v>
      </c>
      <c r="E39" s="66" t="s">
        <v>556</v>
      </c>
      <c r="F39" s="65">
        <v>45694</v>
      </c>
      <c r="G39" s="26" t="s">
        <v>150</v>
      </c>
      <c r="H39" s="67" t="s">
        <v>558</v>
      </c>
      <c r="I39" s="26" t="s">
        <v>1479</v>
      </c>
      <c r="J39" s="2" t="s">
        <v>378</v>
      </c>
      <c r="K39" s="88">
        <v>40000000</v>
      </c>
      <c r="L39" s="84">
        <v>7600000</v>
      </c>
      <c r="M39" s="85">
        <v>47600000</v>
      </c>
      <c r="N39" s="69" t="s">
        <v>302</v>
      </c>
      <c r="O39" s="3"/>
      <c r="P39" s="28">
        <f>+Tabla1513[[#This Row],[VALOR TOTAL DEL CONTRATO
(en pesos)
CON IVA
(inicial)]]+Tabla1513[[#This Row],[VALOR DE LAS ADICIONES
(en pesos)
CON IVA]]</f>
        <v>47600000</v>
      </c>
      <c r="Q39" s="37">
        <v>324</v>
      </c>
      <c r="R39" s="23" t="s">
        <v>302</v>
      </c>
      <c r="S39" s="4"/>
      <c r="T39" s="70" t="s">
        <v>302</v>
      </c>
      <c r="U39" s="89"/>
      <c r="V39" s="65">
        <v>45698</v>
      </c>
      <c r="W39" s="65">
        <v>46022</v>
      </c>
      <c r="X39" s="65">
        <v>46022</v>
      </c>
      <c r="Y39" s="64" t="s">
        <v>325</v>
      </c>
      <c r="Z39" s="71"/>
      <c r="AA39" s="70" t="s">
        <v>321</v>
      </c>
      <c r="AB39" s="61">
        <v>1</v>
      </c>
      <c r="AC39" s="61">
        <v>0.22</v>
      </c>
      <c r="AD39" s="62">
        <v>10406130</v>
      </c>
      <c r="AE39" s="32" t="s">
        <v>823</v>
      </c>
    </row>
    <row r="40" spans="1:31" s="26" customFormat="1" ht="29" x14ac:dyDescent="0.35">
      <c r="A40" s="43" t="s">
        <v>306</v>
      </c>
      <c r="B40" s="2" t="s">
        <v>298</v>
      </c>
      <c r="C40" s="26" t="s">
        <v>24</v>
      </c>
      <c r="D40" s="2" t="s">
        <v>365</v>
      </c>
      <c r="E40" s="66" t="s">
        <v>634</v>
      </c>
      <c r="F40" s="65">
        <v>45695</v>
      </c>
      <c r="G40" s="26" t="s">
        <v>150</v>
      </c>
      <c r="H40" s="67" t="s">
        <v>635</v>
      </c>
      <c r="I40" s="26" t="s">
        <v>1480</v>
      </c>
      <c r="J40" s="2" t="s">
        <v>371</v>
      </c>
      <c r="K40" s="88">
        <v>1253782</v>
      </c>
      <c r="L40" s="84">
        <v>238218</v>
      </c>
      <c r="M40" s="85">
        <v>1492000</v>
      </c>
      <c r="N40" s="69" t="s">
        <v>302</v>
      </c>
      <c r="O40" s="3"/>
      <c r="P40" s="28">
        <f>+Tabla1513[[#This Row],[VALOR TOTAL DEL CONTRATO
(en pesos)
CON IVA
(inicial)]]+Tabla1513[[#This Row],[VALOR DE LAS ADICIONES
(en pesos)
CON IVA]]</f>
        <v>1492000</v>
      </c>
      <c r="Q40" s="37">
        <v>365</v>
      </c>
      <c r="R40" s="23" t="s">
        <v>302</v>
      </c>
      <c r="S40" s="4"/>
      <c r="T40" s="70" t="s">
        <v>302</v>
      </c>
      <c r="U40" s="89"/>
      <c r="V40" s="65">
        <v>45702</v>
      </c>
      <c r="W40" s="65">
        <v>46067</v>
      </c>
      <c r="X40" s="65">
        <v>46067</v>
      </c>
      <c r="Y40" s="64" t="s">
        <v>303</v>
      </c>
      <c r="Z40" s="71"/>
      <c r="AA40" s="75"/>
      <c r="AB40" s="30">
        <v>1</v>
      </c>
      <c r="AC40" s="30">
        <v>1</v>
      </c>
      <c r="AD40" s="31">
        <v>1492000</v>
      </c>
      <c r="AE40" s="32" t="s">
        <v>894</v>
      </c>
    </row>
    <row r="41" spans="1:31" s="26" customFormat="1" ht="43.5" x14ac:dyDescent="0.35">
      <c r="A41" s="43" t="s">
        <v>306</v>
      </c>
      <c r="B41" s="2" t="s">
        <v>11</v>
      </c>
      <c r="C41" s="26" t="s">
        <v>20</v>
      </c>
      <c r="D41" s="2" t="s">
        <v>300</v>
      </c>
      <c r="E41" s="66" t="s">
        <v>559</v>
      </c>
      <c r="F41" s="65">
        <v>45695</v>
      </c>
      <c r="G41" s="26" t="s">
        <v>150</v>
      </c>
      <c r="H41" s="67" t="s">
        <v>560</v>
      </c>
      <c r="I41" s="26" t="s">
        <v>1481</v>
      </c>
      <c r="J41" s="2" t="s">
        <v>374</v>
      </c>
      <c r="K41" s="88">
        <v>131000000</v>
      </c>
      <c r="L41" s="84">
        <v>24890000</v>
      </c>
      <c r="M41" s="85">
        <v>155890000</v>
      </c>
      <c r="N41" s="69" t="s">
        <v>301</v>
      </c>
      <c r="O41" s="3">
        <v>155890000</v>
      </c>
      <c r="P41" s="28">
        <f>+Tabla1513[[#This Row],[VALOR TOTAL DEL CONTRATO
(en pesos)
CON IVA
(inicial)]]+Tabla1513[[#This Row],[VALOR DE LAS ADICIONES
(en pesos)
CON IVA]]</f>
        <v>311780000</v>
      </c>
      <c r="Q41" s="37">
        <v>327</v>
      </c>
      <c r="R41" s="23" t="s">
        <v>301</v>
      </c>
      <c r="S41" s="4">
        <v>365</v>
      </c>
      <c r="T41" s="70" t="s">
        <v>302</v>
      </c>
      <c r="U41" s="89"/>
      <c r="V41" s="65">
        <v>45695</v>
      </c>
      <c r="W41" s="65">
        <v>46022</v>
      </c>
      <c r="X41" s="65">
        <v>46387</v>
      </c>
      <c r="Y41" s="64" t="s">
        <v>303</v>
      </c>
      <c r="Z41" s="71"/>
      <c r="AA41" s="75"/>
      <c r="AB41" s="30">
        <v>0.97</v>
      </c>
      <c r="AC41" s="30">
        <v>1</v>
      </c>
      <c r="AD41" s="31">
        <v>155890000</v>
      </c>
      <c r="AE41" s="32" t="s">
        <v>717</v>
      </c>
    </row>
    <row r="42" spans="1:31" s="26" customFormat="1" ht="29" x14ac:dyDescent="0.35">
      <c r="A42" s="43" t="s">
        <v>306</v>
      </c>
      <c r="B42" s="2" t="s">
        <v>298</v>
      </c>
      <c r="C42" s="26" t="s">
        <v>25</v>
      </c>
      <c r="D42" s="2" t="s">
        <v>300</v>
      </c>
      <c r="E42" s="66" t="s">
        <v>561</v>
      </c>
      <c r="F42" s="65">
        <v>45701</v>
      </c>
      <c r="G42" s="26" t="s">
        <v>150</v>
      </c>
      <c r="H42" s="67" t="s">
        <v>562</v>
      </c>
      <c r="I42" s="26" t="s">
        <v>1482</v>
      </c>
      <c r="J42" s="2" t="s">
        <v>360</v>
      </c>
      <c r="K42" s="88">
        <v>26657683</v>
      </c>
      <c r="L42" s="84">
        <v>4442426</v>
      </c>
      <c r="M42" s="85">
        <v>31100109</v>
      </c>
      <c r="N42" s="69" t="s">
        <v>302</v>
      </c>
      <c r="O42" s="3"/>
      <c r="P42" s="28">
        <f>+Tabla1513[[#This Row],[VALOR TOTAL DEL CONTRATO
(en pesos)
CON IVA
(inicial)]]+Tabla1513[[#This Row],[VALOR DE LAS ADICIONES
(en pesos)
CON IVA]]</f>
        <v>31100109</v>
      </c>
      <c r="Q42" s="37">
        <v>334</v>
      </c>
      <c r="R42" s="23" t="s">
        <v>302</v>
      </c>
      <c r="S42" s="4"/>
      <c r="T42" s="70" t="s">
        <v>302</v>
      </c>
      <c r="U42" s="89"/>
      <c r="V42" s="65">
        <v>45701</v>
      </c>
      <c r="W42" s="65">
        <v>46035</v>
      </c>
      <c r="X42" s="65">
        <v>46035</v>
      </c>
      <c r="Y42" s="64" t="s">
        <v>303</v>
      </c>
      <c r="Z42" s="71"/>
      <c r="AA42" s="75"/>
      <c r="AB42" s="61">
        <v>0.96</v>
      </c>
      <c r="AC42" s="61">
        <v>1</v>
      </c>
      <c r="AD42" s="76">
        <v>31100109</v>
      </c>
      <c r="AE42" s="32" t="s">
        <v>718</v>
      </c>
    </row>
    <row r="43" spans="1:31" s="26" customFormat="1" ht="43.5" x14ac:dyDescent="0.35">
      <c r="A43" s="43" t="s">
        <v>306</v>
      </c>
      <c r="B43" s="2" t="s">
        <v>31</v>
      </c>
      <c r="C43" s="26" t="s">
        <v>424</v>
      </c>
      <c r="D43" s="2" t="s">
        <v>300</v>
      </c>
      <c r="E43" s="74" t="s">
        <v>563</v>
      </c>
      <c r="F43" s="65">
        <v>45698</v>
      </c>
      <c r="G43" s="26" t="s">
        <v>142</v>
      </c>
      <c r="H43" s="67" t="s">
        <v>567</v>
      </c>
      <c r="I43" s="26" t="s">
        <v>1483</v>
      </c>
      <c r="J43" s="2" t="s">
        <v>565</v>
      </c>
      <c r="K43" s="88">
        <v>246477927.00999999</v>
      </c>
      <c r="L43" s="84">
        <v>46830806</v>
      </c>
      <c r="M43" s="85">
        <v>293308733.00999999</v>
      </c>
      <c r="N43" s="69" t="s">
        <v>302</v>
      </c>
      <c r="O43" s="3"/>
      <c r="P43" s="28">
        <f>+Tabla1513[[#This Row],[VALOR TOTAL DEL CONTRATO
(en pesos)
CON IVA
(inicial)]]+Tabla1513[[#This Row],[VALOR DE LAS ADICIONES
(en pesos)
CON IVA]]</f>
        <v>293308733.00999999</v>
      </c>
      <c r="Q43" s="37">
        <v>1095</v>
      </c>
      <c r="R43" s="23" t="s">
        <v>302</v>
      </c>
      <c r="S43" s="4"/>
      <c r="T43" s="70" t="s">
        <v>302</v>
      </c>
      <c r="U43" s="89"/>
      <c r="V43" s="65">
        <v>45698</v>
      </c>
      <c r="W43" s="65">
        <v>46793</v>
      </c>
      <c r="X43" s="65">
        <v>46793</v>
      </c>
      <c r="Y43" s="64" t="s">
        <v>303</v>
      </c>
      <c r="Z43" s="71"/>
      <c r="AA43" s="75"/>
      <c r="AB43" s="30">
        <v>0.3</v>
      </c>
      <c r="AC43" s="30">
        <v>0.21099999999999999</v>
      </c>
      <c r="AD43" s="31">
        <v>6186785.8399999999</v>
      </c>
      <c r="AE43" s="32" t="s">
        <v>719</v>
      </c>
    </row>
    <row r="44" spans="1:31" s="26" customFormat="1" ht="43.5" x14ac:dyDescent="0.35">
      <c r="A44" s="43" t="s">
        <v>306</v>
      </c>
      <c r="B44" s="2" t="s">
        <v>322</v>
      </c>
      <c r="C44" s="26" t="s">
        <v>74</v>
      </c>
      <c r="D44" s="2" t="s">
        <v>300</v>
      </c>
      <c r="E44" s="66" t="s">
        <v>564</v>
      </c>
      <c r="F44" s="65">
        <v>45702</v>
      </c>
      <c r="G44" s="26" t="s">
        <v>150</v>
      </c>
      <c r="H44" s="67" t="s">
        <v>539</v>
      </c>
      <c r="I44" s="26" t="s">
        <v>1484</v>
      </c>
      <c r="J44" s="2" t="s">
        <v>566</v>
      </c>
      <c r="K44" s="88">
        <v>151386032</v>
      </c>
      <c r="L44" s="84">
        <v>28763346</v>
      </c>
      <c r="M44" s="85">
        <v>180149378</v>
      </c>
      <c r="N44" s="69" t="s">
        <v>302</v>
      </c>
      <c r="O44" s="3"/>
      <c r="P44" s="28">
        <f>+Tabla1513[[#This Row],[VALOR TOTAL DEL CONTRATO
(en pesos)
CON IVA
(inicial)]]+Tabla1513[[#This Row],[VALOR DE LAS ADICIONES
(en pesos)
CON IVA]]</f>
        <v>180149378</v>
      </c>
      <c r="Q44" s="37">
        <v>308</v>
      </c>
      <c r="R44" s="23" t="s">
        <v>302</v>
      </c>
      <c r="S44" s="4"/>
      <c r="T44" s="70" t="s">
        <v>302</v>
      </c>
      <c r="U44" s="89"/>
      <c r="V44" s="65">
        <v>45714</v>
      </c>
      <c r="W44" s="65">
        <v>46022</v>
      </c>
      <c r="X44" s="65">
        <v>46022</v>
      </c>
      <c r="Y44" s="64" t="s">
        <v>325</v>
      </c>
      <c r="Z44" s="71"/>
      <c r="AA44" s="70" t="s">
        <v>321</v>
      </c>
      <c r="AB44" s="61">
        <v>1</v>
      </c>
      <c r="AC44" s="61">
        <v>0.83</v>
      </c>
      <c r="AD44" s="62">
        <v>149127686</v>
      </c>
      <c r="AE44" s="32" t="s">
        <v>895</v>
      </c>
    </row>
    <row r="45" spans="1:31" s="26" customFormat="1" ht="29" x14ac:dyDescent="0.35">
      <c r="A45" s="43" t="s">
        <v>306</v>
      </c>
      <c r="B45" s="2" t="s">
        <v>327</v>
      </c>
      <c r="C45" s="26" t="s">
        <v>43</v>
      </c>
      <c r="D45" s="2" t="s">
        <v>300</v>
      </c>
      <c r="E45" s="66" t="s">
        <v>568</v>
      </c>
      <c r="F45" s="65">
        <v>45705</v>
      </c>
      <c r="G45" s="26" t="s">
        <v>150</v>
      </c>
      <c r="H45" s="67" t="s">
        <v>572</v>
      </c>
      <c r="I45" s="26" t="s">
        <v>1485</v>
      </c>
      <c r="J45" s="2" t="s">
        <v>570</v>
      </c>
      <c r="K45" s="88">
        <v>40000000</v>
      </c>
      <c r="L45" s="84">
        <v>0</v>
      </c>
      <c r="M45" s="85">
        <v>40000000</v>
      </c>
      <c r="N45" s="69" t="s">
        <v>302</v>
      </c>
      <c r="O45" s="3"/>
      <c r="P45" s="28">
        <f>+Tabla1513[[#This Row],[VALOR TOTAL DEL CONTRATO
(en pesos)
CON IVA
(inicial)]]+Tabla1513[[#This Row],[VALOR DE LAS ADICIONES
(en pesos)
CON IVA]]</f>
        <v>40000000</v>
      </c>
      <c r="Q45" s="37">
        <v>150</v>
      </c>
      <c r="R45" s="23" t="s">
        <v>302</v>
      </c>
      <c r="S45" s="4"/>
      <c r="T45" s="70" t="s">
        <v>302</v>
      </c>
      <c r="U45" s="89"/>
      <c r="V45" s="65">
        <v>45707</v>
      </c>
      <c r="W45" s="65">
        <v>45857</v>
      </c>
      <c r="X45" s="65">
        <v>45857</v>
      </c>
      <c r="Y45" s="64" t="s">
        <v>320</v>
      </c>
      <c r="Z45" s="71"/>
      <c r="AA45" s="71" t="s">
        <v>321</v>
      </c>
      <c r="AB45" s="61">
        <v>1</v>
      </c>
      <c r="AC45" s="61">
        <v>1</v>
      </c>
      <c r="AD45" s="62">
        <v>40000000</v>
      </c>
      <c r="AE45" s="32" t="s">
        <v>720</v>
      </c>
    </row>
    <row r="46" spans="1:31" s="26" customFormat="1" ht="43.5" x14ac:dyDescent="0.35">
      <c r="A46" s="43" t="s">
        <v>306</v>
      </c>
      <c r="B46" s="2" t="s">
        <v>322</v>
      </c>
      <c r="C46" s="26" t="s">
        <v>74</v>
      </c>
      <c r="D46" s="2" t="s">
        <v>300</v>
      </c>
      <c r="E46" s="66" t="s">
        <v>569</v>
      </c>
      <c r="F46" s="65">
        <v>45705</v>
      </c>
      <c r="G46" s="26" t="s">
        <v>150</v>
      </c>
      <c r="H46" s="67" t="s">
        <v>539</v>
      </c>
      <c r="I46" s="26" t="s">
        <v>1486</v>
      </c>
      <c r="J46" s="2" t="s">
        <v>571</v>
      </c>
      <c r="K46" s="88">
        <v>129095000</v>
      </c>
      <c r="L46" s="84">
        <v>24528050</v>
      </c>
      <c r="M46" s="85">
        <v>153623050</v>
      </c>
      <c r="N46" s="69" t="s">
        <v>302</v>
      </c>
      <c r="O46" s="3"/>
      <c r="P46" s="28">
        <f>+Tabla1513[[#This Row],[VALOR TOTAL DEL CONTRATO
(en pesos)
CON IVA
(inicial)]]+Tabla1513[[#This Row],[VALOR DE LAS ADICIONES
(en pesos)
CON IVA]]</f>
        <v>153623050</v>
      </c>
      <c r="Q46" s="37">
        <v>308</v>
      </c>
      <c r="R46" s="23" t="s">
        <v>302</v>
      </c>
      <c r="S46" s="4"/>
      <c r="T46" s="70" t="s">
        <v>302</v>
      </c>
      <c r="U46" s="89"/>
      <c r="V46" s="65">
        <v>45714</v>
      </c>
      <c r="W46" s="65">
        <v>46022</v>
      </c>
      <c r="X46" s="65">
        <v>46022</v>
      </c>
      <c r="Y46" s="64" t="s">
        <v>325</v>
      </c>
      <c r="Z46" s="71"/>
      <c r="AA46" s="70" t="s">
        <v>321</v>
      </c>
      <c r="AB46" s="61">
        <v>1</v>
      </c>
      <c r="AC46" s="61">
        <v>0.61</v>
      </c>
      <c r="AD46" s="62">
        <v>93475036</v>
      </c>
      <c r="AE46" s="32" t="s">
        <v>824</v>
      </c>
    </row>
    <row r="47" spans="1:31" s="26" customFormat="1" ht="43.5" x14ac:dyDescent="0.35">
      <c r="A47" s="43" t="s">
        <v>306</v>
      </c>
      <c r="B47" s="2" t="s">
        <v>322</v>
      </c>
      <c r="C47" s="26" t="s">
        <v>74</v>
      </c>
      <c r="D47" s="2" t="s">
        <v>300</v>
      </c>
      <c r="E47" s="66" t="s">
        <v>573</v>
      </c>
      <c r="F47" s="65">
        <v>45706</v>
      </c>
      <c r="G47" s="26" t="s">
        <v>150</v>
      </c>
      <c r="H47" s="67" t="s">
        <v>539</v>
      </c>
      <c r="I47" s="26" t="s">
        <v>1487</v>
      </c>
      <c r="J47" s="2" t="s">
        <v>367</v>
      </c>
      <c r="K47" s="88">
        <v>201386032</v>
      </c>
      <c r="L47" s="84">
        <v>38263346</v>
      </c>
      <c r="M47" s="85">
        <v>239649378</v>
      </c>
      <c r="N47" s="69" t="s">
        <v>302</v>
      </c>
      <c r="O47" s="3"/>
      <c r="P47" s="28">
        <f>+Tabla1513[[#This Row],[VALOR TOTAL DEL CONTRATO
(en pesos)
CON IVA
(inicial)]]+Tabla1513[[#This Row],[VALOR DE LAS ADICIONES
(en pesos)
CON IVA]]</f>
        <v>239649378</v>
      </c>
      <c r="Q47" s="37">
        <v>307</v>
      </c>
      <c r="R47" s="23" t="s">
        <v>302</v>
      </c>
      <c r="S47" s="4"/>
      <c r="T47" s="70" t="s">
        <v>302</v>
      </c>
      <c r="U47" s="89"/>
      <c r="V47" s="65">
        <v>45715</v>
      </c>
      <c r="W47" s="65">
        <v>46022</v>
      </c>
      <c r="X47" s="65">
        <v>46022</v>
      </c>
      <c r="Y47" s="64" t="s">
        <v>325</v>
      </c>
      <c r="Z47" s="71"/>
      <c r="AA47" s="70" t="s">
        <v>321</v>
      </c>
      <c r="AB47" s="30">
        <v>1</v>
      </c>
      <c r="AC47" s="30">
        <v>0.86</v>
      </c>
      <c r="AD47" s="31">
        <v>205611226</v>
      </c>
      <c r="AE47" s="32" t="s">
        <v>720</v>
      </c>
    </row>
    <row r="48" spans="1:31" s="26" customFormat="1" ht="29" x14ac:dyDescent="0.35">
      <c r="A48" s="43" t="s">
        <v>306</v>
      </c>
      <c r="B48" s="2" t="s">
        <v>11</v>
      </c>
      <c r="C48" s="26" t="s">
        <v>19</v>
      </c>
      <c r="D48" s="2" t="s">
        <v>300</v>
      </c>
      <c r="E48" s="66" t="s">
        <v>574</v>
      </c>
      <c r="F48" s="65">
        <v>45705</v>
      </c>
      <c r="G48" s="26" t="s">
        <v>150</v>
      </c>
      <c r="H48" s="67" t="s">
        <v>575</v>
      </c>
      <c r="I48" s="26" t="s">
        <v>1488</v>
      </c>
      <c r="J48" s="2" t="s">
        <v>347</v>
      </c>
      <c r="K48" s="88">
        <v>58145085</v>
      </c>
      <c r="L48" s="84">
        <v>11047566</v>
      </c>
      <c r="M48" s="85">
        <v>69192651</v>
      </c>
      <c r="N48" s="69" t="s">
        <v>302</v>
      </c>
      <c r="O48" s="3"/>
      <c r="P48" s="28">
        <f>+Tabla1513[[#This Row],[VALOR TOTAL DEL CONTRATO
(en pesos)
CON IVA
(inicial)]]+Tabla1513[[#This Row],[VALOR DE LAS ADICIONES
(en pesos)
CON IVA]]</f>
        <v>69192651</v>
      </c>
      <c r="Q48" s="37">
        <v>1047</v>
      </c>
      <c r="R48" s="23" t="s">
        <v>302</v>
      </c>
      <c r="S48" s="4"/>
      <c r="T48" s="70" t="s">
        <v>302</v>
      </c>
      <c r="U48" s="89"/>
      <c r="V48" s="65">
        <v>45705</v>
      </c>
      <c r="W48" s="65">
        <v>46752</v>
      </c>
      <c r="X48" s="65">
        <v>46752</v>
      </c>
      <c r="Y48" s="64" t="s">
        <v>303</v>
      </c>
      <c r="Z48" s="71"/>
      <c r="AA48" s="75"/>
      <c r="AB48" s="61">
        <v>0.28000000000000003</v>
      </c>
      <c r="AC48" s="61">
        <v>0.12</v>
      </c>
      <c r="AD48" s="62">
        <v>8190000</v>
      </c>
      <c r="AE48" s="32" t="s">
        <v>721</v>
      </c>
    </row>
    <row r="49" spans="1:31" s="26" customFormat="1" ht="43.5" x14ac:dyDescent="0.35">
      <c r="A49" s="43" t="s">
        <v>306</v>
      </c>
      <c r="B49" s="2" t="s">
        <v>322</v>
      </c>
      <c r="C49" s="26" t="s">
        <v>74</v>
      </c>
      <c r="D49" s="2" t="s">
        <v>300</v>
      </c>
      <c r="E49" s="66" t="s">
        <v>576</v>
      </c>
      <c r="F49" s="65">
        <v>45706</v>
      </c>
      <c r="G49" s="26" t="s">
        <v>150</v>
      </c>
      <c r="H49" s="67" t="s">
        <v>539</v>
      </c>
      <c r="I49" s="26" t="s">
        <v>1489</v>
      </c>
      <c r="J49" s="2" t="s">
        <v>578</v>
      </c>
      <c r="K49" s="88">
        <v>195595000</v>
      </c>
      <c r="L49" s="84">
        <v>37163050</v>
      </c>
      <c r="M49" s="85">
        <v>232758050</v>
      </c>
      <c r="N49" s="69" t="s">
        <v>302</v>
      </c>
      <c r="O49" s="3"/>
      <c r="P49" s="28">
        <f>+Tabla1513[[#This Row],[VALOR TOTAL DEL CONTRATO
(en pesos)
CON IVA
(inicial)]]+Tabla1513[[#This Row],[VALOR DE LAS ADICIONES
(en pesos)
CON IVA]]</f>
        <v>232758050</v>
      </c>
      <c r="Q49" s="37">
        <v>308</v>
      </c>
      <c r="R49" s="23" t="s">
        <v>302</v>
      </c>
      <c r="S49" s="4"/>
      <c r="T49" s="70" t="s">
        <v>302</v>
      </c>
      <c r="U49" s="89"/>
      <c r="V49" s="65">
        <v>45714</v>
      </c>
      <c r="W49" s="65">
        <v>46022</v>
      </c>
      <c r="X49" s="65">
        <v>46022</v>
      </c>
      <c r="Y49" s="64" t="s">
        <v>325</v>
      </c>
      <c r="Z49" s="71"/>
      <c r="AA49" s="70" t="s">
        <v>321</v>
      </c>
      <c r="AB49" s="30">
        <v>1</v>
      </c>
      <c r="AC49" s="30">
        <v>0.69</v>
      </c>
      <c r="AD49" s="31">
        <v>160977646</v>
      </c>
      <c r="AE49" s="32" t="s">
        <v>722</v>
      </c>
    </row>
    <row r="50" spans="1:31" s="26" customFormat="1" ht="29" x14ac:dyDescent="0.35">
      <c r="A50" s="43" t="s">
        <v>306</v>
      </c>
      <c r="B50" s="2" t="s">
        <v>4</v>
      </c>
      <c r="C50" s="26" t="s">
        <v>9</v>
      </c>
      <c r="D50" s="2" t="s">
        <v>300</v>
      </c>
      <c r="E50" s="66" t="s">
        <v>577</v>
      </c>
      <c r="F50" s="65">
        <v>45708</v>
      </c>
      <c r="G50" s="26" t="s">
        <v>150</v>
      </c>
      <c r="H50" s="67" t="s">
        <v>579</v>
      </c>
      <c r="I50" s="26" t="s">
        <v>1490</v>
      </c>
      <c r="J50" s="2" t="s">
        <v>580</v>
      </c>
      <c r="K50" s="88">
        <v>26892485</v>
      </c>
      <c r="L50" s="84">
        <v>5109572</v>
      </c>
      <c r="M50" s="85">
        <v>32002057</v>
      </c>
      <c r="N50" s="69" t="s">
        <v>301</v>
      </c>
      <c r="O50" s="3">
        <v>28560000</v>
      </c>
      <c r="P50" s="28">
        <f>+Tabla1513[[#This Row],[VALOR TOTAL DEL CONTRATO
(en pesos)
CON IVA
(inicial)]]+Tabla1513[[#This Row],[VALOR DE LAS ADICIONES
(en pesos)
CON IVA]]</f>
        <v>60562057</v>
      </c>
      <c r="Q50" s="37">
        <v>313</v>
      </c>
      <c r="R50" s="23" t="s">
        <v>302</v>
      </c>
      <c r="S50" s="4"/>
      <c r="T50" s="70" t="s">
        <v>302</v>
      </c>
      <c r="U50" s="89"/>
      <c r="V50" s="65">
        <v>45709</v>
      </c>
      <c r="W50" s="65">
        <v>46022</v>
      </c>
      <c r="X50" s="65">
        <v>46022</v>
      </c>
      <c r="Y50" s="64" t="s">
        <v>325</v>
      </c>
      <c r="Z50" s="71"/>
      <c r="AA50" s="70" t="s">
        <v>321</v>
      </c>
      <c r="AB50" s="30">
        <v>1</v>
      </c>
      <c r="AC50" s="30">
        <v>0.52639999999999998</v>
      </c>
      <c r="AD50" s="31">
        <v>31880100</v>
      </c>
      <c r="AE50" s="32" t="s">
        <v>723</v>
      </c>
    </row>
    <row r="51" spans="1:31" s="26" customFormat="1" ht="29" x14ac:dyDescent="0.35">
      <c r="A51" s="43" t="s">
        <v>306</v>
      </c>
      <c r="B51" s="2" t="s">
        <v>11</v>
      </c>
      <c r="C51" s="26" t="s">
        <v>19</v>
      </c>
      <c r="D51" s="2" t="s">
        <v>365</v>
      </c>
      <c r="E51" s="66" t="s">
        <v>636</v>
      </c>
      <c r="F51" s="65">
        <v>45713</v>
      </c>
      <c r="G51" s="26" t="s">
        <v>150</v>
      </c>
      <c r="H51" s="67" t="s">
        <v>637</v>
      </c>
      <c r="I51" s="26" t="s">
        <v>1491</v>
      </c>
      <c r="J51" s="2" t="s">
        <v>345</v>
      </c>
      <c r="K51" s="88">
        <v>5139200</v>
      </c>
      <c r="L51" s="84">
        <v>976448</v>
      </c>
      <c r="M51" s="85">
        <v>6115648</v>
      </c>
      <c r="N51" s="69" t="s">
        <v>302</v>
      </c>
      <c r="O51" s="3"/>
      <c r="P51" s="28">
        <f>+Tabla1513[[#This Row],[VALOR TOTAL DEL CONTRATO
(en pesos)
CON IVA
(inicial)]]+Tabla1513[[#This Row],[VALOR DE LAS ADICIONES
(en pesos)
CON IVA]]</f>
        <v>6115648</v>
      </c>
      <c r="Q51" s="37">
        <v>30</v>
      </c>
      <c r="R51" s="23" t="s">
        <v>302</v>
      </c>
      <c r="S51" s="4"/>
      <c r="T51" s="23" t="s">
        <v>302</v>
      </c>
      <c r="U51" s="23"/>
      <c r="V51" s="65">
        <v>45713</v>
      </c>
      <c r="W51" s="65">
        <v>45743</v>
      </c>
      <c r="X51" s="65">
        <v>45743</v>
      </c>
      <c r="Y51" s="64" t="s">
        <v>320</v>
      </c>
      <c r="Z51" s="71"/>
      <c r="AA51" s="71" t="s">
        <v>321</v>
      </c>
      <c r="AB51" s="61">
        <v>1</v>
      </c>
      <c r="AC51" s="61">
        <v>1</v>
      </c>
      <c r="AD51" s="62">
        <v>6115648</v>
      </c>
      <c r="AE51" s="32" t="s">
        <v>724</v>
      </c>
    </row>
    <row r="52" spans="1:31" s="26" customFormat="1" ht="29" x14ac:dyDescent="0.35">
      <c r="A52" s="43" t="s">
        <v>306</v>
      </c>
      <c r="B52" s="2" t="s">
        <v>327</v>
      </c>
      <c r="C52" s="26" t="s">
        <v>43</v>
      </c>
      <c r="D52" s="2" t="s">
        <v>300</v>
      </c>
      <c r="E52" s="66" t="s">
        <v>581</v>
      </c>
      <c r="F52" s="65">
        <v>45714</v>
      </c>
      <c r="G52" s="26" t="s">
        <v>150</v>
      </c>
      <c r="H52" s="67" t="s">
        <v>583</v>
      </c>
      <c r="I52" s="26" t="s">
        <v>1492</v>
      </c>
      <c r="J52" s="2" t="s">
        <v>375</v>
      </c>
      <c r="K52" s="88">
        <v>40000000</v>
      </c>
      <c r="L52" s="84">
        <v>0</v>
      </c>
      <c r="M52" s="85">
        <v>40000000</v>
      </c>
      <c r="N52" s="69" t="s">
        <v>302</v>
      </c>
      <c r="O52" s="3"/>
      <c r="P52" s="28">
        <f>+Tabla1513[[#This Row],[VALOR TOTAL DEL CONTRATO
(en pesos)
CON IVA
(inicial)]]+Tabla1513[[#This Row],[VALOR DE LAS ADICIONES
(en pesos)
CON IVA]]</f>
        <v>40000000</v>
      </c>
      <c r="Q52" s="37">
        <v>153</v>
      </c>
      <c r="R52" s="23" t="s">
        <v>302</v>
      </c>
      <c r="S52" s="4"/>
      <c r="T52" s="70" t="s">
        <v>302</v>
      </c>
      <c r="U52" s="89"/>
      <c r="V52" s="65">
        <v>45719</v>
      </c>
      <c r="W52" s="65">
        <v>45872</v>
      </c>
      <c r="X52" s="65">
        <v>45872</v>
      </c>
      <c r="Y52" s="64" t="s">
        <v>320</v>
      </c>
      <c r="Z52" s="71"/>
      <c r="AA52" s="71" t="s">
        <v>321</v>
      </c>
      <c r="AB52" s="61">
        <v>1</v>
      </c>
      <c r="AC52" s="61">
        <v>1</v>
      </c>
      <c r="AD52" s="62">
        <v>40000000</v>
      </c>
      <c r="AE52" s="32" t="s">
        <v>825</v>
      </c>
    </row>
    <row r="53" spans="1:31" s="26" customFormat="1" ht="43.5" x14ac:dyDescent="0.35">
      <c r="A53" s="43" t="s">
        <v>306</v>
      </c>
      <c r="B53" s="2" t="s">
        <v>11</v>
      </c>
      <c r="C53" s="26" t="s">
        <v>19</v>
      </c>
      <c r="D53" s="2" t="s">
        <v>300</v>
      </c>
      <c r="E53" s="66" t="s">
        <v>582</v>
      </c>
      <c r="F53" s="65">
        <v>45716</v>
      </c>
      <c r="G53" s="26" t="s">
        <v>142</v>
      </c>
      <c r="H53" s="67" t="s">
        <v>584</v>
      </c>
      <c r="I53" s="26" t="s">
        <v>1493</v>
      </c>
      <c r="J53" s="2" t="s">
        <v>399</v>
      </c>
      <c r="K53" s="88">
        <v>39615200.009999998</v>
      </c>
      <c r="L53" s="84">
        <v>0</v>
      </c>
      <c r="M53" s="85">
        <v>39615200</v>
      </c>
      <c r="N53" s="69" t="s">
        <v>302</v>
      </c>
      <c r="O53" s="3"/>
      <c r="P53" s="28">
        <f>+Tabla1513[[#This Row],[VALOR TOTAL DEL CONTRATO
(en pesos)
CON IVA
(inicial)]]+Tabla1513[[#This Row],[VALOR DE LAS ADICIONES
(en pesos)
CON IVA]]</f>
        <v>39615200</v>
      </c>
      <c r="Q53" s="37">
        <v>320</v>
      </c>
      <c r="R53" s="23" t="s">
        <v>302</v>
      </c>
      <c r="S53" s="4"/>
      <c r="T53" s="70" t="s">
        <v>302</v>
      </c>
      <c r="U53" s="89"/>
      <c r="V53" s="65">
        <v>45733</v>
      </c>
      <c r="W53" s="65">
        <v>46053</v>
      </c>
      <c r="X53" s="65">
        <v>46053</v>
      </c>
      <c r="Y53" s="64" t="s">
        <v>303</v>
      </c>
      <c r="Z53" s="71"/>
      <c r="AA53" s="75"/>
      <c r="AB53" s="30">
        <v>0.82</v>
      </c>
      <c r="AC53" s="30">
        <v>0.79</v>
      </c>
      <c r="AD53" s="31">
        <v>31176000</v>
      </c>
      <c r="AE53" s="32" t="s">
        <v>896</v>
      </c>
    </row>
    <row r="54" spans="1:31" s="26" customFormat="1" ht="29" x14ac:dyDescent="0.35">
      <c r="A54" s="43" t="s">
        <v>306</v>
      </c>
      <c r="B54" s="2" t="s">
        <v>327</v>
      </c>
      <c r="C54" s="26" t="s">
        <v>48</v>
      </c>
      <c r="D54" s="2" t="s">
        <v>300</v>
      </c>
      <c r="E54" s="66" t="s">
        <v>585</v>
      </c>
      <c r="F54" s="65">
        <v>45719</v>
      </c>
      <c r="G54" s="26" t="s">
        <v>150</v>
      </c>
      <c r="H54" s="67" t="s">
        <v>588</v>
      </c>
      <c r="I54" s="26" t="s">
        <v>1494</v>
      </c>
      <c r="J54" s="2" t="s">
        <v>377</v>
      </c>
      <c r="K54" s="88">
        <v>40000000</v>
      </c>
      <c r="L54" s="84">
        <v>0</v>
      </c>
      <c r="M54" s="85">
        <v>40000000</v>
      </c>
      <c r="N54" s="69" t="s">
        <v>302</v>
      </c>
      <c r="O54" s="3"/>
      <c r="P54" s="28">
        <f>+Tabla1513[[#This Row],[VALOR TOTAL DEL CONTRATO
(en pesos)
CON IVA
(inicial)]]+Tabla1513[[#This Row],[VALOR DE LAS ADICIONES
(en pesos)
CON IVA]]</f>
        <v>40000000</v>
      </c>
      <c r="Q54" s="37">
        <v>153</v>
      </c>
      <c r="R54" s="23" t="s">
        <v>302</v>
      </c>
      <c r="S54" s="4"/>
      <c r="T54" s="70" t="s">
        <v>302</v>
      </c>
      <c r="U54" s="89"/>
      <c r="V54" s="65">
        <v>45726</v>
      </c>
      <c r="W54" s="65">
        <v>45879</v>
      </c>
      <c r="X54" s="65">
        <v>45879</v>
      </c>
      <c r="Y54" s="64" t="s">
        <v>320</v>
      </c>
      <c r="Z54" s="71"/>
      <c r="AA54" s="71" t="s">
        <v>321</v>
      </c>
      <c r="AB54" s="30">
        <v>1</v>
      </c>
      <c r="AC54" s="30">
        <v>1</v>
      </c>
      <c r="AD54" s="31">
        <v>40000000</v>
      </c>
      <c r="AE54" s="32" t="s">
        <v>897</v>
      </c>
    </row>
    <row r="55" spans="1:31" s="26" customFormat="1" ht="43.5" x14ac:dyDescent="0.35">
      <c r="A55" s="43" t="s">
        <v>306</v>
      </c>
      <c r="B55" s="2" t="s">
        <v>322</v>
      </c>
      <c r="C55" s="26" t="s">
        <v>74</v>
      </c>
      <c r="D55" s="2" t="s">
        <v>300</v>
      </c>
      <c r="E55" s="66" t="s">
        <v>586</v>
      </c>
      <c r="F55" s="65">
        <v>45721</v>
      </c>
      <c r="G55" s="26" t="s">
        <v>150</v>
      </c>
      <c r="H55" s="67" t="s">
        <v>587</v>
      </c>
      <c r="I55" s="26" t="s">
        <v>1495</v>
      </c>
      <c r="J55" s="2" t="s">
        <v>369</v>
      </c>
      <c r="K55" s="88">
        <v>226550790</v>
      </c>
      <c r="L55" s="84">
        <v>43044650</v>
      </c>
      <c r="M55" s="85">
        <v>269595440</v>
      </c>
      <c r="N55" s="69" t="s">
        <v>302</v>
      </c>
      <c r="O55" s="3"/>
      <c r="P55" s="28">
        <f>+Tabla1513[[#This Row],[VALOR TOTAL DEL CONTRATO
(en pesos)
CON IVA
(inicial)]]+Tabla1513[[#This Row],[VALOR DE LAS ADICIONES
(en pesos)
CON IVA]]</f>
        <v>269595440</v>
      </c>
      <c r="Q55" s="37">
        <v>301</v>
      </c>
      <c r="R55" s="23" t="s">
        <v>302</v>
      </c>
      <c r="S55" s="4"/>
      <c r="T55" s="70" t="s">
        <v>302</v>
      </c>
      <c r="U55" s="89"/>
      <c r="V55" s="65">
        <v>45721</v>
      </c>
      <c r="W55" s="65">
        <v>46022</v>
      </c>
      <c r="X55" s="65">
        <v>46022</v>
      </c>
      <c r="Y55" s="64" t="s">
        <v>325</v>
      </c>
      <c r="Z55" s="71"/>
      <c r="AA55" s="70" t="s">
        <v>321</v>
      </c>
      <c r="AB55" s="61">
        <v>1</v>
      </c>
      <c r="AC55" s="61">
        <v>0.71</v>
      </c>
      <c r="AD55" s="62">
        <v>192169370</v>
      </c>
      <c r="AE55" s="32" t="s">
        <v>725</v>
      </c>
    </row>
    <row r="56" spans="1:31" s="26" customFormat="1" ht="43.5" x14ac:dyDescent="0.35">
      <c r="A56" s="43" t="s">
        <v>306</v>
      </c>
      <c r="B56" s="2" t="s">
        <v>11</v>
      </c>
      <c r="C56" s="26" t="s">
        <v>20</v>
      </c>
      <c r="D56" s="2" t="s">
        <v>300</v>
      </c>
      <c r="E56" s="66" t="s">
        <v>589</v>
      </c>
      <c r="F56" s="65">
        <v>45726</v>
      </c>
      <c r="G56" s="26" t="s">
        <v>150</v>
      </c>
      <c r="H56" s="67" t="s">
        <v>590</v>
      </c>
      <c r="I56" s="26" t="s">
        <v>1496</v>
      </c>
      <c r="J56" s="2" t="s">
        <v>370</v>
      </c>
      <c r="K56" s="88">
        <v>100000000</v>
      </c>
      <c r="L56" s="84">
        <v>19000000</v>
      </c>
      <c r="M56" s="85">
        <v>119000000</v>
      </c>
      <c r="N56" s="69" t="s">
        <v>302</v>
      </c>
      <c r="O56" s="3"/>
      <c r="P56" s="28">
        <f>+Tabla1513[[#This Row],[VALOR TOTAL DEL CONTRATO
(en pesos)
CON IVA
(inicial)]]+Tabla1513[[#This Row],[VALOR DE LAS ADICIONES
(en pesos)
CON IVA]]</f>
        <v>119000000</v>
      </c>
      <c r="Q56" s="37">
        <v>296</v>
      </c>
      <c r="R56" s="23" t="s">
        <v>302</v>
      </c>
      <c r="S56" s="4"/>
      <c r="T56" s="23" t="s">
        <v>302</v>
      </c>
      <c r="U56" s="23"/>
      <c r="V56" s="65">
        <v>45726</v>
      </c>
      <c r="W56" s="65">
        <v>46022</v>
      </c>
      <c r="X56" s="65">
        <v>46022</v>
      </c>
      <c r="Y56" s="64" t="s">
        <v>325</v>
      </c>
      <c r="Z56" s="71"/>
      <c r="AA56" s="70" t="s">
        <v>321</v>
      </c>
      <c r="AB56" s="61">
        <v>0.97</v>
      </c>
      <c r="AC56" s="61">
        <v>0.9</v>
      </c>
      <c r="AD56" s="73">
        <v>107235184</v>
      </c>
      <c r="AE56" s="32" t="s">
        <v>726</v>
      </c>
    </row>
    <row r="57" spans="1:31" s="26" customFormat="1" ht="105.5" customHeight="1" x14ac:dyDescent="0.35">
      <c r="A57" s="43" t="s">
        <v>306</v>
      </c>
      <c r="B57" s="2" t="s">
        <v>322</v>
      </c>
      <c r="C57" s="26" t="s">
        <v>74</v>
      </c>
      <c r="D57" s="2" t="s">
        <v>300</v>
      </c>
      <c r="E57" s="66" t="s">
        <v>591</v>
      </c>
      <c r="F57" s="65">
        <v>45723</v>
      </c>
      <c r="G57" s="26" t="s">
        <v>150</v>
      </c>
      <c r="H57" s="67" t="s">
        <v>587</v>
      </c>
      <c r="I57" s="26" t="s">
        <v>1497</v>
      </c>
      <c r="J57" s="2" t="s">
        <v>592</v>
      </c>
      <c r="K57" s="88">
        <v>207500000</v>
      </c>
      <c r="L57" s="84">
        <v>39425000</v>
      </c>
      <c r="M57" s="85">
        <v>246925000</v>
      </c>
      <c r="N57" s="69" t="s">
        <v>302</v>
      </c>
      <c r="O57" s="3"/>
      <c r="P57" s="28">
        <f>+Tabla1513[[#This Row],[VALOR TOTAL DEL CONTRATO
(en pesos)
CON IVA
(inicial)]]+Tabla1513[[#This Row],[VALOR DE LAS ADICIONES
(en pesos)
CON IVA]]</f>
        <v>246925000</v>
      </c>
      <c r="Q57" s="37">
        <v>285</v>
      </c>
      <c r="R57" s="23" t="s">
        <v>302</v>
      </c>
      <c r="S57" s="4"/>
      <c r="T57" s="23" t="s">
        <v>302</v>
      </c>
      <c r="U57" s="23"/>
      <c r="V57" s="65">
        <v>45737</v>
      </c>
      <c r="W57" s="65">
        <v>46022</v>
      </c>
      <c r="X57" s="65">
        <v>46022</v>
      </c>
      <c r="Y57" s="64" t="s">
        <v>325</v>
      </c>
      <c r="Z57" s="71"/>
      <c r="AA57" s="70" t="s">
        <v>321</v>
      </c>
      <c r="AB57" s="61">
        <v>1</v>
      </c>
      <c r="AC57" s="61">
        <v>0.56000000000000005</v>
      </c>
      <c r="AD57" s="62">
        <v>137280982</v>
      </c>
      <c r="AE57" s="32" t="s">
        <v>727</v>
      </c>
    </row>
    <row r="58" spans="1:31" s="26" customFormat="1" ht="43.5" x14ac:dyDescent="0.35">
      <c r="A58" s="43" t="s">
        <v>306</v>
      </c>
      <c r="B58" s="2" t="s">
        <v>322</v>
      </c>
      <c r="C58" s="26" t="s">
        <v>74</v>
      </c>
      <c r="D58" s="2" t="s">
        <v>300</v>
      </c>
      <c r="E58" s="66" t="s">
        <v>593</v>
      </c>
      <c r="F58" s="65">
        <v>45723</v>
      </c>
      <c r="G58" s="26" t="s">
        <v>150</v>
      </c>
      <c r="H58" s="67" t="s">
        <v>594</v>
      </c>
      <c r="I58" s="26" t="s">
        <v>1498</v>
      </c>
      <c r="J58" s="2" t="s">
        <v>394</v>
      </c>
      <c r="K58" s="88">
        <v>35000000</v>
      </c>
      <c r="L58" s="84">
        <v>6650000</v>
      </c>
      <c r="M58" s="85">
        <v>41650000</v>
      </c>
      <c r="N58" s="69" t="s">
        <v>302</v>
      </c>
      <c r="O58" s="3"/>
      <c r="P58" s="28">
        <f>+Tabla1513[[#This Row],[VALOR TOTAL DEL CONTRATO
(en pesos)
CON IVA
(inicial)]]+Tabla1513[[#This Row],[VALOR DE LAS ADICIONES
(en pesos)
CON IVA]]</f>
        <v>41650000</v>
      </c>
      <c r="Q58" s="37">
        <v>285</v>
      </c>
      <c r="R58" s="23" t="s">
        <v>302</v>
      </c>
      <c r="S58" s="4"/>
      <c r="T58" s="23" t="s">
        <v>302</v>
      </c>
      <c r="U58" s="23"/>
      <c r="V58" s="65">
        <v>45737</v>
      </c>
      <c r="W58" s="65">
        <v>46022</v>
      </c>
      <c r="X58" s="65">
        <v>46022</v>
      </c>
      <c r="Y58" s="64" t="s">
        <v>325</v>
      </c>
      <c r="Z58" s="71"/>
      <c r="AA58" s="70" t="s">
        <v>321</v>
      </c>
      <c r="AB58" s="61">
        <v>1</v>
      </c>
      <c r="AC58" s="61">
        <v>0.4</v>
      </c>
      <c r="AD58" s="62">
        <v>16508870</v>
      </c>
      <c r="AE58" s="32" t="s">
        <v>728</v>
      </c>
    </row>
    <row r="59" spans="1:31" s="26" customFormat="1" ht="43.5" x14ac:dyDescent="0.35">
      <c r="A59" s="43" t="s">
        <v>306</v>
      </c>
      <c r="B59" s="2" t="s">
        <v>322</v>
      </c>
      <c r="C59" s="26" t="s">
        <v>74</v>
      </c>
      <c r="D59" s="2" t="s">
        <v>300</v>
      </c>
      <c r="E59" s="66" t="s">
        <v>595</v>
      </c>
      <c r="F59" s="65">
        <v>45726</v>
      </c>
      <c r="G59" s="26" t="s">
        <v>150</v>
      </c>
      <c r="H59" s="67" t="s">
        <v>596</v>
      </c>
      <c r="I59" s="26" t="s">
        <v>1499</v>
      </c>
      <c r="J59" s="2" t="s">
        <v>597</v>
      </c>
      <c r="K59" s="88">
        <v>35000000</v>
      </c>
      <c r="L59" s="84">
        <v>6650000</v>
      </c>
      <c r="M59" s="85">
        <v>41650000</v>
      </c>
      <c r="N59" s="69" t="s">
        <v>302</v>
      </c>
      <c r="O59" s="3"/>
      <c r="P59" s="28">
        <f>+Tabla1513[[#This Row],[VALOR TOTAL DEL CONTRATO
(en pesos)
CON IVA
(inicial)]]+Tabla1513[[#This Row],[VALOR DE LAS ADICIONES
(en pesos)
CON IVA]]</f>
        <v>41650000</v>
      </c>
      <c r="Q59" s="37">
        <v>296</v>
      </c>
      <c r="R59" s="23" t="s">
        <v>302</v>
      </c>
      <c r="S59" s="4"/>
      <c r="T59" s="23" t="s">
        <v>302</v>
      </c>
      <c r="U59" s="23"/>
      <c r="V59" s="65">
        <v>45726</v>
      </c>
      <c r="W59" s="65">
        <v>46022</v>
      </c>
      <c r="X59" s="65">
        <v>46022</v>
      </c>
      <c r="Y59" s="64" t="s">
        <v>325</v>
      </c>
      <c r="Z59" s="71"/>
      <c r="AA59" s="70" t="s">
        <v>321</v>
      </c>
      <c r="AB59" s="30">
        <v>1</v>
      </c>
      <c r="AC59" s="30">
        <v>0.28000000000000003</v>
      </c>
      <c r="AD59" s="31">
        <v>11662000</v>
      </c>
      <c r="AE59" s="32" t="s">
        <v>729</v>
      </c>
    </row>
    <row r="60" spans="1:31" s="26" customFormat="1" ht="43.5" x14ac:dyDescent="0.35">
      <c r="A60" s="43" t="s">
        <v>306</v>
      </c>
      <c r="B60" s="2" t="s">
        <v>11</v>
      </c>
      <c r="C60" s="26" t="s">
        <v>20</v>
      </c>
      <c r="D60" s="2" t="s">
        <v>300</v>
      </c>
      <c r="E60" s="66" t="s">
        <v>598</v>
      </c>
      <c r="F60" s="65">
        <v>45727</v>
      </c>
      <c r="G60" s="26" t="s">
        <v>150</v>
      </c>
      <c r="H60" s="67" t="s">
        <v>599</v>
      </c>
      <c r="I60" s="26" t="s">
        <v>1500</v>
      </c>
      <c r="J60" s="2" t="s">
        <v>600</v>
      </c>
      <c r="K60" s="88">
        <v>4580000</v>
      </c>
      <c r="L60" s="84">
        <v>0</v>
      </c>
      <c r="M60" s="85">
        <v>4580000</v>
      </c>
      <c r="N60" s="69" t="s">
        <v>302</v>
      </c>
      <c r="O60" s="3"/>
      <c r="P60" s="28">
        <f>+Tabla1513[[#This Row],[VALOR TOTAL DEL CONTRATO
(en pesos)
CON IVA
(inicial)]]+Tabla1513[[#This Row],[VALOR DE LAS ADICIONES
(en pesos)
CON IVA]]</f>
        <v>4580000</v>
      </c>
      <c r="Q60" s="37">
        <v>50</v>
      </c>
      <c r="R60" s="23" t="s">
        <v>302</v>
      </c>
      <c r="S60" s="4"/>
      <c r="T60" s="23" t="s">
        <v>302</v>
      </c>
      <c r="U60" s="23"/>
      <c r="V60" s="65">
        <v>45727</v>
      </c>
      <c r="W60" s="65">
        <v>45777</v>
      </c>
      <c r="X60" s="65">
        <v>45777</v>
      </c>
      <c r="Y60" s="64" t="s">
        <v>320</v>
      </c>
      <c r="Z60" s="71"/>
      <c r="AA60" s="71" t="s">
        <v>321</v>
      </c>
      <c r="AB60" s="61">
        <v>1</v>
      </c>
      <c r="AC60" s="61">
        <v>1</v>
      </c>
      <c r="AD60" s="73">
        <v>4580000</v>
      </c>
      <c r="AE60" s="32" t="s">
        <v>730</v>
      </c>
    </row>
    <row r="61" spans="1:31" s="26" customFormat="1" ht="29" x14ac:dyDescent="0.35">
      <c r="A61" s="43" t="s">
        <v>306</v>
      </c>
      <c r="B61" s="2" t="s">
        <v>4</v>
      </c>
      <c r="C61" s="26" t="s">
        <v>9</v>
      </c>
      <c r="D61" s="2" t="s">
        <v>300</v>
      </c>
      <c r="E61" s="66" t="s">
        <v>601</v>
      </c>
      <c r="F61" s="65">
        <v>45728</v>
      </c>
      <c r="G61" s="26" t="s">
        <v>150</v>
      </c>
      <c r="H61" s="67" t="s">
        <v>603</v>
      </c>
      <c r="I61" s="26" t="s">
        <v>1501</v>
      </c>
      <c r="J61" s="2" t="s">
        <v>602</v>
      </c>
      <c r="K61" s="88">
        <v>61441380</v>
      </c>
      <c r="L61" s="84">
        <v>11673862</v>
      </c>
      <c r="M61" s="85">
        <v>73115242</v>
      </c>
      <c r="N61" s="69" t="s">
        <v>302</v>
      </c>
      <c r="O61" s="3"/>
      <c r="P61" s="28">
        <f>+Tabla1513[[#This Row],[VALOR TOTAL DEL CONTRATO
(en pesos)
CON IVA
(inicial)]]+Tabla1513[[#This Row],[VALOR DE LAS ADICIONES
(en pesos)
CON IVA]]</f>
        <v>73115242</v>
      </c>
      <c r="Q61" s="37">
        <v>105</v>
      </c>
      <c r="R61" s="23" t="s">
        <v>302</v>
      </c>
      <c r="S61" s="4"/>
      <c r="T61" s="23" t="s">
        <v>302</v>
      </c>
      <c r="U61" s="23"/>
      <c r="V61" s="65">
        <v>45733</v>
      </c>
      <c r="W61" s="65">
        <v>45838</v>
      </c>
      <c r="X61" s="65">
        <v>45838</v>
      </c>
      <c r="Y61" s="64" t="s">
        <v>323</v>
      </c>
      <c r="Z61" s="71">
        <v>45854</v>
      </c>
      <c r="AA61" s="71" t="s">
        <v>321</v>
      </c>
      <c r="AB61" s="30">
        <v>1</v>
      </c>
      <c r="AC61" s="30">
        <v>0.87</v>
      </c>
      <c r="AD61" s="31">
        <v>63681017</v>
      </c>
      <c r="AE61" s="32" t="s">
        <v>731</v>
      </c>
    </row>
    <row r="62" spans="1:31" s="26" customFormat="1" ht="29" x14ac:dyDescent="0.35">
      <c r="A62" s="43" t="s">
        <v>306</v>
      </c>
      <c r="B62" s="2" t="s">
        <v>333</v>
      </c>
      <c r="C62" s="26" t="s">
        <v>63</v>
      </c>
      <c r="D62" s="2" t="s">
        <v>300</v>
      </c>
      <c r="E62" s="66" t="s">
        <v>604</v>
      </c>
      <c r="F62" s="65">
        <v>45736</v>
      </c>
      <c r="G62" s="26" t="s">
        <v>150</v>
      </c>
      <c r="H62" s="67" t="s">
        <v>605</v>
      </c>
      <c r="I62" s="26" t="s">
        <v>1502</v>
      </c>
      <c r="J62" s="2" t="s">
        <v>415</v>
      </c>
      <c r="K62" s="88">
        <v>56000000</v>
      </c>
      <c r="L62" s="84">
        <v>0</v>
      </c>
      <c r="M62" s="85">
        <v>56000000</v>
      </c>
      <c r="N62" s="69" t="s">
        <v>302</v>
      </c>
      <c r="O62" s="3"/>
      <c r="P62" s="28">
        <f>+Tabla1513[[#This Row],[VALOR TOTAL DEL CONTRATO
(en pesos)
CON IVA
(inicial)]]+Tabla1513[[#This Row],[VALOR DE LAS ADICIONES
(en pesos)
CON IVA]]</f>
        <v>56000000</v>
      </c>
      <c r="Q62" s="37">
        <v>274</v>
      </c>
      <c r="R62" s="23" t="s">
        <v>302</v>
      </c>
      <c r="S62" s="4"/>
      <c r="T62" s="23" t="s">
        <v>302</v>
      </c>
      <c r="U62" s="23"/>
      <c r="V62" s="65">
        <v>45748</v>
      </c>
      <c r="W62" s="65">
        <v>46022</v>
      </c>
      <c r="X62" s="65">
        <v>46022</v>
      </c>
      <c r="Y62" s="64" t="s">
        <v>325</v>
      </c>
      <c r="Z62" s="71"/>
      <c r="AA62" s="70" t="s">
        <v>321</v>
      </c>
      <c r="AB62" s="30">
        <v>1</v>
      </c>
      <c r="AC62" s="30">
        <v>0.9</v>
      </c>
      <c r="AD62" s="31">
        <v>50400000</v>
      </c>
      <c r="AE62" s="32" t="s">
        <v>732</v>
      </c>
    </row>
    <row r="63" spans="1:31" s="26" customFormat="1" ht="43.5" x14ac:dyDescent="0.35">
      <c r="A63" s="43" t="s">
        <v>306</v>
      </c>
      <c r="B63" s="2" t="s">
        <v>11</v>
      </c>
      <c r="C63" s="26" t="s">
        <v>20</v>
      </c>
      <c r="D63" s="2" t="s">
        <v>300</v>
      </c>
      <c r="E63" s="66" t="s">
        <v>606</v>
      </c>
      <c r="F63" s="65">
        <v>45736</v>
      </c>
      <c r="G63" s="26" t="s">
        <v>150</v>
      </c>
      <c r="H63" s="67" t="s">
        <v>608</v>
      </c>
      <c r="I63" s="26" t="s">
        <v>1503</v>
      </c>
      <c r="J63" s="2" t="s">
        <v>607</v>
      </c>
      <c r="K63" s="88">
        <v>31770000</v>
      </c>
      <c r="L63" s="84">
        <v>6036300</v>
      </c>
      <c r="M63" s="85">
        <v>37806300</v>
      </c>
      <c r="N63" s="69" t="s">
        <v>301</v>
      </c>
      <c r="O63" s="3">
        <v>11899997</v>
      </c>
      <c r="P63" s="28">
        <f>+Tabla1513[[#This Row],[VALOR TOTAL DEL CONTRATO
(en pesos)
CON IVA
(inicial)]]+Tabla1513[[#This Row],[VALOR DE LAS ADICIONES
(en pesos)
CON IVA]]</f>
        <v>49706297</v>
      </c>
      <c r="Q63" s="37">
        <v>272</v>
      </c>
      <c r="R63" s="23" t="s">
        <v>302</v>
      </c>
      <c r="S63" s="4"/>
      <c r="T63" s="23" t="s">
        <v>302</v>
      </c>
      <c r="U63" s="23"/>
      <c r="V63" s="65">
        <v>45750</v>
      </c>
      <c r="W63" s="65">
        <v>46022</v>
      </c>
      <c r="X63" s="65">
        <v>46022</v>
      </c>
      <c r="Y63" s="64" t="s">
        <v>325</v>
      </c>
      <c r="Z63" s="71"/>
      <c r="AA63" s="70" t="s">
        <v>321</v>
      </c>
      <c r="AB63" s="30">
        <v>0.97</v>
      </c>
      <c r="AC63" s="30">
        <v>0.86</v>
      </c>
      <c r="AD63" s="31">
        <v>42609735</v>
      </c>
      <c r="AE63" s="32" t="s">
        <v>733</v>
      </c>
    </row>
    <row r="64" spans="1:31" s="26" customFormat="1" ht="29" x14ac:dyDescent="0.35">
      <c r="A64" s="43" t="s">
        <v>306</v>
      </c>
      <c r="B64" s="2" t="s">
        <v>322</v>
      </c>
      <c r="C64" s="26" t="s">
        <v>66</v>
      </c>
      <c r="D64" s="2" t="s">
        <v>300</v>
      </c>
      <c r="E64" s="66" t="s">
        <v>609</v>
      </c>
      <c r="F64" s="65">
        <v>45736</v>
      </c>
      <c r="G64" s="26" t="s">
        <v>150</v>
      </c>
      <c r="H64" s="67" t="s">
        <v>613</v>
      </c>
      <c r="I64" s="26" t="s">
        <v>1504</v>
      </c>
      <c r="J64" s="2" t="s">
        <v>393</v>
      </c>
      <c r="K64" s="88">
        <v>29456000</v>
      </c>
      <c r="L64" s="84">
        <v>5596640</v>
      </c>
      <c r="M64" s="85">
        <v>35052640</v>
      </c>
      <c r="N64" s="69" t="s">
        <v>302</v>
      </c>
      <c r="O64" s="3"/>
      <c r="P64" s="28">
        <f>+Tabla1513[[#This Row],[VALOR TOTAL DEL CONTRATO
(en pesos)
CON IVA
(inicial)]]+Tabla1513[[#This Row],[VALOR DE LAS ADICIONES
(en pesos)
CON IVA]]</f>
        <v>35052640</v>
      </c>
      <c r="Q64" s="37">
        <v>265</v>
      </c>
      <c r="R64" s="23" t="s">
        <v>302</v>
      </c>
      <c r="S64" s="4"/>
      <c r="T64" s="23" t="s">
        <v>302</v>
      </c>
      <c r="U64" s="23"/>
      <c r="V64" s="65">
        <v>45757</v>
      </c>
      <c r="W64" s="65">
        <v>46022</v>
      </c>
      <c r="X64" s="65">
        <v>46022</v>
      </c>
      <c r="Y64" s="64" t="s">
        <v>325</v>
      </c>
      <c r="Z64" s="71"/>
      <c r="AA64" s="70" t="s">
        <v>321</v>
      </c>
      <c r="AB64" s="30">
        <v>0.95</v>
      </c>
      <c r="AC64" s="30">
        <v>0.5</v>
      </c>
      <c r="AD64" s="31">
        <v>17526320</v>
      </c>
      <c r="AE64" s="32" t="s">
        <v>734</v>
      </c>
    </row>
    <row r="65" spans="1:33" s="26" customFormat="1" ht="29" x14ac:dyDescent="0.35">
      <c r="A65" s="43" t="s">
        <v>306</v>
      </c>
      <c r="B65" s="2" t="s">
        <v>11</v>
      </c>
      <c r="C65" s="26" t="s">
        <v>19</v>
      </c>
      <c r="D65" s="2" t="s">
        <v>365</v>
      </c>
      <c r="E65" s="66" t="s">
        <v>610</v>
      </c>
      <c r="F65" s="65">
        <v>45737</v>
      </c>
      <c r="G65" s="26" t="s">
        <v>113</v>
      </c>
      <c r="H65" s="67" t="s">
        <v>611</v>
      </c>
      <c r="I65" s="26" t="s">
        <v>1505</v>
      </c>
      <c r="J65" s="2" t="s">
        <v>612</v>
      </c>
      <c r="K65" s="88">
        <v>2299000</v>
      </c>
      <c r="L65" s="84">
        <v>436810</v>
      </c>
      <c r="M65" s="85">
        <v>2735810</v>
      </c>
      <c r="N65" s="69" t="s">
        <v>302</v>
      </c>
      <c r="O65" s="3"/>
      <c r="P65" s="28">
        <f>+Tabla1513[[#This Row],[VALOR TOTAL DEL CONTRATO
(en pesos)
CON IVA
(inicial)]]+Tabla1513[[#This Row],[VALOR DE LAS ADICIONES
(en pesos)
CON IVA]]</f>
        <v>2735810</v>
      </c>
      <c r="Q65" s="37">
        <v>6</v>
      </c>
      <c r="R65" s="23" t="s">
        <v>302</v>
      </c>
      <c r="S65" s="4"/>
      <c r="T65" s="23" t="s">
        <v>302</v>
      </c>
      <c r="U65" s="23"/>
      <c r="V65" s="65">
        <v>45737</v>
      </c>
      <c r="W65" s="65">
        <v>45743</v>
      </c>
      <c r="X65" s="65">
        <v>45743</v>
      </c>
      <c r="Y65" s="64" t="s">
        <v>320</v>
      </c>
      <c r="Z65" s="71"/>
      <c r="AA65" s="71" t="s">
        <v>321</v>
      </c>
      <c r="AB65" s="30">
        <v>1</v>
      </c>
      <c r="AC65" s="30">
        <v>1</v>
      </c>
      <c r="AD65" s="31">
        <v>2735810</v>
      </c>
      <c r="AE65" s="32" t="s">
        <v>735</v>
      </c>
    </row>
    <row r="66" spans="1:33" s="26" customFormat="1" ht="29" x14ac:dyDescent="0.35">
      <c r="A66" s="43" t="s">
        <v>306</v>
      </c>
      <c r="B66" s="2" t="s">
        <v>333</v>
      </c>
      <c r="C66" s="26" t="s">
        <v>63</v>
      </c>
      <c r="D66" s="2" t="s">
        <v>300</v>
      </c>
      <c r="E66" s="66" t="s">
        <v>614</v>
      </c>
      <c r="F66" s="65">
        <v>45743</v>
      </c>
      <c r="G66" s="26" t="s">
        <v>150</v>
      </c>
      <c r="H66" s="67" t="s">
        <v>616</v>
      </c>
      <c r="I66" s="26" t="s">
        <v>1506</v>
      </c>
      <c r="J66" s="2" t="s">
        <v>617</v>
      </c>
      <c r="K66" s="88">
        <v>26000000</v>
      </c>
      <c r="L66" s="84">
        <v>0</v>
      </c>
      <c r="M66" s="85">
        <v>26000000</v>
      </c>
      <c r="N66" s="69" t="s">
        <v>302</v>
      </c>
      <c r="O66" s="3"/>
      <c r="P66" s="28">
        <f>+Tabla1513[[#This Row],[VALOR TOTAL DEL CONTRATO
(en pesos)
CON IVA
(inicial)]]+Tabla1513[[#This Row],[VALOR DE LAS ADICIONES
(en pesos)
CON IVA]]</f>
        <v>26000000</v>
      </c>
      <c r="Q66" s="37">
        <v>274</v>
      </c>
      <c r="R66" s="23" t="s">
        <v>302</v>
      </c>
      <c r="S66" s="4"/>
      <c r="T66" s="23" t="s">
        <v>302</v>
      </c>
      <c r="U66" s="23"/>
      <c r="V66" s="65">
        <v>45748</v>
      </c>
      <c r="W66" s="65">
        <v>46022</v>
      </c>
      <c r="X66" s="65">
        <v>46022</v>
      </c>
      <c r="Y66" s="64" t="s">
        <v>325</v>
      </c>
      <c r="Z66" s="71"/>
      <c r="AA66" s="70" t="s">
        <v>321</v>
      </c>
      <c r="AB66" s="30">
        <v>1</v>
      </c>
      <c r="AC66" s="30">
        <v>0.9</v>
      </c>
      <c r="AD66" s="31">
        <v>23400000</v>
      </c>
      <c r="AE66" s="32" t="s">
        <v>898</v>
      </c>
    </row>
    <row r="67" spans="1:33" s="26" customFormat="1" ht="43.5" x14ac:dyDescent="0.35">
      <c r="A67" s="43" t="s">
        <v>306</v>
      </c>
      <c r="B67" s="2" t="s">
        <v>11</v>
      </c>
      <c r="C67" s="26" t="s">
        <v>18</v>
      </c>
      <c r="D67" s="2" t="s">
        <v>300</v>
      </c>
      <c r="E67" s="66" t="s">
        <v>615</v>
      </c>
      <c r="F67" s="65">
        <v>45737</v>
      </c>
      <c r="G67" s="26" t="s">
        <v>150</v>
      </c>
      <c r="H67" s="67" t="s">
        <v>618</v>
      </c>
      <c r="I67" s="26" t="s">
        <v>1507</v>
      </c>
      <c r="J67" s="2" t="s">
        <v>619</v>
      </c>
      <c r="K67" s="88">
        <v>20000000</v>
      </c>
      <c r="L67" s="84">
        <v>0</v>
      </c>
      <c r="M67" s="85">
        <v>20000000</v>
      </c>
      <c r="N67" s="69" t="s">
        <v>302</v>
      </c>
      <c r="O67" s="3"/>
      <c r="P67" s="28">
        <f>+Tabla1513[[#This Row],[VALOR TOTAL DEL CONTRATO
(en pesos)
CON IVA
(inicial)]]+Tabla1513[[#This Row],[VALOR DE LAS ADICIONES
(en pesos)
CON IVA]]</f>
        <v>20000000</v>
      </c>
      <c r="Q67" s="37">
        <v>274</v>
      </c>
      <c r="R67" s="23" t="s">
        <v>302</v>
      </c>
      <c r="S67" s="4"/>
      <c r="T67" s="23" t="s">
        <v>302</v>
      </c>
      <c r="U67" s="23"/>
      <c r="V67" s="65">
        <v>45748</v>
      </c>
      <c r="W67" s="65">
        <v>46022</v>
      </c>
      <c r="X67" s="65">
        <v>46022</v>
      </c>
      <c r="Y67" s="64" t="s">
        <v>325</v>
      </c>
      <c r="Z67" s="71"/>
      <c r="AA67" s="70" t="s">
        <v>321</v>
      </c>
      <c r="AB67" s="30">
        <v>1</v>
      </c>
      <c r="AC67" s="30">
        <v>1</v>
      </c>
      <c r="AD67" s="31">
        <v>20000000</v>
      </c>
      <c r="AE67" s="32" t="s">
        <v>826</v>
      </c>
    </row>
    <row r="68" spans="1:33" s="26" customFormat="1" ht="29" x14ac:dyDescent="0.35">
      <c r="A68" s="43" t="s">
        <v>306</v>
      </c>
      <c r="B68" s="2" t="s">
        <v>333</v>
      </c>
      <c r="C68" s="26" t="s">
        <v>63</v>
      </c>
      <c r="D68" s="2" t="s">
        <v>300</v>
      </c>
      <c r="E68" s="66" t="s">
        <v>621</v>
      </c>
      <c r="F68" s="65">
        <v>45741</v>
      </c>
      <c r="G68" s="26" t="s">
        <v>150</v>
      </c>
      <c r="H68" s="67" t="s">
        <v>624</v>
      </c>
      <c r="I68" s="26" t="s">
        <v>1508</v>
      </c>
      <c r="J68" s="2" t="s">
        <v>417</v>
      </c>
      <c r="K68" s="88">
        <v>44000000</v>
      </c>
      <c r="L68" s="84">
        <v>0</v>
      </c>
      <c r="M68" s="85">
        <v>44000000</v>
      </c>
      <c r="N68" s="69" t="s">
        <v>302</v>
      </c>
      <c r="O68" s="3"/>
      <c r="P68" s="28">
        <f>+Tabla1513[[#This Row],[VALOR TOTAL DEL CONTRATO
(en pesos)
CON IVA
(inicial)]]+Tabla1513[[#This Row],[VALOR DE LAS ADICIONES
(en pesos)
CON IVA]]</f>
        <v>44000000</v>
      </c>
      <c r="Q68" s="37">
        <v>274</v>
      </c>
      <c r="R68" s="23" t="s">
        <v>302</v>
      </c>
      <c r="S68" s="4"/>
      <c r="T68" s="23" t="s">
        <v>302</v>
      </c>
      <c r="U68" s="23"/>
      <c r="V68" s="65">
        <v>45748</v>
      </c>
      <c r="W68" s="65">
        <v>46022</v>
      </c>
      <c r="X68" s="65">
        <v>46022</v>
      </c>
      <c r="Y68" s="64" t="s">
        <v>325</v>
      </c>
      <c r="Z68" s="71"/>
      <c r="AA68" s="70" t="s">
        <v>321</v>
      </c>
      <c r="AB68" s="30">
        <v>1</v>
      </c>
      <c r="AC68" s="30">
        <v>0.9</v>
      </c>
      <c r="AD68" s="31">
        <v>39600000</v>
      </c>
      <c r="AE68" s="32" t="s">
        <v>736</v>
      </c>
    </row>
    <row r="69" spans="1:33" s="26" customFormat="1" ht="29" x14ac:dyDescent="0.35">
      <c r="A69" s="43" t="s">
        <v>306</v>
      </c>
      <c r="B69" s="2" t="s">
        <v>333</v>
      </c>
      <c r="C69" s="26" t="s">
        <v>63</v>
      </c>
      <c r="D69" s="2" t="s">
        <v>300</v>
      </c>
      <c r="E69" s="66" t="s">
        <v>620</v>
      </c>
      <c r="F69" s="65">
        <v>45742</v>
      </c>
      <c r="G69" s="26" t="s">
        <v>150</v>
      </c>
      <c r="H69" s="67" t="s">
        <v>622</v>
      </c>
      <c r="I69" s="26" t="s">
        <v>1509</v>
      </c>
      <c r="J69" s="2" t="s">
        <v>623</v>
      </c>
      <c r="K69" s="88">
        <v>60966667</v>
      </c>
      <c r="L69" s="84">
        <v>0</v>
      </c>
      <c r="M69" s="85">
        <v>60966667</v>
      </c>
      <c r="N69" s="69" t="s">
        <v>302</v>
      </c>
      <c r="O69" s="3"/>
      <c r="P69" s="28">
        <f>+Tabla1513[[#This Row],[VALOR TOTAL DEL CONTRATO
(en pesos)
CON IVA
(inicial)]]+Tabla1513[[#This Row],[VALOR DE LAS ADICIONES
(en pesos)
CON IVA]]</f>
        <v>60966667</v>
      </c>
      <c r="Q69" s="37">
        <v>274</v>
      </c>
      <c r="R69" s="23" t="s">
        <v>302</v>
      </c>
      <c r="S69" s="4"/>
      <c r="T69" s="23" t="s">
        <v>302</v>
      </c>
      <c r="U69" s="23"/>
      <c r="V69" s="65">
        <v>45748</v>
      </c>
      <c r="W69" s="65">
        <v>46022</v>
      </c>
      <c r="X69" s="65">
        <v>46022</v>
      </c>
      <c r="Y69" s="64" t="s">
        <v>325</v>
      </c>
      <c r="Z69" s="71"/>
      <c r="AA69" s="70" t="s">
        <v>321</v>
      </c>
      <c r="AB69" s="30">
        <v>0.6774</v>
      </c>
      <c r="AC69" s="30">
        <v>0.6774</v>
      </c>
      <c r="AD69" s="31">
        <v>41300000</v>
      </c>
      <c r="AE69" s="32" t="s">
        <v>827</v>
      </c>
    </row>
    <row r="70" spans="1:33" s="26" customFormat="1" ht="43.5" x14ac:dyDescent="0.35">
      <c r="A70" s="43" t="s">
        <v>306</v>
      </c>
      <c r="B70" s="2" t="s">
        <v>11</v>
      </c>
      <c r="C70" s="26" t="s">
        <v>20</v>
      </c>
      <c r="D70" s="2" t="s">
        <v>300</v>
      </c>
      <c r="E70" s="66" t="s">
        <v>625</v>
      </c>
      <c r="F70" s="65">
        <v>45743</v>
      </c>
      <c r="G70" s="26" t="s">
        <v>150</v>
      </c>
      <c r="H70" s="67" t="s">
        <v>626</v>
      </c>
      <c r="I70" s="26" t="s">
        <v>1510</v>
      </c>
      <c r="J70" s="2" t="s">
        <v>627</v>
      </c>
      <c r="K70" s="88">
        <v>20000000</v>
      </c>
      <c r="L70" s="84">
        <v>3800000</v>
      </c>
      <c r="M70" s="85">
        <v>23800000</v>
      </c>
      <c r="N70" s="69" t="s">
        <v>302</v>
      </c>
      <c r="O70" s="3"/>
      <c r="P70" s="28">
        <f>+Tabla1513[[#This Row],[VALOR TOTAL DEL CONTRATO
(en pesos)
CON IVA
(inicial)]]+Tabla1513[[#This Row],[VALOR DE LAS ADICIONES
(en pesos)
CON IVA]]</f>
        <v>23800000</v>
      </c>
      <c r="Q70" s="37">
        <v>279</v>
      </c>
      <c r="R70" s="23" t="s">
        <v>302</v>
      </c>
      <c r="S70" s="4"/>
      <c r="T70" s="23" t="s">
        <v>302</v>
      </c>
      <c r="U70" s="23"/>
      <c r="V70" s="65">
        <v>45743</v>
      </c>
      <c r="W70" s="65">
        <v>46022</v>
      </c>
      <c r="X70" s="65">
        <v>46022</v>
      </c>
      <c r="Y70" s="64" t="s">
        <v>325</v>
      </c>
      <c r="Z70" s="71"/>
      <c r="AA70" s="70" t="s">
        <v>321</v>
      </c>
      <c r="AB70" s="30">
        <v>0.97</v>
      </c>
      <c r="AC70" s="30">
        <v>1</v>
      </c>
      <c r="AD70" s="31">
        <v>23800000</v>
      </c>
      <c r="AE70" s="32" t="s">
        <v>737</v>
      </c>
    </row>
    <row r="71" spans="1:33" s="26" customFormat="1" ht="43.5" x14ac:dyDescent="0.35">
      <c r="A71" s="43" t="s">
        <v>306</v>
      </c>
      <c r="B71" s="2" t="s">
        <v>11</v>
      </c>
      <c r="C71" s="26" t="s">
        <v>18</v>
      </c>
      <c r="D71" s="2" t="s">
        <v>300</v>
      </c>
      <c r="E71" s="66" t="s">
        <v>628</v>
      </c>
      <c r="F71" s="65">
        <v>45744</v>
      </c>
      <c r="G71" s="26" t="s">
        <v>150</v>
      </c>
      <c r="H71" s="67" t="s">
        <v>630</v>
      </c>
      <c r="I71" s="26" t="s">
        <v>1468</v>
      </c>
      <c r="J71" s="2" t="s">
        <v>631</v>
      </c>
      <c r="K71" s="88">
        <v>791454805</v>
      </c>
      <c r="L71" s="84">
        <v>150376413</v>
      </c>
      <c r="M71" s="85">
        <v>941831218</v>
      </c>
      <c r="N71" s="69" t="s">
        <v>301</v>
      </c>
      <c r="O71" s="28">
        <v>941831218</v>
      </c>
      <c r="P71" s="28">
        <f>+Tabla1513[[#This Row],[VALOR TOTAL DEL CONTRATO
(en pesos)
CON IVA
(inicial)]]+Tabla1513[[#This Row],[VALOR DE LAS ADICIONES
(en pesos)
CON IVA]]</f>
        <v>1883662436</v>
      </c>
      <c r="Q71" s="37">
        <v>278</v>
      </c>
      <c r="R71" s="23" t="s">
        <v>301</v>
      </c>
      <c r="S71" s="4">
        <v>365</v>
      </c>
      <c r="T71" s="23" t="s">
        <v>302</v>
      </c>
      <c r="U71" s="23"/>
      <c r="V71" s="65">
        <v>45744</v>
      </c>
      <c r="W71" s="65">
        <v>46022</v>
      </c>
      <c r="X71" s="65">
        <v>46387</v>
      </c>
      <c r="Y71" s="64" t="s">
        <v>303</v>
      </c>
      <c r="Z71" s="71"/>
      <c r="AA71" s="75"/>
      <c r="AB71" s="30">
        <v>1</v>
      </c>
      <c r="AC71" s="30" t="s">
        <v>1376</v>
      </c>
      <c r="AD71" s="31">
        <v>657595007</v>
      </c>
      <c r="AE71" s="32" t="s">
        <v>899</v>
      </c>
    </row>
    <row r="72" spans="1:33" ht="43.5" x14ac:dyDescent="0.35">
      <c r="A72" s="43" t="s">
        <v>306</v>
      </c>
      <c r="B72" s="2" t="s">
        <v>11</v>
      </c>
      <c r="C72" s="26" t="s">
        <v>18</v>
      </c>
      <c r="D72" s="2" t="s">
        <v>300</v>
      </c>
      <c r="E72" s="66" t="s">
        <v>629</v>
      </c>
      <c r="F72" s="65">
        <v>45747</v>
      </c>
      <c r="G72" s="26" t="s">
        <v>150</v>
      </c>
      <c r="H72" s="67" t="s">
        <v>633</v>
      </c>
      <c r="I72" s="26" t="s">
        <v>1511</v>
      </c>
      <c r="J72" s="2" t="s">
        <v>632</v>
      </c>
      <c r="K72" s="88">
        <v>18400000</v>
      </c>
      <c r="L72" s="84">
        <v>0</v>
      </c>
      <c r="M72" s="85">
        <v>18400000</v>
      </c>
      <c r="N72" s="69" t="s">
        <v>302</v>
      </c>
      <c r="O72" s="3"/>
      <c r="P72" s="28">
        <f>+Tabla1513[[#This Row],[VALOR TOTAL DEL CONTRATO
(en pesos)
CON IVA
(inicial)]]+Tabla1513[[#This Row],[VALOR DE LAS ADICIONES
(en pesos)
CON IVA]]</f>
        <v>18400000</v>
      </c>
      <c r="Q72" s="37">
        <v>244</v>
      </c>
      <c r="R72" s="23" t="s">
        <v>302</v>
      </c>
      <c r="S72" s="4"/>
      <c r="T72" s="23" t="s">
        <v>302</v>
      </c>
      <c r="U72" s="23"/>
      <c r="V72" s="65">
        <v>45747</v>
      </c>
      <c r="W72" s="65">
        <v>45991</v>
      </c>
      <c r="X72" s="65">
        <v>45991</v>
      </c>
      <c r="Y72" s="64" t="s">
        <v>325</v>
      </c>
      <c r="Z72" s="71"/>
      <c r="AA72" s="70" t="s">
        <v>321</v>
      </c>
      <c r="AB72" s="30">
        <v>1</v>
      </c>
      <c r="AC72" s="30">
        <v>1</v>
      </c>
      <c r="AD72" s="31">
        <v>18400000</v>
      </c>
      <c r="AE72" s="32" t="s">
        <v>900</v>
      </c>
      <c r="AG72" s="2"/>
    </row>
    <row r="73" spans="1:33" ht="87" x14ac:dyDescent="0.35">
      <c r="A73" s="43" t="s">
        <v>306</v>
      </c>
      <c r="B73" s="2" t="s">
        <v>31</v>
      </c>
      <c r="C73" s="26" t="s">
        <v>1282</v>
      </c>
      <c r="D73" s="2" t="s">
        <v>300</v>
      </c>
      <c r="E73" s="74" t="s">
        <v>639</v>
      </c>
      <c r="F73" s="65">
        <v>45748</v>
      </c>
      <c r="G73" s="26" t="s">
        <v>150</v>
      </c>
      <c r="H73" s="67" t="s">
        <v>640</v>
      </c>
      <c r="I73" s="26" t="s">
        <v>1512</v>
      </c>
      <c r="J73" s="2" t="s">
        <v>641</v>
      </c>
      <c r="K73" s="88">
        <v>22500000</v>
      </c>
      <c r="L73" s="84">
        <v>0</v>
      </c>
      <c r="M73" s="85">
        <v>22500000</v>
      </c>
      <c r="N73" s="69" t="s">
        <v>302</v>
      </c>
      <c r="O73" s="3"/>
      <c r="P73" s="28">
        <f>+Tabla1513[[#This Row],[VALOR TOTAL DEL CONTRATO
(en pesos)
CON IVA
(inicial)]]+Tabla1513[[#This Row],[VALOR DE LAS ADICIONES
(en pesos)
CON IVA]]</f>
        <v>22500000</v>
      </c>
      <c r="Q73" s="37">
        <v>274</v>
      </c>
      <c r="R73" s="23" t="s">
        <v>302</v>
      </c>
      <c r="S73" s="4"/>
      <c r="T73" s="23" t="s">
        <v>302</v>
      </c>
      <c r="U73" s="23"/>
      <c r="V73" s="65">
        <v>45748</v>
      </c>
      <c r="W73" s="65">
        <v>46022</v>
      </c>
      <c r="X73" s="65">
        <v>46022</v>
      </c>
      <c r="Y73" s="64" t="s">
        <v>323</v>
      </c>
      <c r="Z73" s="71">
        <v>46049</v>
      </c>
      <c r="AA73" s="75" t="s">
        <v>321</v>
      </c>
      <c r="AB73" s="77">
        <v>1</v>
      </c>
      <c r="AC73" s="77">
        <v>1</v>
      </c>
      <c r="AD73" s="78">
        <v>22500000</v>
      </c>
      <c r="AE73" s="56" t="s">
        <v>738</v>
      </c>
      <c r="AG73" s="2"/>
    </row>
    <row r="74" spans="1:33" ht="29" x14ac:dyDescent="0.35">
      <c r="A74" s="43" t="s">
        <v>306</v>
      </c>
      <c r="B74" s="2" t="s">
        <v>327</v>
      </c>
      <c r="C74" s="26" t="s">
        <v>45</v>
      </c>
      <c r="D74" s="2" t="s">
        <v>300</v>
      </c>
      <c r="E74" s="66" t="s">
        <v>642</v>
      </c>
      <c r="F74" s="65">
        <v>45751</v>
      </c>
      <c r="G74" s="26" t="s">
        <v>150</v>
      </c>
      <c r="H74" s="67" t="s">
        <v>643</v>
      </c>
      <c r="I74" s="26" t="s">
        <v>1513</v>
      </c>
      <c r="J74" s="2" t="s">
        <v>349</v>
      </c>
      <c r="K74" s="88">
        <v>6000000</v>
      </c>
      <c r="L74" s="84">
        <v>0</v>
      </c>
      <c r="M74" s="85">
        <v>6000000</v>
      </c>
      <c r="N74" s="69" t="s">
        <v>302</v>
      </c>
      <c r="O74" s="3"/>
      <c r="P74" s="28">
        <f>+Tabla1513[[#This Row],[VALOR TOTAL DEL CONTRATO
(en pesos)
CON IVA
(inicial)]]+Tabla1513[[#This Row],[VALOR DE LAS ADICIONES
(en pesos)
CON IVA]]</f>
        <v>6000000</v>
      </c>
      <c r="Q74" s="37">
        <v>361</v>
      </c>
      <c r="R74" s="23" t="s">
        <v>302</v>
      </c>
      <c r="S74" s="4"/>
      <c r="T74" s="23" t="s">
        <v>302</v>
      </c>
      <c r="U74" s="23"/>
      <c r="V74" s="65">
        <v>45751</v>
      </c>
      <c r="W74" s="65">
        <v>46112</v>
      </c>
      <c r="X74" s="65">
        <v>46112</v>
      </c>
      <c r="Y74" s="64" t="s">
        <v>303</v>
      </c>
      <c r="Z74" s="71"/>
      <c r="AA74" s="75"/>
      <c r="AB74" s="61">
        <v>0.66659999999999997</v>
      </c>
      <c r="AC74" s="61">
        <v>0.64859999999999995</v>
      </c>
      <c r="AD74" s="62">
        <v>3891628.52</v>
      </c>
      <c r="AE74" s="56" t="s">
        <v>1032</v>
      </c>
      <c r="AG74" s="2"/>
    </row>
    <row r="75" spans="1:33" ht="29" x14ac:dyDescent="0.35">
      <c r="A75" s="43" t="s">
        <v>306</v>
      </c>
      <c r="B75" s="2" t="s">
        <v>333</v>
      </c>
      <c r="C75" s="26" t="s">
        <v>63</v>
      </c>
      <c r="D75" s="2" t="s">
        <v>300</v>
      </c>
      <c r="E75" s="66" t="s">
        <v>644</v>
      </c>
      <c r="F75" s="65">
        <v>45755</v>
      </c>
      <c r="G75" s="26" t="s">
        <v>150</v>
      </c>
      <c r="H75" s="67" t="s">
        <v>645</v>
      </c>
      <c r="I75" s="26" t="s">
        <v>1514</v>
      </c>
      <c r="J75" s="2" t="s">
        <v>646</v>
      </c>
      <c r="K75" s="88">
        <v>50400000</v>
      </c>
      <c r="L75" s="84">
        <v>0</v>
      </c>
      <c r="M75" s="85">
        <v>50400000</v>
      </c>
      <c r="N75" s="69" t="s">
        <v>301</v>
      </c>
      <c r="O75" s="3">
        <v>9576000</v>
      </c>
      <c r="P75" s="28">
        <f>+Tabla1513[[#This Row],[VALOR TOTAL DEL CONTRATO
(en pesos)
CON IVA
(inicial)]]+Tabla1513[[#This Row],[VALOR DE LAS ADICIONES
(en pesos)
CON IVA]]</f>
        <v>59976000</v>
      </c>
      <c r="Q75" s="37">
        <v>265</v>
      </c>
      <c r="R75" s="23" t="s">
        <v>302</v>
      </c>
      <c r="S75" s="4"/>
      <c r="T75" s="23" t="s">
        <v>302</v>
      </c>
      <c r="U75" s="23"/>
      <c r="V75" s="65">
        <v>45757</v>
      </c>
      <c r="W75" s="65">
        <v>46022</v>
      </c>
      <c r="X75" s="65">
        <v>46022</v>
      </c>
      <c r="Y75" s="64" t="s">
        <v>325</v>
      </c>
      <c r="Z75" s="71"/>
      <c r="AA75" s="70" t="s">
        <v>321</v>
      </c>
      <c r="AB75" s="30">
        <v>1</v>
      </c>
      <c r="AC75" s="30">
        <v>0.9667</v>
      </c>
      <c r="AD75" s="31">
        <v>57976800</v>
      </c>
      <c r="AE75" s="56" t="s">
        <v>1004</v>
      </c>
      <c r="AG75" s="2"/>
    </row>
    <row r="76" spans="1:33" ht="29" x14ac:dyDescent="0.35">
      <c r="A76" s="43" t="s">
        <v>306</v>
      </c>
      <c r="B76" s="2" t="s">
        <v>11</v>
      </c>
      <c r="C76" s="26" t="s">
        <v>12</v>
      </c>
      <c r="D76" s="2" t="s">
        <v>300</v>
      </c>
      <c r="E76" s="66" t="s">
        <v>647</v>
      </c>
      <c r="F76" s="65">
        <v>45756</v>
      </c>
      <c r="G76" s="26" t="s">
        <v>150</v>
      </c>
      <c r="H76" s="67" t="s">
        <v>649</v>
      </c>
      <c r="I76" s="26" t="s">
        <v>1515</v>
      </c>
      <c r="J76" s="2" t="s">
        <v>650</v>
      </c>
      <c r="K76" s="88">
        <v>302472979</v>
      </c>
      <c r="L76" s="84">
        <v>57469866</v>
      </c>
      <c r="M76" s="85">
        <v>359942845</v>
      </c>
      <c r="N76" s="69" t="s">
        <v>302</v>
      </c>
      <c r="O76" s="3"/>
      <c r="P76" s="28">
        <f>+Tabla1513[[#This Row],[VALOR TOTAL DEL CONTRATO
(en pesos)
CON IVA
(inicial)]]+Tabla1513[[#This Row],[VALOR DE LAS ADICIONES
(en pesos)
CON IVA]]</f>
        <v>359942845</v>
      </c>
      <c r="Q76" s="37">
        <v>730</v>
      </c>
      <c r="R76" s="23" t="s">
        <v>302</v>
      </c>
      <c r="S76" s="4"/>
      <c r="T76" s="23" t="s">
        <v>302</v>
      </c>
      <c r="U76" s="23"/>
      <c r="V76" s="65">
        <v>45756</v>
      </c>
      <c r="W76" s="65">
        <v>46486</v>
      </c>
      <c r="X76" s="65">
        <v>46486</v>
      </c>
      <c r="Y76" s="64" t="s">
        <v>303</v>
      </c>
      <c r="Z76" s="71"/>
      <c r="AA76" s="75"/>
      <c r="AB76" s="30">
        <v>0.32079999999999997</v>
      </c>
      <c r="AC76" s="30">
        <v>0.25480000000000003</v>
      </c>
      <c r="AD76" s="31">
        <v>91699972</v>
      </c>
      <c r="AE76" s="32" t="s">
        <v>979</v>
      </c>
      <c r="AG76" s="2"/>
    </row>
    <row r="77" spans="1:33" ht="29" x14ac:dyDescent="0.35">
      <c r="A77" s="43" t="s">
        <v>306</v>
      </c>
      <c r="B77" s="2" t="s">
        <v>333</v>
      </c>
      <c r="C77" s="26" t="s">
        <v>63</v>
      </c>
      <c r="D77" s="2" t="s">
        <v>300</v>
      </c>
      <c r="E77" s="66" t="s">
        <v>648</v>
      </c>
      <c r="F77" s="65">
        <v>45758</v>
      </c>
      <c r="G77" s="26" t="s">
        <v>150</v>
      </c>
      <c r="H77" s="67" t="s">
        <v>423</v>
      </c>
      <c r="I77" s="26" t="s">
        <v>1516</v>
      </c>
      <c r="J77" s="2" t="s">
        <v>651</v>
      </c>
      <c r="K77" s="88">
        <v>150000000</v>
      </c>
      <c r="L77" s="84">
        <v>28500000</v>
      </c>
      <c r="M77" s="85">
        <v>178500000</v>
      </c>
      <c r="N77" s="69" t="s">
        <v>302</v>
      </c>
      <c r="O77" s="3"/>
      <c r="P77" s="28">
        <f>+Tabla1513[[#This Row],[VALOR TOTAL DEL CONTRATO
(en pesos)
CON IVA
(inicial)]]+Tabla1513[[#This Row],[VALOR DE LAS ADICIONES
(en pesos)
CON IVA]]</f>
        <v>178500000</v>
      </c>
      <c r="Q77" s="37">
        <v>364</v>
      </c>
      <c r="R77" s="23" t="s">
        <v>302</v>
      </c>
      <c r="S77" s="4"/>
      <c r="T77" s="23" t="s">
        <v>302</v>
      </c>
      <c r="U77" s="23"/>
      <c r="V77" s="65">
        <v>45762</v>
      </c>
      <c r="W77" s="65">
        <v>46126</v>
      </c>
      <c r="X77" s="65">
        <v>46126</v>
      </c>
      <c r="Y77" s="64" t="s">
        <v>303</v>
      </c>
      <c r="Z77" s="71"/>
      <c r="AA77" s="75"/>
      <c r="AB77" s="30">
        <v>1.9966999999999999</v>
      </c>
      <c r="AC77" s="30">
        <v>1.9966999999999999</v>
      </c>
      <c r="AD77" s="31">
        <v>356402560</v>
      </c>
      <c r="AE77" s="56" t="s">
        <v>828</v>
      </c>
      <c r="AG77" s="2"/>
    </row>
    <row r="78" spans="1:33" ht="29" x14ac:dyDescent="0.35">
      <c r="A78" s="43" t="s">
        <v>306</v>
      </c>
      <c r="B78" s="2" t="s">
        <v>333</v>
      </c>
      <c r="C78" s="26" t="s">
        <v>63</v>
      </c>
      <c r="D78" s="2" t="s">
        <v>300</v>
      </c>
      <c r="E78" s="66" t="s">
        <v>652</v>
      </c>
      <c r="F78" s="65">
        <v>45758</v>
      </c>
      <c r="G78" s="26" t="s">
        <v>150</v>
      </c>
      <c r="H78" s="67" t="s">
        <v>423</v>
      </c>
      <c r="I78" s="26" t="s">
        <v>1517</v>
      </c>
      <c r="J78" s="2" t="s">
        <v>381</v>
      </c>
      <c r="K78" s="88">
        <v>150000000</v>
      </c>
      <c r="L78" s="84">
        <v>28500000</v>
      </c>
      <c r="M78" s="85">
        <v>178500000</v>
      </c>
      <c r="N78" s="69" t="s">
        <v>302</v>
      </c>
      <c r="O78" s="3"/>
      <c r="P78" s="28">
        <f>+Tabla1513[[#This Row],[VALOR TOTAL DEL CONTRATO
(en pesos)
CON IVA
(inicial)]]+Tabla1513[[#This Row],[VALOR DE LAS ADICIONES
(en pesos)
CON IVA]]</f>
        <v>178500000</v>
      </c>
      <c r="Q78" s="37">
        <v>364</v>
      </c>
      <c r="R78" s="23" t="s">
        <v>302</v>
      </c>
      <c r="S78" s="4"/>
      <c r="T78" s="23" t="s">
        <v>302</v>
      </c>
      <c r="U78" s="23"/>
      <c r="V78" s="65">
        <v>45768</v>
      </c>
      <c r="W78" s="65">
        <v>46132</v>
      </c>
      <c r="X78" s="65">
        <v>46132</v>
      </c>
      <c r="Y78" s="64" t="s">
        <v>303</v>
      </c>
      <c r="Z78" s="71"/>
      <c r="AA78" s="75"/>
      <c r="AB78" s="30">
        <v>2.306</v>
      </c>
      <c r="AC78" s="30">
        <v>2.306</v>
      </c>
      <c r="AD78" s="31">
        <v>411648015</v>
      </c>
      <c r="AE78" s="56" t="s">
        <v>1005</v>
      </c>
      <c r="AG78" s="2"/>
    </row>
    <row r="79" spans="1:33" ht="29" x14ac:dyDescent="0.35">
      <c r="A79" s="43" t="s">
        <v>306</v>
      </c>
      <c r="B79" s="2" t="s">
        <v>333</v>
      </c>
      <c r="C79" s="26" t="s">
        <v>63</v>
      </c>
      <c r="D79" s="2" t="s">
        <v>300</v>
      </c>
      <c r="E79" s="66" t="s">
        <v>653</v>
      </c>
      <c r="F79" s="65">
        <v>45758</v>
      </c>
      <c r="G79" s="26" t="s">
        <v>150</v>
      </c>
      <c r="H79" s="67" t="s">
        <v>423</v>
      </c>
      <c r="I79" s="26" t="s">
        <v>1518</v>
      </c>
      <c r="J79" s="2" t="s">
        <v>383</v>
      </c>
      <c r="K79" s="88">
        <v>150000000</v>
      </c>
      <c r="L79" s="84">
        <v>28500000</v>
      </c>
      <c r="M79" s="85">
        <v>178500000</v>
      </c>
      <c r="N79" s="69" t="s">
        <v>302</v>
      </c>
      <c r="O79" s="3"/>
      <c r="P79" s="28">
        <f>+Tabla1513[[#This Row],[VALOR TOTAL DEL CONTRATO
(en pesos)
CON IVA
(inicial)]]+Tabla1513[[#This Row],[VALOR DE LAS ADICIONES
(en pesos)
CON IVA]]</f>
        <v>178500000</v>
      </c>
      <c r="Q79" s="37">
        <v>364</v>
      </c>
      <c r="R79" s="23" t="s">
        <v>302</v>
      </c>
      <c r="S79" s="4"/>
      <c r="T79" s="23" t="s">
        <v>302</v>
      </c>
      <c r="U79" s="23"/>
      <c r="V79" s="65">
        <v>45762</v>
      </c>
      <c r="W79" s="65">
        <v>46126</v>
      </c>
      <c r="X79" s="65">
        <v>46126</v>
      </c>
      <c r="Y79" s="64" t="s">
        <v>303</v>
      </c>
      <c r="Z79" s="71"/>
      <c r="AA79" s="75"/>
      <c r="AB79" s="30">
        <v>1.0823</v>
      </c>
      <c r="AC79" s="30">
        <v>1.0823</v>
      </c>
      <c r="AD79" s="31">
        <v>193185196</v>
      </c>
      <c r="AE79" s="56" t="s">
        <v>1006</v>
      </c>
      <c r="AG79" s="2"/>
    </row>
    <row r="80" spans="1:33" ht="29" x14ac:dyDescent="0.35">
      <c r="A80" s="43" t="s">
        <v>306</v>
      </c>
      <c r="B80" s="2" t="s">
        <v>333</v>
      </c>
      <c r="C80" s="26" t="s">
        <v>63</v>
      </c>
      <c r="D80" s="2" t="s">
        <v>300</v>
      </c>
      <c r="E80" s="66" t="s">
        <v>654</v>
      </c>
      <c r="F80" s="65">
        <v>45758</v>
      </c>
      <c r="G80" s="26" t="s">
        <v>150</v>
      </c>
      <c r="H80" s="67" t="s">
        <v>423</v>
      </c>
      <c r="I80" s="26" t="s">
        <v>1519</v>
      </c>
      <c r="J80" s="2" t="s">
        <v>655</v>
      </c>
      <c r="K80" s="88">
        <v>150000000</v>
      </c>
      <c r="L80" s="84">
        <v>28500000</v>
      </c>
      <c r="M80" s="85">
        <v>178500000</v>
      </c>
      <c r="N80" s="69" t="s">
        <v>302</v>
      </c>
      <c r="O80" s="3"/>
      <c r="P80" s="28">
        <f>+Tabla1513[[#This Row],[VALOR TOTAL DEL CONTRATO
(en pesos)
CON IVA
(inicial)]]+Tabla1513[[#This Row],[VALOR DE LAS ADICIONES
(en pesos)
CON IVA]]</f>
        <v>178500000</v>
      </c>
      <c r="Q80" s="37">
        <v>364</v>
      </c>
      <c r="R80" s="23" t="s">
        <v>302</v>
      </c>
      <c r="S80" s="4"/>
      <c r="T80" s="23" t="s">
        <v>302</v>
      </c>
      <c r="U80" s="23"/>
      <c r="V80" s="65">
        <v>45762</v>
      </c>
      <c r="W80" s="65">
        <v>46126</v>
      </c>
      <c r="X80" s="65">
        <v>46126</v>
      </c>
      <c r="Y80" s="64" t="s">
        <v>303</v>
      </c>
      <c r="Z80" s="71"/>
      <c r="AA80" s="75"/>
      <c r="AB80" s="30">
        <v>2.5024999999999999</v>
      </c>
      <c r="AC80" s="30">
        <v>2.5024999999999999</v>
      </c>
      <c r="AD80" s="31">
        <v>446704030</v>
      </c>
      <c r="AE80" s="56" t="s">
        <v>901</v>
      </c>
      <c r="AG80" s="2"/>
    </row>
    <row r="81" spans="1:33" ht="43.5" x14ac:dyDescent="0.35">
      <c r="A81" s="43" t="s">
        <v>306</v>
      </c>
      <c r="B81" s="2" t="s">
        <v>333</v>
      </c>
      <c r="C81" s="26" t="s">
        <v>63</v>
      </c>
      <c r="D81" s="2" t="s">
        <v>300</v>
      </c>
      <c r="E81" s="66" t="s">
        <v>656</v>
      </c>
      <c r="F81" s="65">
        <v>45758</v>
      </c>
      <c r="G81" s="26" t="s">
        <v>150</v>
      </c>
      <c r="H81" s="67" t="s">
        <v>423</v>
      </c>
      <c r="I81" s="26" t="s">
        <v>1520</v>
      </c>
      <c r="J81" s="2" t="s">
        <v>385</v>
      </c>
      <c r="K81" s="88">
        <v>150000000</v>
      </c>
      <c r="L81" s="84">
        <v>28500000</v>
      </c>
      <c r="M81" s="85">
        <v>178500000</v>
      </c>
      <c r="N81" s="69" t="s">
        <v>302</v>
      </c>
      <c r="O81" s="3"/>
      <c r="P81" s="28">
        <f>+Tabla1513[[#This Row],[VALOR TOTAL DEL CONTRATO
(en pesos)
CON IVA
(inicial)]]+Tabla1513[[#This Row],[VALOR DE LAS ADICIONES
(en pesos)
CON IVA]]</f>
        <v>178500000</v>
      </c>
      <c r="Q81" s="37">
        <v>364</v>
      </c>
      <c r="R81" s="23" t="s">
        <v>302</v>
      </c>
      <c r="S81" s="4"/>
      <c r="T81" s="23" t="s">
        <v>302</v>
      </c>
      <c r="U81" s="23"/>
      <c r="V81" s="65">
        <v>45768</v>
      </c>
      <c r="W81" s="65">
        <v>46132</v>
      </c>
      <c r="X81" s="65">
        <v>46132</v>
      </c>
      <c r="Y81" s="64" t="s">
        <v>303</v>
      </c>
      <c r="Z81" s="71"/>
      <c r="AA81" s="75"/>
      <c r="AB81" s="30">
        <v>1.1072</v>
      </c>
      <c r="AC81" s="30">
        <v>1.1072</v>
      </c>
      <c r="AD81" s="31">
        <v>197637470</v>
      </c>
      <c r="AE81" s="56" t="s">
        <v>902</v>
      </c>
      <c r="AG81" s="2"/>
    </row>
    <row r="82" spans="1:33" ht="29" x14ac:dyDescent="0.35">
      <c r="A82" s="43" t="s">
        <v>306</v>
      </c>
      <c r="B82" s="2" t="s">
        <v>333</v>
      </c>
      <c r="C82" s="26" t="s">
        <v>63</v>
      </c>
      <c r="D82" s="2" t="s">
        <v>300</v>
      </c>
      <c r="E82" s="66" t="s">
        <v>657</v>
      </c>
      <c r="F82" s="65">
        <v>45758</v>
      </c>
      <c r="G82" s="26" t="s">
        <v>150</v>
      </c>
      <c r="H82" s="67" t="s">
        <v>423</v>
      </c>
      <c r="I82" s="26" t="s">
        <v>1521</v>
      </c>
      <c r="J82" s="2" t="s">
        <v>658</v>
      </c>
      <c r="K82" s="88">
        <v>150000000</v>
      </c>
      <c r="L82" s="84">
        <v>28500000</v>
      </c>
      <c r="M82" s="85">
        <v>178500000</v>
      </c>
      <c r="N82" s="69" t="s">
        <v>302</v>
      </c>
      <c r="O82" s="3"/>
      <c r="P82" s="28">
        <f>+Tabla1513[[#This Row],[VALOR TOTAL DEL CONTRATO
(en pesos)
CON IVA
(inicial)]]+Tabla1513[[#This Row],[VALOR DE LAS ADICIONES
(en pesos)
CON IVA]]</f>
        <v>178500000</v>
      </c>
      <c r="Q82" s="37">
        <v>364</v>
      </c>
      <c r="R82" s="23" t="s">
        <v>302</v>
      </c>
      <c r="S82" s="4"/>
      <c r="T82" s="23" t="s">
        <v>302</v>
      </c>
      <c r="U82" s="23"/>
      <c r="V82" s="65">
        <v>45758</v>
      </c>
      <c r="W82" s="65">
        <v>46122</v>
      </c>
      <c r="X82" s="65">
        <v>46122</v>
      </c>
      <c r="Y82" s="64" t="s">
        <v>303</v>
      </c>
      <c r="Z82" s="71"/>
      <c r="AA82" s="75"/>
      <c r="AB82" s="30">
        <v>1.0022</v>
      </c>
      <c r="AC82" s="30">
        <v>1.0022</v>
      </c>
      <c r="AD82" s="31">
        <v>178901307</v>
      </c>
      <c r="AE82" s="32" t="s">
        <v>1007</v>
      </c>
      <c r="AG82" s="2"/>
    </row>
    <row r="83" spans="1:33" ht="29" x14ac:dyDescent="0.35">
      <c r="A83" s="43" t="s">
        <v>306</v>
      </c>
      <c r="B83" s="2" t="s">
        <v>333</v>
      </c>
      <c r="C83" s="26" t="s">
        <v>63</v>
      </c>
      <c r="D83" s="2" t="s">
        <v>300</v>
      </c>
      <c r="E83" s="66" t="s">
        <v>659</v>
      </c>
      <c r="F83" s="65">
        <v>45757</v>
      </c>
      <c r="G83" s="26" t="s">
        <v>150</v>
      </c>
      <c r="H83" s="67" t="s">
        <v>423</v>
      </c>
      <c r="I83" s="26" t="s">
        <v>1522</v>
      </c>
      <c r="J83" s="2" t="s">
        <v>384</v>
      </c>
      <c r="K83" s="88">
        <v>150000000</v>
      </c>
      <c r="L83" s="84">
        <v>28500000</v>
      </c>
      <c r="M83" s="85">
        <v>178500000</v>
      </c>
      <c r="N83" s="69" t="s">
        <v>302</v>
      </c>
      <c r="O83" s="3"/>
      <c r="P83" s="28">
        <f>+Tabla1513[[#This Row],[VALOR TOTAL DEL CONTRATO
(en pesos)
CON IVA
(inicial)]]+Tabla1513[[#This Row],[VALOR DE LAS ADICIONES
(en pesos)
CON IVA]]</f>
        <v>178500000</v>
      </c>
      <c r="Q83" s="37">
        <v>364</v>
      </c>
      <c r="R83" s="23" t="s">
        <v>302</v>
      </c>
      <c r="S83" s="4"/>
      <c r="T83" s="23" t="s">
        <v>302</v>
      </c>
      <c r="U83" s="23"/>
      <c r="V83" s="65">
        <v>45762</v>
      </c>
      <c r="W83" s="65">
        <v>46126</v>
      </c>
      <c r="X83" s="65">
        <v>46126</v>
      </c>
      <c r="Y83" s="64" t="s">
        <v>303</v>
      </c>
      <c r="Z83" s="71"/>
      <c r="AA83" s="75"/>
      <c r="AB83" s="30">
        <v>0.77159999999999995</v>
      </c>
      <c r="AC83" s="30">
        <v>0.77159999999999995</v>
      </c>
      <c r="AD83" s="31">
        <v>137732899</v>
      </c>
      <c r="AE83" s="32" t="s">
        <v>903</v>
      </c>
      <c r="AG83" s="2"/>
    </row>
    <row r="84" spans="1:33" ht="29" x14ac:dyDescent="0.35">
      <c r="A84" s="43" t="s">
        <v>306</v>
      </c>
      <c r="B84" s="2" t="s">
        <v>333</v>
      </c>
      <c r="C84" s="26" t="s">
        <v>63</v>
      </c>
      <c r="D84" s="2" t="s">
        <v>300</v>
      </c>
      <c r="E84" s="66" t="s">
        <v>660</v>
      </c>
      <c r="F84" s="65">
        <v>45757</v>
      </c>
      <c r="G84" s="26" t="s">
        <v>150</v>
      </c>
      <c r="H84" s="67" t="s">
        <v>423</v>
      </c>
      <c r="I84" s="26" t="s">
        <v>1523</v>
      </c>
      <c r="J84" s="2" t="s">
        <v>380</v>
      </c>
      <c r="K84" s="88">
        <v>150000000</v>
      </c>
      <c r="L84" s="84">
        <v>28500000</v>
      </c>
      <c r="M84" s="85">
        <v>178500000</v>
      </c>
      <c r="N84" s="69" t="s">
        <v>302</v>
      </c>
      <c r="O84" s="3"/>
      <c r="P84" s="28">
        <f>+Tabla1513[[#This Row],[VALOR TOTAL DEL CONTRATO
(en pesos)
CON IVA
(inicial)]]+Tabla1513[[#This Row],[VALOR DE LAS ADICIONES
(en pesos)
CON IVA]]</f>
        <v>178500000</v>
      </c>
      <c r="Q84" s="37">
        <v>364</v>
      </c>
      <c r="R84" s="23" t="s">
        <v>302</v>
      </c>
      <c r="S84" s="4"/>
      <c r="T84" s="23" t="s">
        <v>302</v>
      </c>
      <c r="U84" s="23"/>
      <c r="V84" s="65">
        <v>45766</v>
      </c>
      <c r="W84" s="65">
        <v>46130</v>
      </c>
      <c r="X84" s="65">
        <v>46130</v>
      </c>
      <c r="Y84" s="64" t="s">
        <v>303</v>
      </c>
      <c r="Z84" s="71"/>
      <c r="AA84" s="75"/>
      <c r="AB84" s="30">
        <v>0.66700000000000004</v>
      </c>
      <c r="AC84" s="30">
        <v>0.66700000000000004</v>
      </c>
      <c r="AD84" s="31">
        <v>119056555</v>
      </c>
      <c r="AE84" s="32" t="s">
        <v>829</v>
      </c>
      <c r="AG84" s="2"/>
    </row>
    <row r="85" spans="1:33" ht="29" x14ac:dyDescent="0.35">
      <c r="A85" s="43" t="s">
        <v>306</v>
      </c>
      <c r="B85" s="2" t="s">
        <v>333</v>
      </c>
      <c r="C85" s="26" t="s">
        <v>63</v>
      </c>
      <c r="D85" s="2" t="s">
        <v>300</v>
      </c>
      <c r="E85" s="66" t="s">
        <v>661</v>
      </c>
      <c r="F85" s="65">
        <v>45758</v>
      </c>
      <c r="G85" s="26" t="s">
        <v>150</v>
      </c>
      <c r="H85" s="67" t="s">
        <v>423</v>
      </c>
      <c r="I85" s="26" t="s">
        <v>1524</v>
      </c>
      <c r="J85" s="2" t="s">
        <v>382</v>
      </c>
      <c r="K85" s="88">
        <v>150000000</v>
      </c>
      <c r="L85" s="84">
        <v>28500000</v>
      </c>
      <c r="M85" s="85">
        <v>178500000</v>
      </c>
      <c r="N85" s="69" t="s">
        <v>302</v>
      </c>
      <c r="O85" s="3"/>
      <c r="P85" s="28">
        <f>+Tabla1513[[#This Row],[VALOR TOTAL DEL CONTRATO
(en pesos)
CON IVA
(inicial)]]+Tabla1513[[#This Row],[VALOR DE LAS ADICIONES
(en pesos)
CON IVA]]</f>
        <v>178500000</v>
      </c>
      <c r="Q85" s="37">
        <v>364</v>
      </c>
      <c r="R85" s="23" t="s">
        <v>302</v>
      </c>
      <c r="S85" s="4"/>
      <c r="T85" s="23" t="s">
        <v>302</v>
      </c>
      <c r="U85" s="23"/>
      <c r="V85" s="65">
        <v>45761</v>
      </c>
      <c r="W85" s="65">
        <v>46125</v>
      </c>
      <c r="X85" s="65">
        <v>46125</v>
      </c>
      <c r="Y85" s="64" t="s">
        <v>303</v>
      </c>
      <c r="Z85" s="71"/>
      <c r="AA85" s="75"/>
      <c r="AB85" s="30">
        <v>0.48949999999999999</v>
      </c>
      <c r="AC85" s="30">
        <v>0.48949999999999999</v>
      </c>
      <c r="AD85" s="31">
        <v>87371118</v>
      </c>
      <c r="AE85" s="32" t="s">
        <v>904</v>
      </c>
      <c r="AG85" s="2"/>
    </row>
    <row r="86" spans="1:33" ht="29" x14ac:dyDescent="0.35">
      <c r="A86" s="43" t="s">
        <v>306</v>
      </c>
      <c r="B86" s="2" t="s">
        <v>333</v>
      </c>
      <c r="C86" s="26" t="s">
        <v>63</v>
      </c>
      <c r="D86" s="2" t="s">
        <v>300</v>
      </c>
      <c r="E86" s="66" t="s">
        <v>662</v>
      </c>
      <c r="F86" s="65">
        <v>45757</v>
      </c>
      <c r="G86" s="26" t="s">
        <v>150</v>
      </c>
      <c r="H86" s="67" t="s">
        <v>423</v>
      </c>
      <c r="I86" s="26" t="s">
        <v>1525</v>
      </c>
      <c r="J86" s="2" t="s">
        <v>663</v>
      </c>
      <c r="K86" s="88">
        <v>150000000</v>
      </c>
      <c r="L86" s="84">
        <v>28500000</v>
      </c>
      <c r="M86" s="85">
        <v>178500000</v>
      </c>
      <c r="N86" s="69" t="s">
        <v>302</v>
      </c>
      <c r="O86" s="3"/>
      <c r="P86" s="28">
        <f>+Tabla1513[[#This Row],[VALOR TOTAL DEL CONTRATO
(en pesos)
CON IVA
(inicial)]]+Tabla1513[[#This Row],[VALOR DE LAS ADICIONES
(en pesos)
CON IVA]]</f>
        <v>178500000</v>
      </c>
      <c r="Q86" s="37">
        <v>364</v>
      </c>
      <c r="R86" s="23" t="s">
        <v>302</v>
      </c>
      <c r="S86" s="4"/>
      <c r="T86" s="23" t="s">
        <v>302</v>
      </c>
      <c r="U86" s="23"/>
      <c r="V86" s="65">
        <v>45770</v>
      </c>
      <c r="W86" s="65">
        <v>46134</v>
      </c>
      <c r="X86" s="65">
        <v>46134</v>
      </c>
      <c r="Y86" s="64" t="s">
        <v>303</v>
      </c>
      <c r="Z86" s="71"/>
      <c r="AA86" s="75"/>
      <c r="AB86" s="30">
        <v>0.82840000000000003</v>
      </c>
      <c r="AC86" s="30">
        <v>0.82840000000000003</v>
      </c>
      <c r="AD86" s="31">
        <v>174860501</v>
      </c>
      <c r="AE86" s="32" t="s">
        <v>830</v>
      </c>
      <c r="AG86" s="2"/>
    </row>
    <row r="87" spans="1:33" ht="29" x14ac:dyDescent="0.35">
      <c r="A87" s="43" t="s">
        <v>306</v>
      </c>
      <c r="B87" s="2" t="s">
        <v>333</v>
      </c>
      <c r="C87" s="26" t="s">
        <v>63</v>
      </c>
      <c r="D87" s="2" t="s">
        <v>300</v>
      </c>
      <c r="E87" s="66" t="s">
        <v>664</v>
      </c>
      <c r="F87" s="65">
        <v>45758</v>
      </c>
      <c r="G87" s="26" t="s">
        <v>150</v>
      </c>
      <c r="H87" s="67" t="s">
        <v>423</v>
      </c>
      <c r="I87" s="26" t="s">
        <v>1526</v>
      </c>
      <c r="J87" s="2" t="s">
        <v>665</v>
      </c>
      <c r="K87" s="88">
        <v>150000000</v>
      </c>
      <c r="L87" s="84">
        <v>28500000</v>
      </c>
      <c r="M87" s="85">
        <v>178500000</v>
      </c>
      <c r="N87" s="69" t="s">
        <v>302</v>
      </c>
      <c r="O87" s="3"/>
      <c r="P87" s="28">
        <f>+Tabla1513[[#This Row],[VALOR TOTAL DEL CONTRATO
(en pesos)
CON IVA
(inicial)]]+Tabla1513[[#This Row],[VALOR DE LAS ADICIONES
(en pesos)
CON IVA]]</f>
        <v>178500000</v>
      </c>
      <c r="Q87" s="37">
        <v>364</v>
      </c>
      <c r="R87" s="23" t="s">
        <v>302</v>
      </c>
      <c r="S87" s="4"/>
      <c r="T87" s="23" t="s">
        <v>302</v>
      </c>
      <c r="U87" s="23"/>
      <c r="V87" s="65">
        <v>45777</v>
      </c>
      <c r="W87" s="65">
        <v>46141</v>
      </c>
      <c r="X87" s="65">
        <v>46141</v>
      </c>
      <c r="Y87" s="64" t="s">
        <v>303</v>
      </c>
      <c r="Z87" s="71"/>
      <c r="AA87" s="75"/>
      <c r="AB87" s="30">
        <v>0.66200000000000003</v>
      </c>
      <c r="AC87" s="30">
        <v>0.66200000000000003</v>
      </c>
      <c r="AD87" s="31">
        <v>118171760</v>
      </c>
      <c r="AE87" s="32" t="s">
        <v>1008</v>
      </c>
      <c r="AG87" s="2"/>
    </row>
    <row r="88" spans="1:33" ht="29" x14ac:dyDescent="0.35">
      <c r="A88" s="43" t="s">
        <v>306</v>
      </c>
      <c r="B88" s="2" t="s">
        <v>333</v>
      </c>
      <c r="C88" s="26" t="s">
        <v>63</v>
      </c>
      <c r="D88" s="2" t="s">
        <v>300</v>
      </c>
      <c r="E88" s="66" t="s">
        <v>666</v>
      </c>
      <c r="F88" s="65">
        <v>45758</v>
      </c>
      <c r="G88" s="26" t="s">
        <v>150</v>
      </c>
      <c r="H88" s="67" t="s">
        <v>423</v>
      </c>
      <c r="I88" s="26" t="s">
        <v>1527</v>
      </c>
      <c r="J88" s="2" t="s">
        <v>668</v>
      </c>
      <c r="K88" s="88">
        <v>150000000</v>
      </c>
      <c r="L88" s="84">
        <v>28500000</v>
      </c>
      <c r="M88" s="85">
        <v>178500000</v>
      </c>
      <c r="N88" s="69" t="s">
        <v>302</v>
      </c>
      <c r="O88" s="3"/>
      <c r="P88" s="28">
        <f>+Tabla1513[[#This Row],[VALOR TOTAL DEL CONTRATO
(en pesos)
CON IVA
(inicial)]]+Tabla1513[[#This Row],[VALOR DE LAS ADICIONES
(en pesos)
CON IVA]]</f>
        <v>178500000</v>
      </c>
      <c r="Q88" s="37">
        <v>364</v>
      </c>
      <c r="R88" s="23" t="s">
        <v>302</v>
      </c>
      <c r="S88" s="4"/>
      <c r="T88" s="23" t="s">
        <v>302</v>
      </c>
      <c r="U88" s="23"/>
      <c r="V88" s="65">
        <v>45762</v>
      </c>
      <c r="W88" s="65">
        <v>46126</v>
      </c>
      <c r="X88" s="65">
        <v>46126</v>
      </c>
      <c r="Y88" s="64" t="s">
        <v>303</v>
      </c>
      <c r="Z88" s="71"/>
      <c r="AA88" s="75"/>
      <c r="AB88" s="30">
        <v>1.0336000000000001</v>
      </c>
      <c r="AC88" s="30">
        <v>1.0336000000000001</v>
      </c>
      <c r="AD88" s="31">
        <v>184495880</v>
      </c>
      <c r="AE88" s="32" t="s">
        <v>831</v>
      </c>
      <c r="AG88" s="2"/>
    </row>
    <row r="89" spans="1:33" ht="43.5" x14ac:dyDescent="0.35">
      <c r="A89" s="43" t="s">
        <v>306</v>
      </c>
      <c r="B89" s="2" t="s">
        <v>11</v>
      </c>
      <c r="C89" s="26" t="s">
        <v>20</v>
      </c>
      <c r="D89" s="2" t="s">
        <v>300</v>
      </c>
      <c r="E89" s="66" t="s">
        <v>667</v>
      </c>
      <c r="F89" s="65">
        <v>45762</v>
      </c>
      <c r="G89" s="26" t="s">
        <v>150</v>
      </c>
      <c r="H89" s="67" t="s">
        <v>669</v>
      </c>
      <c r="I89" s="26" t="s">
        <v>1528</v>
      </c>
      <c r="J89" s="2" t="s">
        <v>412</v>
      </c>
      <c r="K89" s="88">
        <v>1502761</v>
      </c>
      <c r="L89" s="84">
        <v>352500</v>
      </c>
      <c r="M89" s="85">
        <v>1855261</v>
      </c>
      <c r="N89" s="69" t="s">
        <v>302</v>
      </c>
      <c r="O89" s="3"/>
      <c r="P89" s="28">
        <f>+Tabla1513[[#This Row],[VALOR TOTAL DEL CONTRATO
(en pesos)
CON IVA
(inicial)]]+Tabla1513[[#This Row],[VALOR DE LAS ADICIONES
(en pesos)
CON IVA]]</f>
        <v>1855261</v>
      </c>
      <c r="Q89" s="37">
        <v>14</v>
      </c>
      <c r="R89" s="23" t="s">
        <v>302</v>
      </c>
      <c r="S89" s="4"/>
      <c r="T89" s="23" t="s">
        <v>302</v>
      </c>
      <c r="U89" s="23"/>
      <c r="V89" s="65">
        <v>45768</v>
      </c>
      <c r="W89" s="65">
        <v>45782</v>
      </c>
      <c r="X89" s="65">
        <v>45782</v>
      </c>
      <c r="Y89" s="64" t="s">
        <v>320</v>
      </c>
      <c r="Z89" s="71"/>
      <c r="AA89" s="71" t="s">
        <v>321</v>
      </c>
      <c r="AB89" s="30">
        <v>1</v>
      </c>
      <c r="AC89" s="30">
        <v>1</v>
      </c>
      <c r="AD89" s="31">
        <v>1855261</v>
      </c>
      <c r="AE89" s="32" t="s">
        <v>832</v>
      </c>
      <c r="AG89" s="2"/>
    </row>
    <row r="90" spans="1:33" ht="43.5" x14ac:dyDescent="0.35">
      <c r="A90" s="43" t="s">
        <v>306</v>
      </c>
      <c r="B90" s="2" t="s">
        <v>11</v>
      </c>
      <c r="C90" s="26" t="s">
        <v>19</v>
      </c>
      <c r="D90" s="2" t="s">
        <v>300</v>
      </c>
      <c r="E90" s="66" t="s">
        <v>670</v>
      </c>
      <c r="F90" s="65">
        <v>45768</v>
      </c>
      <c r="G90" s="26" t="s">
        <v>348</v>
      </c>
      <c r="H90" s="67" t="s">
        <v>675</v>
      </c>
      <c r="I90" s="26" t="s">
        <v>1529</v>
      </c>
      <c r="J90" s="2" t="s">
        <v>672</v>
      </c>
      <c r="K90" s="88">
        <v>6784998001</v>
      </c>
      <c r="L90" s="84">
        <v>0</v>
      </c>
      <c r="M90" s="85">
        <v>6784998001</v>
      </c>
      <c r="N90" s="69" t="s">
        <v>302</v>
      </c>
      <c r="O90" s="3"/>
      <c r="P90" s="28">
        <f>+Tabla1513[[#This Row],[VALOR TOTAL DEL CONTRATO
(en pesos)
CON IVA
(inicial)]]+Tabla1513[[#This Row],[VALOR DE LAS ADICIONES
(en pesos)
CON IVA]]</f>
        <v>6784998001</v>
      </c>
      <c r="Q90" s="37">
        <v>1089</v>
      </c>
      <c r="R90" s="23" t="s">
        <v>302</v>
      </c>
      <c r="S90" s="4"/>
      <c r="T90" s="23" t="s">
        <v>302</v>
      </c>
      <c r="U90" s="23"/>
      <c r="V90" s="65">
        <v>45776</v>
      </c>
      <c r="W90" s="65">
        <v>46865</v>
      </c>
      <c r="X90" s="65">
        <v>46865</v>
      </c>
      <c r="Y90" s="64" t="s">
        <v>303</v>
      </c>
      <c r="Z90" s="71"/>
      <c r="AA90" s="75"/>
      <c r="AB90" s="61">
        <v>0.22220000000000001</v>
      </c>
      <c r="AC90" s="61">
        <v>0.17510000000000001</v>
      </c>
      <c r="AD90" s="62">
        <v>1187905950</v>
      </c>
      <c r="AE90" s="32" t="s">
        <v>1146</v>
      </c>
      <c r="AG90" s="2"/>
    </row>
    <row r="91" spans="1:33" ht="43.5" x14ac:dyDescent="0.35">
      <c r="A91" s="43" t="s">
        <v>306</v>
      </c>
      <c r="B91" s="2" t="s">
        <v>31</v>
      </c>
      <c r="C91" s="26" t="s">
        <v>33</v>
      </c>
      <c r="D91" s="2" t="s">
        <v>365</v>
      </c>
      <c r="E91" s="74" t="s">
        <v>671</v>
      </c>
      <c r="F91" s="65">
        <v>45768</v>
      </c>
      <c r="G91" s="26" t="s">
        <v>150</v>
      </c>
      <c r="H91" s="67" t="s">
        <v>673</v>
      </c>
      <c r="I91" s="26" t="s">
        <v>1530</v>
      </c>
      <c r="J91" s="2" t="s">
        <v>674</v>
      </c>
      <c r="K91" s="88">
        <v>5752440</v>
      </c>
      <c r="L91" s="84">
        <v>115555</v>
      </c>
      <c r="M91" s="85">
        <v>5867995</v>
      </c>
      <c r="N91" s="69" t="s">
        <v>302</v>
      </c>
      <c r="O91" s="3"/>
      <c r="P91" s="28">
        <f>+Tabla1513[[#This Row],[VALOR TOTAL DEL CONTRATO
(en pesos)
CON IVA
(inicial)]]+Tabla1513[[#This Row],[VALOR DE LAS ADICIONES
(en pesos)
CON IVA]]</f>
        <v>5867995</v>
      </c>
      <c r="Q91" s="37">
        <v>60</v>
      </c>
      <c r="R91" s="23" t="s">
        <v>302</v>
      </c>
      <c r="S91" s="4"/>
      <c r="T91" s="23" t="s">
        <v>302</v>
      </c>
      <c r="U91" s="23"/>
      <c r="V91" s="65">
        <v>45768</v>
      </c>
      <c r="W91" s="65">
        <v>45828</v>
      </c>
      <c r="X91" s="65">
        <v>45828</v>
      </c>
      <c r="Y91" s="64" t="s">
        <v>320</v>
      </c>
      <c r="Z91" s="71"/>
      <c r="AA91" s="71" t="s">
        <v>321</v>
      </c>
      <c r="AB91" s="77">
        <v>1</v>
      </c>
      <c r="AC91" s="77">
        <v>1</v>
      </c>
      <c r="AD91" s="78">
        <v>5867995</v>
      </c>
      <c r="AE91" s="56" t="s">
        <v>833</v>
      </c>
      <c r="AG91" s="2"/>
    </row>
    <row r="92" spans="1:33" ht="29" x14ac:dyDescent="0.35">
      <c r="A92" s="43" t="s">
        <v>306</v>
      </c>
      <c r="B92" s="2" t="s">
        <v>298</v>
      </c>
      <c r="C92" s="26" t="s">
        <v>25</v>
      </c>
      <c r="D92" s="2" t="s">
        <v>300</v>
      </c>
      <c r="E92" s="66" t="s">
        <v>676</v>
      </c>
      <c r="F92" s="65">
        <v>45768</v>
      </c>
      <c r="G92" s="26" t="s">
        <v>113</v>
      </c>
      <c r="H92" s="67" t="s">
        <v>677</v>
      </c>
      <c r="I92" s="26" t="s">
        <v>1531</v>
      </c>
      <c r="J92" s="2" t="s">
        <v>373</v>
      </c>
      <c r="K92" s="88">
        <v>31189255</v>
      </c>
      <c r="L92" s="84">
        <v>5925958</v>
      </c>
      <c r="M92" s="85">
        <v>37115213</v>
      </c>
      <c r="N92" s="69" t="s">
        <v>302</v>
      </c>
      <c r="O92" s="3"/>
      <c r="P92" s="28">
        <f>+Tabla1513[[#This Row],[VALOR TOTAL DEL CONTRATO
(en pesos)
CON IVA
(inicial)]]+Tabla1513[[#This Row],[VALOR DE LAS ADICIONES
(en pesos)
CON IVA]]</f>
        <v>37115213</v>
      </c>
      <c r="Q92" s="37">
        <v>29</v>
      </c>
      <c r="R92" s="23" t="s">
        <v>302</v>
      </c>
      <c r="S92" s="4"/>
      <c r="T92" s="23" t="s">
        <v>302</v>
      </c>
      <c r="U92" s="23"/>
      <c r="V92" s="65">
        <v>45768</v>
      </c>
      <c r="W92" s="65">
        <v>45797</v>
      </c>
      <c r="X92" s="65">
        <v>45797</v>
      </c>
      <c r="Y92" s="64" t="s">
        <v>320</v>
      </c>
      <c r="Z92" s="71"/>
      <c r="AA92" s="71" t="s">
        <v>321</v>
      </c>
      <c r="AB92" s="61">
        <v>1</v>
      </c>
      <c r="AC92" s="79">
        <v>0.98</v>
      </c>
      <c r="AD92" s="80">
        <v>36492111</v>
      </c>
      <c r="AE92" s="56" t="s">
        <v>1009</v>
      </c>
      <c r="AG92" s="2"/>
    </row>
    <row r="93" spans="1:33" ht="43.5" x14ac:dyDescent="0.35">
      <c r="A93" s="43" t="s">
        <v>306</v>
      </c>
      <c r="B93" s="2" t="s">
        <v>11</v>
      </c>
      <c r="C93" s="26" t="s">
        <v>20</v>
      </c>
      <c r="D93" s="2" t="s">
        <v>300</v>
      </c>
      <c r="E93" s="66" t="s">
        <v>678</v>
      </c>
      <c r="F93" s="65">
        <v>45775</v>
      </c>
      <c r="G93" s="26" t="s">
        <v>150</v>
      </c>
      <c r="H93" s="67" t="s">
        <v>679</v>
      </c>
      <c r="I93" s="26" t="s">
        <v>1532</v>
      </c>
      <c r="J93" s="2" t="s">
        <v>680</v>
      </c>
      <c r="K93" s="88">
        <v>120786000</v>
      </c>
      <c r="L93" s="84">
        <v>22949340</v>
      </c>
      <c r="M93" s="85">
        <v>143735340</v>
      </c>
      <c r="N93" s="69" t="s">
        <v>302</v>
      </c>
      <c r="O93" s="3"/>
      <c r="P93" s="28">
        <f>+Tabla1513[[#This Row],[VALOR TOTAL DEL CONTRATO
(en pesos)
CON IVA
(inicial)]]+Tabla1513[[#This Row],[VALOR DE LAS ADICIONES
(en pesos)
CON IVA]]</f>
        <v>143735340</v>
      </c>
      <c r="Q93" s="37">
        <v>60</v>
      </c>
      <c r="R93" s="23" t="s">
        <v>302</v>
      </c>
      <c r="S93" s="4"/>
      <c r="T93" s="23" t="s">
        <v>302</v>
      </c>
      <c r="U93" s="23"/>
      <c r="V93" s="65">
        <v>45775</v>
      </c>
      <c r="W93" s="65">
        <v>45835</v>
      </c>
      <c r="X93" s="65">
        <v>45835</v>
      </c>
      <c r="Y93" s="64" t="s">
        <v>323</v>
      </c>
      <c r="Z93" s="71">
        <v>45884</v>
      </c>
      <c r="AA93" s="71" t="s">
        <v>321</v>
      </c>
      <c r="AB93" s="30">
        <v>1</v>
      </c>
      <c r="AC93" s="30">
        <v>1</v>
      </c>
      <c r="AD93" s="31">
        <v>143735340</v>
      </c>
      <c r="AE93" s="32" t="s">
        <v>834</v>
      </c>
      <c r="AG93" s="2"/>
    </row>
    <row r="94" spans="1:33" ht="43.5" x14ac:dyDescent="0.35">
      <c r="A94" s="43" t="s">
        <v>306</v>
      </c>
      <c r="B94" s="2" t="s">
        <v>11</v>
      </c>
      <c r="C94" s="26" t="s">
        <v>20</v>
      </c>
      <c r="D94" s="2" t="s">
        <v>300</v>
      </c>
      <c r="E94" s="66" t="s">
        <v>681</v>
      </c>
      <c r="F94" s="65">
        <v>45775</v>
      </c>
      <c r="G94" s="26" t="s">
        <v>150</v>
      </c>
      <c r="H94" s="67" t="s">
        <v>683</v>
      </c>
      <c r="I94" s="26" t="s">
        <v>1533</v>
      </c>
      <c r="J94" s="2" t="s">
        <v>346</v>
      </c>
      <c r="K94" s="88">
        <v>700000000</v>
      </c>
      <c r="L94" s="84">
        <v>0</v>
      </c>
      <c r="M94" s="85">
        <v>700000000</v>
      </c>
      <c r="N94" s="69" t="s">
        <v>302</v>
      </c>
      <c r="O94" s="3"/>
      <c r="P94" s="28">
        <f>+Tabla1513[[#This Row],[VALOR TOTAL DEL CONTRATO
(en pesos)
CON IVA
(inicial)]]+Tabla1513[[#This Row],[VALOR DE LAS ADICIONES
(en pesos)
CON IVA]]</f>
        <v>700000000</v>
      </c>
      <c r="Q94" s="37">
        <v>597</v>
      </c>
      <c r="R94" s="23" t="s">
        <v>302</v>
      </c>
      <c r="S94" s="4"/>
      <c r="T94" s="23" t="s">
        <v>302</v>
      </c>
      <c r="U94" s="23"/>
      <c r="V94" s="65">
        <v>45790</v>
      </c>
      <c r="W94" s="65">
        <v>46387</v>
      </c>
      <c r="X94" s="65">
        <v>46387</v>
      </c>
      <c r="Y94" s="64" t="s">
        <v>303</v>
      </c>
      <c r="Z94" s="71"/>
      <c r="AA94" s="75"/>
      <c r="AB94" s="30">
        <v>0.49</v>
      </c>
      <c r="AC94" s="30">
        <v>0.49</v>
      </c>
      <c r="AD94" s="31">
        <v>339830552</v>
      </c>
      <c r="AE94" s="32" t="s">
        <v>905</v>
      </c>
      <c r="AG94" s="2"/>
    </row>
    <row r="95" spans="1:33" ht="43.5" x14ac:dyDescent="0.35">
      <c r="A95" s="43" t="s">
        <v>306</v>
      </c>
      <c r="B95" s="2" t="s">
        <v>298</v>
      </c>
      <c r="C95" s="26" t="s">
        <v>418</v>
      </c>
      <c r="D95" s="2" t="s">
        <v>324</v>
      </c>
      <c r="E95" s="66" t="s">
        <v>740</v>
      </c>
      <c r="F95" s="65">
        <v>45776</v>
      </c>
      <c r="G95" s="26" t="s">
        <v>150</v>
      </c>
      <c r="H95" s="67" t="s">
        <v>778</v>
      </c>
      <c r="I95" s="26" t="s">
        <v>1534</v>
      </c>
      <c r="J95" s="2" t="s">
        <v>779</v>
      </c>
      <c r="K95" s="88">
        <v>1255209605</v>
      </c>
      <c r="L95" s="84">
        <v>66776084</v>
      </c>
      <c r="M95" s="85">
        <v>1321985734</v>
      </c>
      <c r="N95" s="69" t="s">
        <v>302</v>
      </c>
      <c r="O95" s="3"/>
      <c r="P95" s="28">
        <f>+Tabla1513[[#This Row],[VALOR TOTAL DEL CONTRATO
(en pesos)
CON IVA
(inicial)]]+Tabla1513[[#This Row],[VALOR DE LAS ADICIONES
(en pesos)
CON IVA]]</f>
        <v>1321985734</v>
      </c>
      <c r="Q95" s="37">
        <v>52</v>
      </c>
      <c r="R95" s="23" t="s">
        <v>302</v>
      </c>
      <c r="S95" s="4"/>
      <c r="T95" s="23" t="s">
        <v>302</v>
      </c>
      <c r="U95" s="23"/>
      <c r="V95" s="65">
        <v>45786</v>
      </c>
      <c r="W95" s="65">
        <v>45838</v>
      </c>
      <c r="X95" s="65">
        <v>45838</v>
      </c>
      <c r="Y95" s="64" t="s">
        <v>323</v>
      </c>
      <c r="Z95" s="71">
        <v>45897</v>
      </c>
      <c r="AA95" s="71" t="s">
        <v>321</v>
      </c>
      <c r="AB95" s="30">
        <v>1</v>
      </c>
      <c r="AC95" s="30">
        <v>0.99</v>
      </c>
      <c r="AD95" s="31">
        <v>1310604093</v>
      </c>
      <c r="AE95" s="32" t="s">
        <v>835</v>
      </c>
      <c r="AG95" s="2"/>
    </row>
    <row r="96" spans="1:33" ht="43.5" x14ac:dyDescent="0.35">
      <c r="A96" s="43" t="s">
        <v>306</v>
      </c>
      <c r="B96" s="2" t="s">
        <v>11</v>
      </c>
      <c r="C96" s="26" t="s">
        <v>19</v>
      </c>
      <c r="D96" s="2" t="s">
        <v>324</v>
      </c>
      <c r="E96" s="66" t="s">
        <v>741</v>
      </c>
      <c r="F96" s="65">
        <v>45777</v>
      </c>
      <c r="G96" s="26" t="s">
        <v>334</v>
      </c>
      <c r="H96" s="67" t="s">
        <v>815</v>
      </c>
      <c r="I96" s="26" t="s">
        <v>1535</v>
      </c>
      <c r="J96" s="2" t="s">
        <v>780</v>
      </c>
      <c r="K96" s="88">
        <v>6072314301</v>
      </c>
      <c r="L96" s="84">
        <v>1424370021</v>
      </c>
      <c r="M96" s="85">
        <v>7496684322</v>
      </c>
      <c r="N96" s="69" t="s">
        <v>302</v>
      </c>
      <c r="O96" s="3"/>
      <c r="P96" s="28">
        <f>+Tabla1513[[#This Row],[VALOR TOTAL DEL CONTRATO
(en pesos)
CON IVA
(inicial)]]+Tabla1513[[#This Row],[VALOR DE LAS ADICIONES
(en pesos)
CON IVA]]</f>
        <v>7496684322</v>
      </c>
      <c r="Q96" s="37">
        <v>1095</v>
      </c>
      <c r="R96" s="23" t="s">
        <v>302</v>
      </c>
      <c r="S96" s="4"/>
      <c r="T96" s="23" t="s">
        <v>302</v>
      </c>
      <c r="U96" s="23"/>
      <c r="V96" s="65">
        <v>45778</v>
      </c>
      <c r="W96" s="65">
        <v>46873</v>
      </c>
      <c r="X96" s="65">
        <v>46873</v>
      </c>
      <c r="Y96" s="64" t="s">
        <v>303</v>
      </c>
      <c r="Z96" s="71"/>
      <c r="AA96" s="75"/>
      <c r="AB96" s="61">
        <v>0.2082</v>
      </c>
      <c r="AC96" s="61">
        <v>0.1961</v>
      </c>
      <c r="AD96" s="62">
        <v>1469912368.2129762</v>
      </c>
      <c r="AE96" s="32" t="s">
        <v>999</v>
      </c>
      <c r="AG96" s="2"/>
    </row>
    <row r="97" spans="1:33" ht="43.5" x14ac:dyDescent="0.35">
      <c r="A97" s="43" t="s">
        <v>306</v>
      </c>
      <c r="B97" s="2" t="s">
        <v>11</v>
      </c>
      <c r="C97" s="26" t="s">
        <v>20</v>
      </c>
      <c r="D97" s="2" t="s">
        <v>300</v>
      </c>
      <c r="E97" s="66" t="s">
        <v>682</v>
      </c>
      <c r="F97" s="65">
        <v>45777</v>
      </c>
      <c r="G97" s="26" t="s">
        <v>150</v>
      </c>
      <c r="H97" s="67" t="s">
        <v>684</v>
      </c>
      <c r="I97" s="26" t="s">
        <v>1536</v>
      </c>
      <c r="J97" s="2" t="s">
        <v>685</v>
      </c>
      <c r="K97" s="88">
        <v>71114416</v>
      </c>
      <c r="L97" s="84">
        <v>0</v>
      </c>
      <c r="M97" s="85">
        <v>71114416</v>
      </c>
      <c r="N97" s="69" t="s">
        <v>302</v>
      </c>
      <c r="O97" s="3"/>
      <c r="P97" s="28">
        <f>+Tabla1513[[#This Row],[VALOR TOTAL DEL CONTRATO
(en pesos)
CON IVA
(inicial)]]+Tabla1513[[#This Row],[VALOR DE LAS ADICIONES
(en pesos)
CON IVA]]</f>
        <v>71114416</v>
      </c>
      <c r="Q97" s="37">
        <v>365</v>
      </c>
      <c r="R97" s="23" t="s">
        <v>302</v>
      </c>
      <c r="S97" s="4"/>
      <c r="T97" s="23" t="s">
        <v>302</v>
      </c>
      <c r="U97" s="23"/>
      <c r="V97" s="65">
        <v>45778</v>
      </c>
      <c r="W97" s="65">
        <v>46143</v>
      </c>
      <c r="X97" s="65">
        <v>46143</v>
      </c>
      <c r="Y97" s="64" t="s">
        <v>303</v>
      </c>
      <c r="Z97" s="71"/>
      <c r="AA97" s="75"/>
      <c r="AB97" s="61">
        <v>0.65</v>
      </c>
      <c r="AC97" s="61">
        <v>0.97</v>
      </c>
      <c r="AD97" s="62">
        <v>68919136</v>
      </c>
      <c r="AE97" s="32" t="s">
        <v>1010</v>
      </c>
      <c r="AG97" s="2"/>
    </row>
    <row r="98" spans="1:33" ht="43.5" x14ac:dyDescent="0.35">
      <c r="A98" s="43" t="s">
        <v>306</v>
      </c>
      <c r="B98" s="2" t="s">
        <v>298</v>
      </c>
      <c r="C98" s="26" t="s">
        <v>416</v>
      </c>
      <c r="D98" s="2" t="s">
        <v>300</v>
      </c>
      <c r="E98" s="66" t="s">
        <v>743</v>
      </c>
      <c r="F98" s="65">
        <v>45777</v>
      </c>
      <c r="G98" s="26" t="s">
        <v>150</v>
      </c>
      <c r="H98" s="67" t="s">
        <v>783</v>
      </c>
      <c r="I98" s="26" t="s">
        <v>1537</v>
      </c>
      <c r="J98" s="2" t="s">
        <v>376</v>
      </c>
      <c r="K98" s="88">
        <v>11000000</v>
      </c>
      <c r="L98" s="84">
        <v>2090000</v>
      </c>
      <c r="M98" s="85">
        <v>13090000</v>
      </c>
      <c r="N98" s="69" t="s">
        <v>302</v>
      </c>
      <c r="O98" s="3"/>
      <c r="P98" s="28">
        <f>+Tabla1513[[#This Row],[VALOR TOTAL DEL CONTRATO
(en pesos)
CON IVA
(inicial)]]+Tabla1513[[#This Row],[VALOR DE LAS ADICIONES
(en pesos)
CON IVA]]</f>
        <v>13090000</v>
      </c>
      <c r="Q98" s="37">
        <v>24</v>
      </c>
      <c r="R98" s="23" t="s">
        <v>302</v>
      </c>
      <c r="S98" s="4"/>
      <c r="T98" s="23" t="s">
        <v>302</v>
      </c>
      <c r="U98" s="23"/>
      <c r="V98" s="65">
        <v>45783</v>
      </c>
      <c r="W98" s="65">
        <v>45807</v>
      </c>
      <c r="X98" s="65">
        <v>45807</v>
      </c>
      <c r="Y98" s="64" t="s">
        <v>323</v>
      </c>
      <c r="Z98" s="71">
        <v>45845</v>
      </c>
      <c r="AA98" s="71" t="s">
        <v>321</v>
      </c>
      <c r="AB98" s="30">
        <v>1</v>
      </c>
      <c r="AC98" s="30">
        <v>1</v>
      </c>
      <c r="AD98" s="31">
        <v>13090000</v>
      </c>
      <c r="AE98" s="32" t="s">
        <v>980</v>
      </c>
      <c r="AG98" s="2"/>
    </row>
    <row r="99" spans="1:33" ht="29" x14ac:dyDescent="0.35">
      <c r="A99" s="43" t="s">
        <v>306</v>
      </c>
      <c r="B99" s="2" t="s">
        <v>333</v>
      </c>
      <c r="C99" s="26" t="s">
        <v>63</v>
      </c>
      <c r="D99" s="2" t="s">
        <v>300</v>
      </c>
      <c r="E99" s="66" t="s">
        <v>756</v>
      </c>
      <c r="F99" s="65">
        <v>45777</v>
      </c>
      <c r="G99" s="26" t="s">
        <v>150</v>
      </c>
      <c r="H99" s="67" t="s">
        <v>423</v>
      </c>
      <c r="I99" s="26" t="s">
        <v>1538</v>
      </c>
      <c r="J99" s="2" t="s">
        <v>799</v>
      </c>
      <c r="K99" s="88">
        <v>200000000</v>
      </c>
      <c r="L99" s="84">
        <v>38000000</v>
      </c>
      <c r="M99" s="85">
        <v>238000000</v>
      </c>
      <c r="N99" s="69" t="s">
        <v>302</v>
      </c>
      <c r="O99" s="3"/>
      <c r="P99" s="28">
        <f>+Tabla1513[[#This Row],[VALOR TOTAL DEL CONTRATO
(en pesos)
CON IVA
(inicial)]]+Tabla1513[[#This Row],[VALOR DE LAS ADICIONES
(en pesos)
CON IVA]]</f>
        <v>238000000</v>
      </c>
      <c r="Q99" s="37">
        <v>364</v>
      </c>
      <c r="R99" s="23" t="s">
        <v>302</v>
      </c>
      <c r="S99" s="4"/>
      <c r="T99" s="23" t="s">
        <v>302</v>
      </c>
      <c r="U99" s="23"/>
      <c r="V99" s="65">
        <v>45779</v>
      </c>
      <c r="W99" s="65">
        <v>46143</v>
      </c>
      <c r="X99" s="65">
        <v>46143</v>
      </c>
      <c r="Y99" s="64" t="s">
        <v>303</v>
      </c>
      <c r="Z99" s="71"/>
      <c r="AA99" s="75"/>
      <c r="AB99" s="30">
        <v>0.82889999999999997</v>
      </c>
      <c r="AC99" s="30">
        <v>0.82889999999999997</v>
      </c>
      <c r="AD99" s="31">
        <v>197283064</v>
      </c>
      <c r="AE99" s="32" t="s">
        <v>1011</v>
      </c>
      <c r="AG99" s="2"/>
    </row>
    <row r="100" spans="1:33" ht="29" x14ac:dyDescent="0.35">
      <c r="A100" s="43" t="s">
        <v>306</v>
      </c>
      <c r="B100" s="2" t="s">
        <v>11</v>
      </c>
      <c r="C100" s="26" t="s">
        <v>19</v>
      </c>
      <c r="D100" s="2" t="s">
        <v>365</v>
      </c>
      <c r="E100" s="66" t="s">
        <v>686</v>
      </c>
      <c r="F100" s="65">
        <v>45777</v>
      </c>
      <c r="G100" s="26" t="s">
        <v>150</v>
      </c>
      <c r="H100" s="67" t="s">
        <v>690</v>
      </c>
      <c r="I100" s="26" t="s">
        <v>1539</v>
      </c>
      <c r="J100" s="2" t="s">
        <v>688</v>
      </c>
      <c r="K100" s="88">
        <v>1675800</v>
      </c>
      <c r="L100" s="84">
        <v>0</v>
      </c>
      <c r="M100" s="85">
        <v>1675800</v>
      </c>
      <c r="N100" s="69" t="s">
        <v>302</v>
      </c>
      <c r="O100" s="3"/>
      <c r="P100" s="28">
        <f>+Tabla1513[[#This Row],[VALOR TOTAL DEL CONTRATO
(en pesos)
CON IVA
(inicial)]]+Tabla1513[[#This Row],[VALOR DE LAS ADICIONES
(en pesos)
CON IVA]]</f>
        <v>1675800</v>
      </c>
      <c r="Q100" s="37">
        <v>1096</v>
      </c>
      <c r="R100" s="23" t="s">
        <v>302</v>
      </c>
      <c r="S100" s="4"/>
      <c r="T100" s="23" t="s">
        <v>302</v>
      </c>
      <c r="U100" s="23"/>
      <c r="V100" s="65">
        <v>45777</v>
      </c>
      <c r="W100" s="65">
        <v>46873</v>
      </c>
      <c r="X100" s="65">
        <v>46873</v>
      </c>
      <c r="Y100" s="64" t="s">
        <v>303</v>
      </c>
      <c r="Z100" s="71"/>
      <c r="AA100" s="75"/>
      <c r="AB100" s="61">
        <v>0.2</v>
      </c>
      <c r="AC100" s="61">
        <v>1</v>
      </c>
      <c r="AD100" s="62">
        <v>1675800</v>
      </c>
      <c r="AE100" s="32" t="s">
        <v>1012</v>
      </c>
      <c r="AG100" s="2"/>
    </row>
    <row r="101" spans="1:33" ht="29" x14ac:dyDescent="0.35">
      <c r="A101" s="43" t="s">
        <v>306</v>
      </c>
      <c r="B101" s="2" t="s">
        <v>333</v>
      </c>
      <c r="C101" s="26" t="s">
        <v>63</v>
      </c>
      <c r="D101" s="2" t="s">
        <v>300</v>
      </c>
      <c r="E101" s="66" t="s">
        <v>687</v>
      </c>
      <c r="F101" s="65">
        <v>45777</v>
      </c>
      <c r="G101" s="26" t="s">
        <v>150</v>
      </c>
      <c r="H101" s="67" t="s">
        <v>423</v>
      </c>
      <c r="I101" s="26" t="s">
        <v>1540</v>
      </c>
      <c r="J101" s="2" t="s">
        <v>689</v>
      </c>
      <c r="K101" s="88">
        <v>300000000</v>
      </c>
      <c r="L101" s="84">
        <v>57000000</v>
      </c>
      <c r="M101" s="85">
        <v>357000000</v>
      </c>
      <c r="N101" s="69" t="s">
        <v>302</v>
      </c>
      <c r="O101" s="3"/>
      <c r="P101" s="28">
        <f>+Tabla1513[[#This Row],[VALOR TOTAL DEL CONTRATO
(en pesos)
CON IVA
(inicial)]]+Tabla1513[[#This Row],[VALOR DE LAS ADICIONES
(en pesos)
CON IVA]]</f>
        <v>357000000</v>
      </c>
      <c r="Q101" s="37">
        <v>364</v>
      </c>
      <c r="R101" s="23" t="s">
        <v>302</v>
      </c>
      <c r="S101" s="4"/>
      <c r="T101" s="23" t="s">
        <v>302</v>
      </c>
      <c r="U101" s="23"/>
      <c r="V101" s="65">
        <v>45779</v>
      </c>
      <c r="W101" s="65">
        <v>46143</v>
      </c>
      <c r="X101" s="65">
        <v>46143</v>
      </c>
      <c r="Y101" s="64" t="s">
        <v>303</v>
      </c>
      <c r="Z101" s="71"/>
      <c r="AA101" s="75"/>
      <c r="AB101" s="30">
        <v>4.0734000000000004</v>
      </c>
      <c r="AC101" s="30">
        <v>4.0734000000000004</v>
      </c>
      <c r="AD101" s="31">
        <v>1454217164</v>
      </c>
      <c r="AE101" s="32" t="s">
        <v>906</v>
      </c>
      <c r="AG101" s="2"/>
    </row>
    <row r="102" spans="1:33" ht="29" x14ac:dyDescent="0.35">
      <c r="A102" s="43" t="s">
        <v>306</v>
      </c>
      <c r="B102" s="2" t="s">
        <v>11</v>
      </c>
      <c r="C102" s="26" t="s">
        <v>19</v>
      </c>
      <c r="D102" s="2" t="s">
        <v>300</v>
      </c>
      <c r="E102" s="66" t="s">
        <v>691</v>
      </c>
      <c r="F102" s="65">
        <v>45785</v>
      </c>
      <c r="G102" s="26" t="s">
        <v>113</v>
      </c>
      <c r="H102" s="67" t="s">
        <v>693</v>
      </c>
      <c r="I102" s="26" t="s">
        <v>1541</v>
      </c>
      <c r="J102" s="2" t="s">
        <v>692</v>
      </c>
      <c r="K102" s="88">
        <v>31761100</v>
      </c>
      <c r="L102" s="84">
        <v>0</v>
      </c>
      <c r="M102" s="85">
        <v>31761100</v>
      </c>
      <c r="N102" s="69" t="s">
        <v>302</v>
      </c>
      <c r="O102" s="3"/>
      <c r="P102" s="28">
        <f>+Tabla1513[[#This Row],[VALOR TOTAL DEL CONTRATO
(en pesos)
CON IVA
(inicial)]]+Tabla1513[[#This Row],[VALOR DE LAS ADICIONES
(en pesos)
CON IVA]]</f>
        <v>31761100</v>
      </c>
      <c r="Q102" s="37">
        <v>15</v>
      </c>
      <c r="R102" s="23" t="s">
        <v>302</v>
      </c>
      <c r="S102" s="4"/>
      <c r="T102" s="23" t="s">
        <v>302</v>
      </c>
      <c r="U102" s="23"/>
      <c r="V102" s="65">
        <v>45785</v>
      </c>
      <c r="W102" s="65">
        <v>45800</v>
      </c>
      <c r="X102" s="65">
        <v>45800</v>
      </c>
      <c r="Y102" s="64" t="s">
        <v>320</v>
      </c>
      <c r="Z102" s="71"/>
      <c r="AA102" s="71" t="s">
        <v>321</v>
      </c>
      <c r="AB102" s="30">
        <v>1</v>
      </c>
      <c r="AC102" s="30">
        <v>1</v>
      </c>
      <c r="AD102" s="31">
        <v>31761100</v>
      </c>
      <c r="AE102" s="32" t="s">
        <v>1013</v>
      </c>
      <c r="AG102" s="2"/>
    </row>
    <row r="103" spans="1:33" ht="29" x14ac:dyDescent="0.35">
      <c r="A103" s="43" t="s">
        <v>306</v>
      </c>
      <c r="B103" s="2" t="s">
        <v>333</v>
      </c>
      <c r="C103" s="26" t="s">
        <v>63</v>
      </c>
      <c r="D103" s="2" t="s">
        <v>300</v>
      </c>
      <c r="E103" s="66" t="s">
        <v>770</v>
      </c>
      <c r="F103" s="65">
        <v>45777</v>
      </c>
      <c r="G103" s="26" t="s">
        <v>150</v>
      </c>
      <c r="H103" s="67" t="s">
        <v>423</v>
      </c>
      <c r="I103" s="26" t="s">
        <v>1542</v>
      </c>
      <c r="J103" s="2" t="s">
        <v>398</v>
      </c>
      <c r="K103" s="88">
        <v>150000000</v>
      </c>
      <c r="L103" s="84">
        <v>28500000</v>
      </c>
      <c r="M103" s="85">
        <v>178500000</v>
      </c>
      <c r="N103" s="69" t="s">
        <v>302</v>
      </c>
      <c r="O103" s="3"/>
      <c r="P103" s="28">
        <f>+Tabla1513[[#This Row],[VALOR TOTAL DEL CONTRATO
(en pesos)
CON IVA
(inicial)]]+Tabla1513[[#This Row],[VALOR DE LAS ADICIONES
(en pesos)
CON IVA]]</f>
        <v>178500000</v>
      </c>
      <c r="Q103" s="37">
        <v>364</v>
      </c>
      <c r="R103" s="23" t="s">
        <v>302</v>
      </c>
      <c r="S103" s="4"/>
      <c r="T103" s="23" t="s">
        <v>302</v>
      </c>
      <c r="U103" s="23"/>
      <c r="V103" s="65">
        <v>45798</v>
      </c>
      <c r="W103" s="65">
        <v>46162</v>
      </c>
      <c r="X103" s="65">
        <v>46162</v>
      </c>
      <c r="Y103" s="64" t="s">
        <v>303</v>
      </c>
      <c r="Z103" s="71"/>
      <c r="AA103" s="75"/>
      <c r="AB103" s="30">
        <v>1.6214</v>
      </c>
      <c r="AC103" s="30">
        <v>1.6214</v>
      </c>
      <c r="AD103" s="31">
        <v>289421731</v>
      </c>
      <c r="AE103" s="32" t="s">
        <v>907</v>
      </c>
      <c r="AG103" s="2"/>
    </row>
    <row r="104" spans="1:33" ht="29" x14ac:dyDescent="0.35">
      <c r="A104" s="43" t="s">
        <v>306</v>
      </c>
      <c r="B104" s="2" t="s">
        <v>333</v>
      </c>
      <c r="C104" s="26" t="s">
        <v>63</v>
      </c>
      <c r="D104" s="2" t="s">
        <v>300</v>
      </c>
      <c r="E104" s="66" t="s">
        <v>757</v>
      </c>
      <c r="F104" s="65">
        <v>45777</v>
      </c>
      <c r="G104" s="26" t="s">
        <v>150</v>
      </c>
      <c r="H104" s="67" t="s">
        <v>423</v>
      </c>
      <c r="I104" s="26" t="s">
        <v>1543</v>
      </c>
      <c r="J104" s="2" t="s">
        <v>391</v>
      </c>
      <c r="K104" s="88">
        <v>150000000</v>
      </c>
      <c r="L104" s="84">
        <v>28500000</v>
      </c>
      <c r="M104" s="85">
        <v>178500000</v>
      </c>
      <c r="N104" s="69" t="s">
        <v>302</v>
      </c>
      <c r="O104" s="3"/>
      <c r="P104" s="28">
        <f>+Tabla1513[[#This Row],[VALOR TOTAL DEL CONTRATO
(en pesos)
CON IVA
(inicial)]]+Tabla1513[[#This Row],[VALOR DE LAS ADICIONES
(en pesos)
CON IVA]]</f>
        <v>178500000</v>
      </c>
      <c r="Q104" s="37">
        <v>364</v>
      </c>
      <c r="R104" s="23" t="s">
        <v>302</v>
      </c>
      <c r="S104" s="4"/>
      <c r="T104" s="23" t="s">
        <v>302</v>
      </c>
      <c r="U104" s="23"/>
      <c r="V104" s="65">
        <v>45784</v>
      </c>
      <c r="W104" s="65">
        <v>46148</v>
      </c>
      <c r="X104" s="65">
        <v>46148</v>
      </c>
      <c r="Y104" s="64" t="s">
        <v>303</v>
      </c>
      <c r="Z104" s="71"/>
      <c r="AA104" s="75"/>
      <c r="AB104" s="30">
        <v>4.7610999999999999</v>
      </c>
      <c r="AC104" s="30">
        <v>4.7610999999999999</v>
      </c>
      <c r="AD104" s="31">
        <v>849859056</v>
      </c>
      <c r="AE104" s="32" t="s">
        <v>908</v>
      </c>
      <c r="AG104" s="2"/>
    </row>
    <row r="105" spans="1:33" ht="29" x14ac:dyDescent="0.35">
      <c r="A105" s="43" t="s">
        <v>306</v>
      </c>
      <c r="B105" s="2" t="s">
        <v>333</v>
      </c>
      <c r="C105" s="26" t="s">
        <v>63</v>
      </c>
      <c r="D105" s="2" t="s">
        <v>300</v>
      </c>
      <c r="E105" s="66" t="s">
        <v>771</v>
      </c>
      <c r="F105" s="65">
        <v>45777</v>
      </c>
      <c r="G105" s="26" t="s">
        <v>150</v>
      </c>
      <c r="H105" s="67" t="s">
        <v>423</v>
      </c>
      <c r="I105" s="26" t="s">
        <v>1544</v>
      </c>
      <c r="J105" s="2" t="s">
        <v>811</v>
      </c>
      <c r="K105" s="88">
        <v>150000000</v>
      </c>
      <c r="L105" s="84">
        <v>28500000</v>
      </c>
      <c r="M105" s="85">
        <v>178500000</v>
      </c>
      <c r="N105" s="69" t="s">
        <v>302</v>
      </c>
      <c r="O105" s="3"/>
      <c r="P105" s="28">
        <f>+Tabla1513[[#This Row],[VALOR TOTAL DEL CONTRATO
(en pesos)
CON IVA
(inicial)]]+Tabla1513[[#This Row],[VALOR DE LAS ADICIONES
(en pesos)
CON IVA]]</f>
        <v>178500000</v>
      </c>
      <c r="Q105" s="37">
        <v>364</v>
      </c>
      <c r="R105" s="23" t="s">
        <v>302</v>
      </c>
      <c r="S105" s="4"/>
      <c r="T105" s="23" t="s">
        <v>302</v>
      </c>
      <c r="U105" s="23"/>
      <c r="V105" s="65">
        <v>45792</v>
      </c>
      <c r="W105" s="65">
        <v>46156</v>
      </c>
      <c r="X105" s="65">
        <v>46156</v>
      </c>
      <c r="Y105" s="64" t="s">
        <v>303</v>
      </c>
      <c r="Z105" s="71"/>
      <c r="AA105" s="75"/>
      <c r="AB105" s="30">
        <v>0.1139</v>
      </c>
      <c r="AC105" s="30">
        <v>0.1139</v>
      </c>
      <c r="AD105" s="31">
        <v>20327580</v>
      </c>
      <c r="AE105" s="56" t="s">
        <v>1147</v>
      </c>
      <c r="AG105" s="2"/>
    </row>
    <row r="106" spans="1:33" ht="43.5" x14ac:dyDescent="0.35">
      <c r="A106" s="43" t="s">
        <v>306</v>
      </c>
      <c r="B106" s="2" t="s">
        <v>333</v>
      </c>
      <c r="C106" s="26" t="s">
        <v>63</v>
      </c>
      <c r="D106" s="2" t="s">
        <v>300</v>
      </c>
      <c r="E106" s="66" t="s">
        <v>755</v>
      </c>
      <c r="F106" s="65">
        <v>45779</v>
      </c>
      <c r="G106" s="26" t="s">
        <v>150</v>
      </c>
      <c r="H106" s="67" t="s">
        <v>423</v>
      </c>
      <c r="I106" s="26" t="s">
        <v>1545</v>
      </c>
      <c r="J106" s="2" t="s">
        <v>386</v>
      </c>
      <c r="K106" s="88">
        <v>400000000</v>
      </c>
      <c r="L106" s="84">
        <v>76000000</v>
      </c>
      <c r="M106" s="85">
        <v>476000000</v>
      </c>
      <c r="N106" s="69" t="s">
        <v>302</v>
      </c>
      <c r="O106" s="3"/>
      <c r="P106" s="28">
        <f>+Tabla1513[[#This Row],[VALOR TOTAL DEL CONTRATO
(en pesos)
CON IVA
(inicial)]]+Tabla1513[[#This Row],[VALOR DE LAS ADICIONES
(en pesos)
CON IVA]]</f>
        <v>476000000</v>
      </c>
      <c r="Q106" s="37">
        <v>364</v>
      </c>
      <c r="R106" s="23" t="s">
        <v>302</v>
      </c>
      <c r="S106" s="4"/>
      <c r="T106" s="23" t="s">
        <v>302</v>
      </c>
      <c r="U106" s="23"/>
      <c r="V106" s="65">
        <v>45779</v>
      </c>
      <c r="W106" s="65">
        <v>46143</v>
      </c>
      <c r="X106" s="65">
        <v>46143</v>
      </c>
      <c r="Y106" s="64" t="s">
        <v>303</v>
      </c>
      <c r="Z106" s="71"/>
      <c r="AA106" s="75"/>
      <c r="AB106" s="30">
        <v>0.62460000000000004</v>
      </c>
      <c r="AC106" s="30">
        <v>0.62460000000000004</v>
      </c>
      <c r="AD106" s="31">
        <v>297314431</v>
      </c>
      <c r="AE106" s="56" t="s">
        <v>1000</v>
      </c>
      <c r="AG106" s="2"/>
    </row>
    <row r="107" spans="1:33" ht="43.5" x14ac:dyDescent="0.35">
      <c r="A107" s="43" t="s">
        <v>306</v>
      </c>
      <c r="B107" s="2" t="s">
        <v>31</v>
      </c>
      <c r="C107" s="26" t="s">
        <v>33</v>
      </c>
      <c r="D107" s="2" t="s">
        <v>300</v>
      </c>
      <c r="E107" s="74" t="s">
        <v>747</v>
      </c>
      <c r="F107" s="65">
        <v>45779</v>
      </c>
      <c r="G107" s="26" t="s">
        <v>150</v>
      </c>
      <c r="H107" s="67" t="s">
        <v>788</v>
      </c>
      <c r="I107" s="26" t="s">
        <v>1546</v>
      </c>
      <c r="J107" s="2" t="s">
        <v>397</v>
      </c>
      <c r="K107" s="88">
        <v>52950000</v>
      </c>
      <c r="L107" s="84">
        <v>10060500</v>
      </c>
      <c r="M107" s="85">
        <v>63010500</v>
      </c>
      <c r="N107" s="69" t="s">
        <v>302</v>
      </c>
      <c r="O107" s="3"/>
      <c r="P107" s="28">
        <f>+Tabla1513[[#This Row],[VALOR TOTAL DEL CONTRATO
(en pesos)
CON IVA
(inicial)]]+Tabla1513[[#This Row],[VALOR DE LAS ADICIONES
(en pesos)
CON IVA]]</f>
        <v>63010500</v>
      </c>
      <c r="Q107" s="37">
        <v>225</v>
      </c>
      <c r="R107" s="23" t="s">
        <v>302</v>
      </c>
      <c r="S107" s="4"/>
      <c r="T107" s="23" t="s">
        <v>302</v>
      </c>
      <c r="U107" s="23"/>
      <c r="V107" s="65">
        <v>45797</v>
      </c>
      <c r="W107" s="65">
        <v>46022</v>
      </c>
      <c r="X107" s="65">
        <v>46022</v>
      </c>
      <c r="Y107" s="64" t="s">
        <v>325</v>
      </c>
      <c r="Z107" s="71"/>
      <c r="AA107" s="70" t="s">
        <v>321</v>
      </c>
      <c r="AB107" s="30">
        <v>0.93</v>
      </c>
      <c r="AC107" s="30">
        <v>1</v>
      </c>
      <c r="AD107" s="31">
        <v>63010500</v>
      </c>
      <c r="AE107" s="32" t="s">
        <v>836</v>
      </c>
      <c r="AG107" s="2"/>
    </row>
    <row r="108" spans="1:33" ht="29" x14ac:dyDescent="0.35">
      <c r="A108" s="43" t="s">
        <v>306</v>
      </c>
      <c r="B108" s="2" t="s">
        <v>333</v>
      </c>
      <c r="C108" s="26" t="s">
        <v>63</v>
      </c>
      <c r="D108" s="2" t="s">
        <v>300</v>
      </c>
      <c r="E108" s="66" t="s">
        <v>753</v>
      </c>
      <c r="F108" s="65">
        <v>45777</v>
      </c>
      <c r="G108" s="26" t="s">
        <v>150</v>
      </c>
      <c r="H108" s="67" t="s">
        <v>423</v>
      </c>
      <c r="I108" s="26" t="s">
        <v>1547</v>
      </c>
      <c r="J108" s="2" t="s">
        <v>798</v>
      </c>
      <c r="K108" s="88">
        <v>400000000</v>
      </c>
      <c r="L108" s="84">
        <v>76000000</v>
      </c>
      <c r="M108" s="85">
        <v>476000000</v>
      </c>
      <c r="N108" s="69" t="s">
        <v>302</v>
      </c>
      <c r="O108" s="3"/>
      <c r="P108" s="28">
        <f>+Tabla1513[[#This Row],[VALOR TOTAL DEL CONTRATO
(en pesos)
CON IVA
(inicial)]]+Tabla1513[[#This Row],[VALOR DE LAS ADICIONES
(en pesos)
CON IVA]]</f>
        <v>476000000</v>
      </c>
      <c r="Q108" s="37">
        <v>364</v>
      </c>
      <c r="R108" s="23" t="s">
        <v>302</v>
      </c>
      <c r="S108" s="4"/>
      <c r="T108" s="23" t="s">
        <v>302</v>
      </c>
      <c r="U108" s="23"/>
      <c r="V108" s="65">
        <v>45779</v>
      </c>
      <c r="W108" s="65">
        <v>46143</v>
      </c>
      <c r="X108" s="65">
        <v>46143</v>
      </c>
      <c r="Y108" s="64" t="s">
        <v>303</v>
      </c>
      <c r="Z108" s="71"/>
      <c r="AA108" s="75"/>
      <c r="AB108" s="30">
        <v>2.0678000000000001</v>
      </c>
      <c r="AC108" s="30">
        <v>2.0678000000000001</v>
      </c>
      <c r="AD108" s="31">
        <v>984262623</v>
      </c>
      <c r="AE108" s="32" t="s">
        <v>909</v>
      </c>
      <c r="AG108" s="2"/>
    </row>
    <row r="109" spans="1:33" ht="29" x14ac:dyDescent="0.35">
      <c r="A109" s="43" t="s">
        <v>306</v>
      </c>
      <c r="B109" s="2" t="s">
        <v>333</v>
      </c>
      <c r="C109" s="26" t="s">
        <v>63</v>
      </c>
      <c r="D109" s="2" t="s">
        <v>300</v>
      </c>
      <c r="E109" s="66" t="s">
        <v>754</v>
      </c>
      <c r="F109" s="65">
        <v>45779</v>
      </c>
      <c r="G109" s="26" t="s">
        <v>150</v>
      </c>
      <c r="H109" s="67" t="s">
        <v>423</v>
      </c>
      <c r="I109" s="26" t="s">
        <v>1548</v>
      </c>
      <c r="J109" s="2" t="s">
        <v>387</v>
      </c>
      <c r="K109" s="88">
        <v>300000000</v>
      </c>
      <c r="L109" s="84">
        <v>57000000</v>
      </c>
      <c r="M109" s="85">
        <v>357000000</v>
      </c>
      <c r="N109" s="69" t="s">
        <v>302</v>
      </c>
      <c r="O109" s="3"/>
      <c r="P109" s="28">
        <f>+Tabla1513[[#This Row],[VALOR TOTAL DEL CONTRATO
(en pesos)
CON IVA
(inicial)]]+Tabla1513[[#This Row],[VALOR DE LAS ADICIONES
(en pesos)
CON IVA]]</f>
        <v>357000000</v>
      </c>
      <c r="Q109" s="37">
        <v>364</v>
      </c>
      <c r="R109" s="23" t="s">
        <v>302</v>
      </c>
      <c r="S109" s="4"/>
      <c r="T109" s="23" t="s">
        <v>302</v>
      </c>
      <c r="U109" s="23"/>
      <c r="V109" s="65">
        <v>45779</v>
      </c>
      <c r="W109" s="65">
        <v>46143</v>
      </c>
      <c r="X109" s="65">
        <v>46143</v>
      </c>
      <c r="Y109" s="64" t="s">
        <v>303</v>
      </c>
      <c r="Z109" s="71"/>
      <c r="AA109" s="75"/>
      <c r="AB109" s="30">
        <v>0.38080000000000003</v>
      </c>
      <c r="AC109" s="30">
        <v>0.38080000000000003</v>
      </c>
      <c r="AD109" s="31">
        <v>135949337</v>
      </c>
      <c r="AE109" s="32" t="s">
        <v>837</v>
      </c>
      <c r="AG109" s="2"/>
    </row>
    <row r="110" spans="1:33" ht="29" x14ac:dyDescent="0.35">
      <c r="A110" s="43" t="s">
        <v>306</v>
      </c>
      <c r="B110" s="2" t="s">
        <v>333</v>
      </c>
      <c r="C110" s="26" t="s">
        <v>63</v>
      </c>
      <c r="D110" s="2" t="s">
        <v>300</v>
      </c>
      <c r="E110" s="66" t="s">
        <v>839</v>
      </c>
      <c r="F110" s="65">
        <v>45779</v>
      </c>
      <c r="G110" s="26" t="s">
        <v>150</v>
      </c>
      <c r="H110" s="67" t="s">
        <v>423</v>
      </c>
      <c r="I110" s="26" t="s">
        <v>1549</v>
      </c>
      <c r="J110" s="2" t="s">
        <v>841</v>
      </c>
      <c r="K110" s="88">
        <v>300000000</v>
      </c>
      <c r="L110" s="84">
        <v>57000000</v>
      </c>
      <c r="M110" s="85">
        <v>357000000</v>
      </c>
      <c r="N110" s="69" t="s">
        <v>302</v>
      </c>
      <c r="O110" s="3"/>
      <c r="P110" s="28">
        <f>+Tabla1513[[#This Row],[VALOR TOTAL DEL CONTRATO
(en pesos)
CON IVA
(inicial)]]+Tabla1513[[#This Row],[VALOR DE LAS ADICIONES
(en pesos)
CON IVA]]</f>
        <v>357000000</v>
      </c>
      <c r="Q110" s="37">
        <v>364</v>
      </c>
      <c r="R110" s="23" t="s">
        <v>302</v>
      </c>
      <c r="S110" s="4"/>
      <c r="T110" s="23" t="s">
        <v>302</v>
      </c>
      <c r="U110" s="23"/>
      <c r="V110" s="65">
        <v>45779</v>
      </c>
      <c r="W110" s="65">
        <v>46143</v>
      </c>
      <c r="X110" s="65">
        <v>46143</v>
      </c>
      <c r="Y110" s="64" t="s">
        <v>303</v>
      </c>
      <c r="Z110" s="71"/>
      <c r="AA110" s="75"/>
      <c r="AB110" s="30">
        <v>3.6073</v>
      </c>
      <c r="AC110" s="30">
        <v>3.6073</v>
      </c>
      <c r="AD110" s="31">
        <v>1287792025</v>
      </c>
      <c r="AE110" s="56" t="s">
        <v>910</v>
      </c>
      <c r="AG110" s="2"/>
    </row>
    <row r="111" spans="1:33" ht="29" x14ac:dyDescent="0.35">
      <c r="A111" s="43" t="s">
        <v>306</v>
      </c>
      <c r="B111" s="2" t="s">
        <v>333</v>
      </c>
      <c r="C111" s="26" t="s">
        <v>63</v>
      </c>
      <c r="D111" s="2" t="s">
        <v>300</v>
      </c>
      <c r="E111" s="66" t="s">
        <v>840</v>
      </c>
      <c r="F111" s="65">
        <v>45779</v>
      </c>
      <c r="G111" s="26" t="s">
        <v>150</v>
      </c>
      <c r="H111" s="67" t="s">
        <v>423</v>
      </c>
      <c r="I111" s="26" t="s">
        <v>1550</v>
      </c>
      <c r="J111" s="2" t="s">
        <v>842</v>
      </c>
      <c r="K111" s="88">
        <v>300000000</v>
      </c>
      <c r="L111" s="84">
        <v>57000000</v>
      </c>
      <c r="M111" s="85">
        <v>357000000</v>
      </c>
      <c r="N111" s="69" t="s">
        <v>302</v>
      </c>
      <c r="O111" s="3"/>
      <c r="P111" s="28">
        <f>+Tabla1513[[#This Row],[VALOR TOTAL DEL CONTRATO
(en pesos)
CON IVA
(inicial)]]+Tabla1513[[#This Row],[VALOR DE LAS ADICIONES
(en pesos)
CON IVA]]</f>
        <v>357000000</v>
      </c>
      <c r="Q111" s="37">
        <v>364</v>
      </c>
      <c r="R111" s="23" t="s">
        <v>302</v>
      </c>
      <c r="S111" s="4"/>
      <c r="T111" s="23" t="s">
        <v>302</v>
      </c>
      <c r="U111" s="23"/>
      <c r="V111" s="65">
        <v>45779</v>
      </c>
      <c r="W111" s="65">
        <v>46143</v>
      </c>
      <c r="X111" s="65">
        <v>46143</v>
      </c>
      <c r="Y111" s="64" t="s">
        <v>303</v>
      </c>
      <c r="Z111" s="71"/>
      <c r="AA111" s="75"/>
      <c r="AB111" s="30">
        <v>0.73199999999999998</v>
      </c>
      <c r="AC111" s="30">
        <v>0.73199999999999998</v>
      </c>
      <c r="AD111" s="31">
        <v>261334738</v>
      </c>
      <c r="AE111" s="56" t="s">
        <v>911</v>
      </c>
      <c r="AG111" s="2"/>
    </row>
    <row r="112" spans="1:33" ht="29" x14ac:dyDescent="0.35">
      <c r="A112" s="43" t="s">
        <v>306</v>
      </c>
      <c r="B112" s="2" t="s">
        <v>333</v>
      </c>
      <c r="C112" s="26" t="s">
        <v>63</v>
      </c>
      <c r="D112" s="2" t="s">
        <v>300</v>
      </c>
      <c r="E112" s="66" t="s">
        <v>773</v>
      </c>
      <c r="F112" s="65">
        <v>45779</v>
      </c>
      <c r="G112" s="26" t="s">
        <v>150</v>
      </c>
      <c r="H112" s="67" t="s">
        <v>423</v>
      </c>
      <c r="I112" s="26" t="s">
        <v>1551</v>
      </c>
      <c r="J112" s="2" t="s">
        <v>390</v>
      </c>
      <c r="K112" s="88">
        <v>400000000</v>
      </c>
      <c r="L112" s="84">
        <v>76000000</v>
      </c>
      <c r="M112" s="85">
        <v>476000000</v>
      </c>
      <c r="N112" s="69" t="s">
        <v>302</v>
      </c>
      <c r="O112" s="3"/>
      <c r="P112" s="28">
        <f>+Tabla1513[[#This Row],[VALOR TOTAL DEL CONTRATO
(en pesos)
CON IVA
(inicial)]]+Tabla1513[[#This Row],[VALOR DE LAS ADICIONES
(en pesos)
CON IVA]]</f>
        <v>476000000</v>
      </c>
      <c r="Q112" s="37">
        <v>364</v>
      </c>
      <c r="R112" s="23" t="s">
        <v>302</v>
      </c>
      <c r="S112" s="4"/>
      <c r="T112" s="23" t="s">
        <v>302</v>
      </c>
      <c r="U112" s="23"/>
      <c r="V112" s="65">
        <v>45779</v>
      </c>
      <c r="W112" s="65">
        <v>46143</v>
      </c>
      <c r="X112" s="65">
        <v>46143</v>
      </c>
      <c r="Y112" s="64" t="s">
        <v>303</v>
      </c>
      <c r="Z112" s="71"/>
      <c r="AA112" s="75"/>
      <c r="AB112" s="30">
        <v>5.2098000000000004</v>
      </c>
      <c r="AC112" s="30">
        <v>5.2098000000000004</v>
      </c>
      <c r="AD112" s="31">
        <v>2479886880</v>
      </c>
      <c r="AE112" s="56" t="s">
        <v>1001</v>
      </c>
      <c r="AG112" s="2"/>
    </row>
    <row r="113" spans="1:33" ht="29" x14ac:dyDescent="0.35">
      <c r="A113" s="43" t="s">
        <v>306</v>
      </c>
      <c r="B113" s="2" t="s">
        <v>333</v>
      </c>
      <c r="C113" s="26" t="s">
        <v>63</v>
      </c>
      <c r="D113" s="2" t="s">
        <v>300</v>
      </c>
      <c r="E113" s="66" t="s">
        <v>772</v>
      </c>
      <c r="F113" s="65">
        <v>45779</v>
      </c>
      <c r="G113" s="26" t="s">
        <v>150</v>
      </c>
      <c r="H113" s="67" t="s">
        <v>423</v>
      </c>
      <c r="I113" s="26" t="s">
        <v>1552</v>
      </c>
      <c r="J113" s="2" t="s">
        <v>388</v>
      </c>
      <c r="K113" s="88">
        <v>400000000</v>
      </c>
      <c r="L113" s="84">
        <v>76000000</v>
      </c>
      <c r="M113" s="85">
        <v>476000000</v>
      </c>
      <c r="N113" s="69" t="s">
        <v>302</v>
      </c>
      <c r="O113" s="3"/>
      <c r="P113" s="28">
        <f>+Tabla1513[[#This Row],[VALOR TOTAL DEL CONTRATO
(en pesos)
CON IVA
(inicial)]]+Tabla1513[[#This Row],[VALOR DE LAS ADICIONES
(en pesos)
CON IVA]]</f>
        <v>476000000</v>
      </c>
      <c r="Q113" s="37">
        <v>364</v>
      </c>
      <c r="R113" s="23" t="s">
        <v>302</v>
      </c>
      <c r="S113" s="4"/>
      <c r="T113" s="23" t="s">
        <v>302</v>
      </c>
      <c r="U113" s="23"/>
      <c r="V113" s="65">
        <v>45779</v>
      </c>
      <c r="W113" s="65">
        <v>46143</v>
      </c>
      <c r="X113" s="65">
        <v>46143</v>
      </c>
      <c r="Y113" s="64" t="s">
        <v>303</v>
      </c>
      <c r="Z113" s="71"/>
      <c r="AA113" s="75"/>
      <c r="AB113" s="30">
        <v>0.2437</v>
      </c>
      <c r="AC113" s="30">
        <v>0.2437</v>
      </c>
      <c r="AD113" s="31">
        <v>116006148</v>
      </c>
      <c r="AE113" s="56" t="s">
        <v>1002</v>
      </c>
      <c r="AG113" s="2"/>
    </row>
    <row r="114" spans="1:33" ht="29" x14ac:dyDescent="0.35">
      <c r="A114" s="43" t="s">
        <v>306</v>
      </c>
      <c r="B114" s="2" t="s">
        <v>333</v>
      </c>
      <c r="C114" s="26" t="s">
        <v>63</v>
      </c>
      <c r="D114" s="2" t="s">
        <v>300</v>
      </c>
      <c r="E114" s="66" t="s">
        <v>766</v>
      </c>
      <c r="F114" s="65">
        <v>45779</v>
      </c>
      <c r="G114" s="26" t="s">
        <v>150</v>
      </c>
      <c r="H114" s="67" t="s">
        <v>423</v>
      </c>
      <c r="I114" s="26" t="s">
        <v>1553</v>
      </c>
      <c r="J114" s="2" t="s">
        <v>389</v>
      </c>
      <c r="K114" s="88">
        <v>200000000</v>
      </c>
      <c r="L114" s="84">
        <v>38000000</v>
      </c>
      <c r="M114" s="85">
        <v>238000000</v>
      </c>
      <c r="N114" s="69" t="s">
        <v>302</v>
      </c>
      <c r="O114" s="3"/>
      <c r="P114" s="28">
        <f>+Tabla1513[[#This Row],[VALOR TOTAL DEL CONTRATO
(en pesos)
CON IVA
(inicial)]]+Tabla1513[[#This Row],[VALOR DE LAS ADICIONES
(en pesos)
CON IVA]]</f>
        <v>238000000</v>
      </c>
      <c r="Q114" s="37">
        <v>364</v>
      </c>
      <c r="R114" s="23" t="s">
        <v>302</v>
      </c>
      <c r="S114" s="4"/>
      <c r="T114" s="23" t="s">
        <v>302</v>
      </c>
      <c r="U114" s="23"/>
      <c r="V114" s="65">
        <v>45779</v>
      </c>
      <c r="W114" s="65">
        <v>46143</v>
      </c>
      <c r="X114" s="65">
        <v>46143</v>
      </c>
      <c r="Y114" s="64" t="s">
        <v>303</v>
      </c>
      <c r="Z114" s="71"/>
      <c r="AA114" s="75"/>
      <c r="AB114" s="30">
        <v>0.74519999999999997</v>
      </c>
      <c r="AC114" s="30">
        <v>0.74519999999999997</v>
      </c>
      <c r="AD114" s="31">
        <v>177363836</v>
      </c>
      <c r="AE114" s="32" t="s">
        <v>912</v>
      </c>
      <c r="AG114" s="2"/>
    </row>
    <row r="115" spans="1:33" ht="29" x14ac:dyDescent="0.35">
      <c r="A115" s="43" t="s">
        <v>306</v>
      </c>
      <c r="B115" s="2" t="s">
        <v>333</v>
      </c>
      <c r="C115" s="26" t="s">
        <v>63</v>
      </c>
      <c r="D115" s="2" t="s">
        <v>300</v>
      </c>
      <c r="E115" s="66" t="s">
        <v>760</v>
      </c>
      <c r="F115" s="65">
        <v>45779</v>
      </c>
      <c r="G115" s="26" t="s">
        <v>150</v>
      </c>
      <c r="H115" s="67" t="s">
        <v>423</v>
      </c>
      <c r="I115" s="26" t="s">
        <v>1554</v>
      </c>
      <c r="J115" s="2" t="s">
        <v>801</v>
      </c>
      <c r="K115" s="88">
        <v>100000000</v>
      </c>
      <c r="L115" s="84">
        <v>19000000</v>
      </c>
      <c r="M115" s="85">
        <v>119000000</v>
      </c>
      <c r="N115" s="69" t="s">
        <v>302</v>
      </c>
      <c r="O115" s="3"/>
      <c r="P115" s="28">
        <f>+Tabla1513[[#This Row],[VALOR TOTAL DEL CONTRATO
(en pesos)
CON IVA
(inicial)]]+Tabla1513[[#This Row],[VALOR DE LAS ADICIONES
(en pesos)
CON IVA]]</f>
        <v>119000000</v>
      </c>
      <c r="Q115" s="37">
        <v>364</v>
      </c>
      <c r="R115" s="23" t="s">
        <v>302</v>
      </c>
      <c r="S115" s="4"/>
      <c r="T115" s="23" t="s">
        <v>302</v>
      </c>
      <c r="U115" s="23"/>
      <c r="V115" s="65">
        <v>45779</v>
      </c>
      <c r="W115" s="65">
        <v>46143</v>
      </c>
      <c r="X115" s="65">
        <v>46143</v>
      </c>
      <c r="Y115" s="64" t="s">
        <v>303</v>
      </c>
      <c r="Z115" s="71"/>
      <c r="AA115" s="75"/>
      <c r="AB115" s="30">
        <v>11.3498</v>
      </c>
      <c r="AC115" s="30">
        <v>11.3498</v>
      </c>
      <c r="AD115" s="31">
        <v>1350631289</v>
      </c>
      <c r="AE115" s="32" t="s">
        <v>1014</v>
      </c>
      <c r="AG115" s="2"/>
    </row>
    <row r="116" spans="1:33" ht="29" x14ac:dyDescent="0.35">
      <c r="A116" s="43" t="s">
        <v>306</v>
      </c>
      <c r="B116" s="2" t="s">
        <v>333</v>
      </c>
      <c r="C116" s="26" t="s">
        <v>63</v>
      </c>
      <c r="D116" s="2" t="s">
        <v>300</v>
      </c>
      <c r="E116" s="66" t="s">
        <v>767</v>
      </c>
      <c r="F116" s="65">
        <v>45779</v>
      </c>
      <c r="G116" s="26" t="s">
        <v>150</v>
      </c>
      <c r="H116" s="67" t="s">
        <v>423</v>
      </c>
      <c r="I116" s="26" t="s">
        <v>1555</v>
      </c>
      <c r="J116" s="2" t="s">
        <v>808</v>
      </c>
      <c r="K116" s="88">
        <v>200000000</v>
      </c>
      <c r="L116" s="84">
        <v>38000000</v>
      </c>
      <c r="M116" s="85">
        <v>238000000</v>
      </c>
      <c r="N116" s="69" t="s">
        <v>302</v>
      </c>
      <c r="O116" s="3"/>
      <c r="P116" s="28">
        <f>+Tabla1513[[#This Row],[VALOR TOTAL DEL CONTRATO
(en pesos)
CON IVA
(inicial)]]+Tabla1513[[#This Row],[VALOR DE LAS ADICIONES
(en pesos)
CON IVA]]</f>
        <v>238000000</v>
      </c>
      <c r="Q116" s="37">
        <v>364</v>
      </c>
      <c r="R116" s="23" t="s">
        <v>302</v>
      </c>
      <c r="S116" s="4"/>
      <c r="T116" s="23" t="s">
        <v>302</v>
      </c>
      <c r="U116" s="23"/>
      <c r="V116" s="65">
        <v>45779</v>
      </c>
      <c r="W116" s="65">
        <v>46143</v>
      </c>
      <c r="X116" s="65">
        <v>46143</v>
      </c>
      <c r="Y116" s="64" t="s">
        <v>303</v>
      </c>
      <c r="Z116" s="71"/>
      <c r="AA116" s="75"/>
      <c r="AB116" s="30">
        <v>0.52080000000000004</v>
      </c>
      <c r="AC116" s="30">
        <v>0.52080000000000004</v>
      </c>
      <c r="AD116" s="31">
        <v>123939785</v>
      </c>
      <c r="AE116" s="32" t="s">
        <v>913</v>
      </c>
      <c r="AG116" s="2"/>
    </row>
    <row r="117" spans="1:33" ht="29" x14ac:dyDescent="0.35">
      <c r="A117" s="43" t="s">
        <v>306</v>
      </c>
      <c r="B117" s="2" t="s">
        <v>333</v>
      </c>
      <c r="C117" s="26" t="s">
        <v>63</v>
      </c>
      <c r="D117" s="2" t="s">
        <v>300</v>
      </c>
      <c r="E117" s="66" t="s">
        <v>768</v>
      </c>
      <c r="F117" s="65">
        <v>45779</v>
      </c>
      <c r="G117" s="26" t="s">
        <v>150</v>
      </c>
      <c r="H117" s="67" t="s">
        <v>423</v>
      </c>
      <c r="I117" s="26" t="s">
        <v>1556</v>
      </c>
      <c r="J117" s="2" t="s">
        <v>809</v>
      </c>
      <c r="K117" s="88">
        <v>150000000</v>
      </c>
      <c r="L117" s="84">
        <v>28500000</v>
      </c>
      <c r="M117" s="85">
        <v>178500000</v>
      </c>
      <c r="N117" s="69" t="s">
        <v>302</v>
      </c>
      <c r="O117" s="3"/>
      <c r="P117" s="28">
        <f>+Tabla1513[[#This Row],[VALOR TOTAL DEL CONTRATO
(en pesos)
CON IVA
(inicial)]]+Tabla1513[[#This Row],[VALOR DE LAS ADICIONES
(en pesos)
CON IVA]]</f>
        <v>178500000</v>
      </c>
      <c r="Q117" s="37">
        <v>364</v>
      </c>
      <c r="R117" s="23" t="s">
        <v>302</v>
      </c>
      <c r="S117" s="4"/>
      <c r="T117" s="23" t="s">
        <v>302</v>
      </c>
      <c r="U117" s="23"/>
      <c r="V117" s="65">
        <v>45779</v>
      </c>
      <c r="W117" s="65">
        <v>46143</v>
      </c>
      <c r="X117" s="65">
        <v>46143</v>
      </c>
      <c r="Y117" s="64" t="s">
        <v>303</v>
      </c>
      <c r="Z117" s="71"/>
      <c r="AA117" s="75"/>
      <c r="AB117" s="30">
        <v>16.902699999999999</v>
      </c>
      <c r="AC117" s="30">
        <v>16.902699999999999</v>
      </c>
      <c r="AD117" s="31">
        <v>3017136953</v>
      </c>
      <c r="AE117" s="32" t="s">
        <v>914</v>
      </c>
      <c r="AG117" s="2"/>
    </row>
    <row r="118" spans="1:33" ht="29" x14ac:dyDescent="0.35">
      <c r="A118" s="43" t="s">
        <v>306</v>
      </c>
      <c r="B118" s="2" t="s">
        <v>333</v>
      </c>
      <c r="C118" s="26" t="s">
        <v>63</v>
      </c>
      <c r="D118" s="2" t="s">
        <v>300</v>
      </c>
      <c r="E118" s="66" t="s">
        <v>769</v>
      </c>
      <c r="F118" s="65">
        <v>45779</v>
      </c>
      <c r="G118" s="26" t="s">
        <v>150</v>
      </c>
      <c r="H118" s="67" t="s">
        <v>423</v>
      </c>
      <c r="I118" s="26" t="s">
        <v>1557</v>
      </c>
      <c r="J118" s="2" t="s">
        <v>810</v>
      </c>
      <c r="K118" s="88">
        <v>150000000</v>
      </c>
      <c r="L118" s="84">
        <v>28500000</v>
      </c>
      <c r="M118" s="85">
        <v>178500000</v>
      </c>
      <c r="N118" s="69" t="s">
        <v>302</v>
      </c>
      <c r="O118" s="3"/>
      <c r="P118" s="28">
        <f>+Tabla1513[[#This Row],[VALOR TOTAL DEL CONTRATO
(en pesos)
CON IVA
(inicial)]]+Tabla1513[[#This Row],[VALOR DE LAS ADICIONES
(en pesos)
CON IVA]]</f>
        <v>178500000</v>
      </c>
      <c r="Q118" s="37">
        <v>364</v>
      </c>
      <c r="R118" s="23" t="s">
        <v>302</v>
      </c>
      <c r="S118" s="4"/>
      <c r="T118" s="23" t="s">
        <v>302</v>
      </c>
      <c r="U118" s="23"/>
      <c r="V118" s="65">
        <v>45779</v>
      </c>
      <c r="W118" s="65">
        <v>46143</v>
      </c>
      <c r="X118" s="65">
        <v>46143</v>
      </c>
      <c r="Y118" s="64" t="s">
        <v>303</v>
      </c>
      <c r="Z118" s="71"/>
      <c r="AA118" s="75"/>
      <c r="AB118" s="30">
        <v>1.3224</v>
      </c>
      <c r="AC118" s="30">
        <v>1.3224</v>
      </c>
      <c r="AD118" s="31">
        <v>236052424</v>
      </c>
      <c r="AE118" s="32" t="s">
        <v>838</v>
      </c>
      <c r="AG118" s="2"/>
    </row>
    <row r="119" spans="1:33" ht="43.5" x14ac:dyDescent="0.35">
      <c r="A119" s="43" t="s">
        <v>306</v>
      </c>
      <c r="B119" s="2" t="s">
        <v>333</v>
      </c>
      <c r="C119" s="26" t="s">
        <v>63</v>
      </c>
      <c r="D119" s="2" t="s">
        <v>300</v>
      </c>
      <c r="E119" s="66" t="s">
        <v>759</v>
      </c>
      <c r="F119" s="65">
        <v>45777</v>
      </c>
      <c r="G119" s="26" t="s">
        <v>150</v>
      </c>
      <c r="H119" s="67" t="s">
        <v>423</v>
      </c>
      <c r="I119" s="26" t="s">
        <v>1558</v>
      </c>
      <c r="J119" s="2" t="s">
        <v>800</v>
      </c>
      <c r="K119" s="88">
        <v>400000000</v>
      </c>
      <c r="L119" s="84">
        <v>76000000</v>
      </c>
      <c r="M119" s="85">
        <v>476000000</v>
      </c>
      <c r="N119" s="69" t="s">
        <v>302</v>
      </c>
      <c r="O119" s="3"/>
      <c r="P119" s="28">
        <f>+Tabla1513[[#This Row],[VALOR TOTAL DEL CONTRATO
(en pesos)
CON IVA
(inicial)]]+Tabla1513[[#This Row],[VALOR DE LAS ADICIONES
(en pesos)
CON IVA]]</f>
        <v>476000000</v>
      </c>
      <c r="Q119" s="37">
        <v>364</v>
      </c>
      <c r="R119" s="23" t="s">
        <v>302</v>
      </c>
      <c r="S119" s="4"/>
      <c r="T119" s="23" t="s">
        <v>302</v>
      </c>
      <c r="U119" s="23"/>
      <c r="V119" s="65">
        <v>45780</v>
      </c>
      <c r="W119" s="65">
        <v>46144</v>
      </c>
      <c r="X119" s="65">
        <v>46144</v>
      </c>
      <c r="Y119" s="64" t="s">
        <v>303</v>
      </c>
      <c r="Z119" s="71"/>
      <c r="AA119" s="75"/>
      <c r="AB119" s="30">
        <v>0.63039999999999996</v>
      </c>
      <c r="AC119" s="30">
        <v>0.63039999999999996</v>
      </c>
      <c r="AD119" s="31">
        <v>300056209</v>
      </c>
      <c r="AE119" s="32" t="s">
        <v>1003</v>
      </c>
      <c r="AG119" s="2"/>
    </row>
    <row r="120" spans="1:33" ht="29" x14ac:dyDescent="0.35">
      <c r="A120" s="43" t="s">
        <v>306</v>
      </c>
      <c r="B120" s="2" t="s">
        <v>11</v>
      </c>
      <c r="C120" s="26" t="s">
        <v>19</v>
      </c>
      <c r="D120" s="2" t="s">
        <v>300</v>
      </c>
      <c r="E120" s="66" t="s">
        <v>843</v>
      </c>
      <c r="F120" s="65">
        <v>45785</v>
      </c>
      <c r="G120" s="26" t="s">
        <v>113</v>
      </c>
      <c r="H120" s="67" t="s">
        <v>844</v>
      </c>
      <c r="I120" s="26" t="s">
        <v>1559</v>
      </c>
      <c r="J120" s="2" t="s">
        <v>338</v>
      </c>
      <c r="K120" s="88">
        <v>70888902</v>
      </c>
      <c r="L120" s="84">
        <v>0</v>
      </c>
      <c r="M120" s="85">
        <v>70888902</v>
      </c>
      <c r="N120" s="69" t="s">
        <v>302</v>
      </c>
      <c r="O120" s="3"/>
      <c r="P120" s="28">
        <f>+Tabla1513[[#This Row],[VALOR TOTAL DEL CONTRATO
(en pesos)
CON IVA
(inicial)]]+Tabla1513[[#This Row],[VALOR DE LAS ADICIONES
(en pesos)
CON IVA]]</f>
        <v>70888902</v>
      </c>
      <c r="Q120" s="37">
        <v>60</v>
      </c>
      <c r="R120" s="23" t="s">
        <v>302</v>
      </c>
      <c r="S120" s="4"/>
      <c r="T120" s="23" t="s">
        <v>302</v>
      </c>
      <c r="U120" s="23"/>
      <c r="V120" s="65">
        <v>45785</v>
      </c>
      <c r="W120" s="65">
        <v>45845</v>
      </c>
      <c r="X120" s="65">
        <v>45845</v>
      </c>
      <c r="Y120" s="64" t="s">
        <v>320</v>
      </c>
      <c r="Z120" s="71"/>
      <c r="AA120" s="71" t="s">
        <v>321</v>
      </c>
      <c r="AB120" s="30">
        <v>1</v>
      </c>
      <c r="AC120" s="30">
        <v>1</v>
      </c>
      <c r="AD120" s="31">
        <v>70888902</v>
      </c>
      <c r="AE120" s="32" t="s">
        <v>915</v>
      </c>
      <c r="AG120" s="2"/>
    </row>
    <row r="121" spans="1:33" ht="29" x14ac:dyDescent="0.35">
      <c r="A121" s="43" t="s">
        <v>306</v>
      </c>
      <c r="B121" s="2" t="s">
        <v>333</v>
      </c>
      <c r="C121" s="26" t="s">
        <v>63</v>
      </c>
      <c r="D121" s="2" t="s">
        <v>300</v>
      </c>
      <c r="E121" s="66" t="s">
        <v>761</v>
      </c>
      <c r="F121" s="65">
        <v>45785</v>
      </c>
      <c r="G121" s="26" t="s">
        <v>150</v>
      </c>
      <c r="H121" s="67" t="s">
        <v>423</v>
      </c>
      <c r="I121" s="26" t="s">
        <v>1560</v>
      </c>
      <c r="J121" s="2" t="s">
        <v>395</v>
      </c>
      <c r="K121" s="88">
        <v>150000000</v>
      </c>
      <c r="L121" s="84">
        <v>28500000</v>
      </c>
      <c r="M121" s="85">
        <v>178500000</v>
      </c>
      <c r="N121" s="69" t="s">
        <v>302</v>
      </c>
      <c r="O121" s="3"/>
      <c r="P121" s="28">
        <f>+Tabla1513[[#This Row],[VALOR TOTAL DEL CONTRATO
(en pesos)
CON IVA
(inicial)]]+Tabla1513[[#This Row],[VALOR DE LAS ADICIONES
(en pesos)
CON IVA]]</f>
        <v>178500000</v>
      </c>
      <c r="Q121" s="37">
        <v>364</v>
      </c>
      <c r="R121" s="23" t="s">
        <v>302</v>
      </c>
      <c r="S121" s="4"/>
      <c r="T121" s="23" t="s">
        <v>302</v>
      </c>
      <c r="U121" s="23"/>
      <c r="V121" s="65">
        <v>45785</v>
      </c>
      <c r="W121" s="65">
        <v>46149</v>
      </c>
      <c r="X121" s="65">
        <v>46149</v>
      </c>
      <c r="Y121" s="64" t="s">
        <v>303</v>
      </c>
      <c r="Z121" s="71"/>
      <c r="AA121" s="75"/>
      <c r="AB121" s="30">
        <v>0.15129999999999999</v>
      </c>
      <c r="AC121" s="30">
        <v>0.15129999999999999</v>
      </c>
      <c r="AD121" s="31">
        <v>27013000</v>
      </c>
      <c r="AE121" s="32" t="s">
        <v>916</v>
      </c>
      <c r="AG121" s="2"/>
    </row>
    <row r="122" spans="1:33" ht="29" x14ac:dyDescent="0.35">
      <c r="A122" s="43" t="s">
        <v>306</v>
      </c>
      <c r="B122" s="2" t="s">
        <v>333</v>
      </c>
      <c r="C122" s="26" t="s">
        <v>63</v>
      </c>
      <c r="D122" s="2" t="s">
        <v>300</v>
      </c>
      <c r="E122" s="66" t="s">
        <v>758</v>
      </c>
      <c r="F122" s="65">
        <v>45790</v>
      </c>
      <c r="G122" s="26" t="s">
        <v>150</v>
      </c>
      <c r="H122" s="67" t="s">
        <v>423</v>
      </c>
      <c r="I122" s="26" t="s">
        <v>1561</v>
      </c>
      <c r="J122" s="2" t="s">
        <v>396</v>
      </c>
      <c r="K122" s="88">
        <v>150000000</v>
      </c>
      <c r="L122" s="84">
        <v>28500000</v>
      </c>
      <c r="M122" s="85">
        <v>178500000</v>
      </c>
      <c r="N122" s="69" t="s">
        <v>302</v>
      </c>
      <c r="O122" s="3"/>
      <c r="P122" s="28">
        <f>+Tabla1513[[#This Row],[VALOR TOTAL DEL CONTRATO
(en pesos)
CON IVA
(inicial)]]+Tabla1513[[#This Row],[VALOR DE LAS ADICIONES
(en pesos)
CON IVA]]</f>
        <v>178500000</v>
      </c>
      <c r="Q122" s="37">
        <v>364</v>
      </c>
      <c r="R122" s="23" t="s">
        <v>302</v>
      </c>
      <c r="S122" s="4"/>
      <c r="T122" s="23" t="s">
        <v>302</v>
      </c>
      <c r="U122" s="23"/>
      <c r="V122" s="65">
        <v>45793</v>
      </c>
      <c r="W122" s="65">
        <v>46157</v>
      </c>
      <c r="X122" s="65">
        <v>46157</v>
      </c>
      <c r="Y122" s="64" t="s">
        <v>303</v>
      </c>
      <c r="Z122" s="71"/>
      <c r="AA122" s="75"/>
      <c r="AB122" s="30">
        <v>0.41410000000000002</v>
      </c>
      <c r="AC122" s="30">
        <v>0.41410000000000002</v>
      </c>
      <c r="AD122" s="31">
        <v>73918470</v>
      </c>
      <c r="AE122" s="32" t="s">
        <v>982</v>
      </c>
      <c r="AG122" s="2"/>
    </row>
    <row r="123" spans="1:33" ht="43.5" x14ac:dyDescent="0.35">
      <c r="A123" s="43" t="s">
        <v>306</v>
      </c>
      <c r="B123" s="2" t="s">
        <v>327</v>
      </c>
      <c r="C123" s="26" t="s">
        <v>46</v>
      </c>
      <c r="D123" s="2" t="s">
        <v>300</v>
      </c>
      <c r="E123" s="66" t="s">
        <v>744</v>
      </c>
      <c r="F123" s="65">
        <v>45790</v>
      </c>
      <c r="G123" s="26" t="s">
        <v>150</v>
      </c>
      <c r="H123" s="67" t="s">
        <v>998</v>
      </c>
      <c r="I123" s="26" t="s">
        <v>1562</v>
      </c>
      <c r="J123" s="2" t="s">
        <v>784</v>
      </c>
      <c r="K123" s="88">
        <v>542929508</v>
      </c>
      <c r="L123" s="84">
        <v>103156606</v>
      </c>
      <c r="M123" s="85">
        <v>646086114</v>
      </c>
      <c r="N123" s="69" t="s">
        <v>302</v>
      </c>
      <c r="O123" s="3"/>
      <c r="P123" s="28">
        <f>+Tabla1513[[#This Row],[VALOR TOTAL DEL CONTRATO
(en pesos)
CON IVA
(inicial)]]+Tabla1513[[#This Row],[VALOR DE LAS ADICIONES
(en pesos)
CON IVA]]</f>
        <v>646086114</v>
      </c>
      <c r="Q123" s="37">
        <v>729</v>
      </c>
      <c r="R123" s="23" t="s">
        <v>302</v>
      </c>
      <c r="S123" s="4"/>
      <c r="T123" s="23" t="s">
        <v>302</v>
      </c>
      <c r="U123" s="23"/>
      <c r="V123" s="65">
        <v>45796</v>
      </c>
      <c r="W123" s="65">
        <v>46525</v>
      </c>
      <c r="X123" s="65">
        <v>46525</v>
      </c>
      <c r="Y123" s="64" t="s">
        <v>303</v>
      </c>
      <c r="Z123" s="71"/>
      <c r="AA123" s="75"/>
      <c r="AB123" s="61">
        <v>0.31</v>
      </c>
      <c r="AC123" s="61">
        <v>0.41799999999999998</v>
      </c>
      <c r="AD123" s="62">
        <v>270043170.93599999</v>
      </c>
      <c r="AE123" s="32" t="s">
        <v>917</v>
      </c>
      <c r="AG123" s="2"/>
    </row>
    <row r="124" spans="1:33" ht="43.5" x14ac:dyDescent="0.35">
      <c r="A124" s="43" t="s">
        <v>306</v>
      </c>
      <c r="B124" s="2" t="s">
        <v>11</v>
      </c>
      <c r="C124" s="26" t="s">
        <v>20</v>
      </c>
      <c r="D124" s="2" t="s">
        <v>300</v>
      </c>
      <c r="E124" s="66" t="s">
        <v>748</v>
      </c>
      <c r="F124" s="65">
        <v>45792</v>
      </c>
      <c r="G124" s="26" t="s">
        <v>113</v>
      </c>
      <c r="H124" s="67" t="s">
        <v>789</v>
      </c>
      <c r="I124" s="26" t="s">
        <v>1563</v>
      </c>
      <c r="J124" s="2" t="s">
        <v>790</v>
      </c>
      <c r="K124" s="88">
        <v>18590000</v>
      </c>
      <c r="L124" s="84">
        <v>3532100</v>
      </c>
      <c r="M124" s="85">
        <v>22122100</v>
      </c>
      <c r="N124" s="69" t="s">
        <v>302</v>
      </c>
      <c r="O124" s="3"/>
      <c r="P124" s="28">
        <f>+Tabla1513[[#This Row],[VALOR TOTAL DEL CONTRATO
(en pesos)
CON IVA
(inicial)]]+Tabla1513[[#This Row],[VALOR DE LAS ADICIONES
(en pesos)
CON IVA]]</f>
        <v>22122100</v>
      </c>
      <c r="Q124" s="37">
        <v>219</v>
      </c>
      <c r="R124" s="23" t="s">
        <v>302</v>
      </c>
      <c r="S124" s="4"/>
      <c r="T124" s="23" t="s">
        <v>302</v>
      </c>
      <c r="U124" s="23"/>
      <c r="V124" s="65">
        <v>45803</v>
      </c>
      <c r="W124" s="65">
        <v>46022</v>
      </c>
      <c r="X124" s="65">
        <v>46022</v>
      </c>
      <c r="Y124" s="64" t="s">
        <v>325</v>
      </c>
      <c r="Z124" s="71"/>
      <c r="AA124" s="70" t="s">
        <v>321</v>
      </c>
      <c r="AB124" s="30">
        <v>0.97</v>
      </c>
      <c r="AC124" s="30">
        <v>1</v>
      </c>
      <c r="AD124" s="31">
        <v>22121743</v>
      </c>
      <c r="AE124" s="32" t="s">
        <v>983</v>
      </c>
      <c r="AG124" s="2"/>
    </row>
    <row r="125" spans="1:33" ht="29" x14ac:dyDescent="0.35">
      <c r="A125" s="43" t="s">
        <v>306</v>
      </c>
      <c r="B125" s="2" t="s">
        <v>327</v>
      </c>
      <c r="C125" s="26" t="s">
        <v>45</v>
      </c>
      <c r="D125" s="2" t="s">
        <v>300</v>
      </c>
      <c r="E125" s="66" t="s">
        <v>845</v>
      </c>
      <c r="F125" s="65">
        <v>45797</v>
      </c>
      <c r="G125" s="26" t="s">
        <v>150</v>
      </c>
      <c r="H125" s="67" t="s">
        <v>846</v>
      </c>
      <c r="I125" s="26" t="s">
        <v>1564</v>
      </c>
      <c r="J125" s="2" t="s">
        <v>350</v>
      </c>
      <c r="K125" s="88">
        <v>593591800</v>
      </c>
      <c r="L125" s="84">
        <v>0</v>
      </c>
      <c r="M125" s="85">
        <v>593591800</v>
      </c>
      <c r="N125" s="69" t="s">
        <v>302</v>
      </c>
      <c r="O125" s="3"/>
      <c r="P125" s="28">
        <f>+Tabla1513[[#This Row],[VALOR TOTAL DEL CONTRATO
(en pesos)
CON IVA
(inicial)]]+Tabla1513[[#This Row],[VALOR DE LAS ADICIONES
(en pesos)
CON IVA]]</f>
        <v>593591800</v>
      </c>
      <c r="Q125" s="37">
        <v>729</v>
      </c>
      <c r="R125" s="23" t="s">
        <v>302</v>
      </c>
      <c r="S125" s="4"/>
      <c r="T125" s="23" t="s">
        <v>302</v>
      </c>
      <c r="U125" s="23"/>
      <c r="V125" s="65">
        <v>45809</v>
      </c>
      <c r="W125" s="65">
        <v>46538</v>
      </c>
      <c r="X125" s="65">
        <v>46538</v>
      </c>
      <c r="Y125" s="64" t="s">
        <v>303</v>
      </c>
      <c r="Z125" s="71"/>
      <c r="AA125" s="75"/>
      <c r="AB125" s="61">
        <v>0.25</v>
      </c>
      <c r="AC125" s="61">
        <v>0.21</v>
      </c>
      <c r="AD125" s="62">
        <v>127581045.37</v>
      </c>
      <c r="AE125" s="56" t="s">
        <v>1148</v>
      </c>
      <c r="AG125" s="2"/>
    </row>
    <row r="126" spans="1:33" ht="29" x14ac:dyDescent="0.35">
      <c r="A126" s="43" t="s">
        <v>306</v>
      </c>
      <c r="B126" s="2" t="s">
        <v>327</v>
      </c>
      <c r="C126" s="2" t="s">
        <v>43</v>
      </c>
      <c r="D126" s="2" t="s">
        <v>300</v>
      </c>
      <c r="E126" s="66" t="s">
        <v>847</v>
      </c>
      <c r="F126" s="65">
        <v>45792</v>
      </c>
      <c r="G126" s="26" t="s">
        <v>150</v>
      </c>
      <c r="H126" s="67" t="s">
        <v>848</v>
      </c>
      <c r="I126" s="26" t="s">
        <v>1565</v>
      </c>
      <c r="J126" s="2" t="s">
        <v>849</v>
      </c>
      <c r="K126" s="88">
        <v>56000000</v>
      </c>
      <c r="L126" s="84"/>
      <c r="M126" s="85">
        <v>56000000</v>
      </c>
      <c r="N126" s="69" t="s">
        <v>302</v>
      </c>
      <c r="O126" s="3"/>
      <c r="P126" s="28">
        <f>+Tabla1513[[#This Row],[VALOR TOTAL DEL CONTRATO
(en pesos)
CON IVA
(inicial)]]+Tabla1513[[#This Row],[VALOR DE LAS ADICIONES
(en pesos)
CON IVA]]</f>
        <v>56000000</v>
      </c>
      <c r="Q126" s="37">
        <v>213</v>
      </c>
      <c r="R126" s="23" t="s">
        <v>302</v>
      </c>
      <c r="S126" s="4"/>
      <c r="T126" s="23" t="s">
        <v>302</v>
      </c>
      <c r="U126" s="23"/>
      <c r="V126" s="65">
        <v>45792</v>
      </c>
      <c r="W126" s="65">
        <v>46005</v>
      </c>
      <c r="X126" s="65">
        <v>46005</v>
      </c>
      <c r="Y126" s="64" t="s">
        <v>325</v>
      </c>
      <c r="Z126" s="71"/>
      <c r="AA126" s="70" t="s">
        <v>321</v>
      </c>
      <c r="AB126" s="61">
        <v>1</v>
      </c>
      <c r="AC126" s="61">
        <v>1</v>
      </c>
      <c r="AD126" s="62">
        <v>48000000</v>
      </c>
      <c r="AE126" s="56" t="s">
        <v>1015</v>
      </c>
      <c r="AG126" s="2"/>
    </row>
    <row r="127" spans="1:33" ht="43.5" x14ac:dyDescent="0.35">
      <c r="A127" s="43" t="s">
        <v>306</v>
      </c>
      <c r="B127" s="2" t="s">
        <v>329</v>
      </c>
      <c r="C127" s="26" t="s">
        <v>406</v>
      </c>
      <c r="D127" s="2" t="s">
        <v>300</v>
      </c>
      <c r="E127" s="74" t="s">
        <v>750</v>
      </c>
      <c r="F127" s="65">
        <v>45792</v>
      </c>
      <c r="G127" s="26" t="s">
        <v>150</v>
      </c>
      <c r="H127" s="67" t="s">
        <v>793</v>
      </c>
      <c r="I127" s="26" t="s">
        <v>1566</v>
      </c>
      <c r="J127" s="2" t="s">
        <v>794</v>
      </c>
      <c r="K127" s="88">
        <v>53834316</v>
      </c>
      <c r="L127" s="84">
        <v>0</v>
      </c>
      <c r="M127" s="85">
        <v>53834316</v>
      </c>
      <c r="N127" s="69" t="s">
        <v>302</v>
      </c>
      <c r="O127" s="3"/>
      <c r="P127" s="28">
        <f>+Tabla1513[[#This Row],[VALOR TOTAL DEL CONTRATO
(en pesos)
CON IVA
(inicial)]]+Tabla1513[[#This Row],[VALOR DE LAS ADICIONES
(en pesos)
CON IVA]]</f>
        <v>53834316</v>
      </c>
      <c r="Q127" s="37">
        <v>209</v>
      </c>
      <c r="R127" s="23" t="s">
        <v>302</v>
      </c>
      <c r="S127" s="4"/>
      <c r="T127" s="23" t="s">
        <v>302</v>
      </c>
      <c r="U127" s="23"/>
      <c r="V127" s="65">
        <v>45813</v>
      </c>
      <c r="W127" s="65">
        <v>46022</v>
      </c>
      <c r="X127" s="65">
        <v>46022</v>
      </c>
      <c r="Y127" s="64" t="s">
        <v>320</v>
      </c>
      <c r="Z127" s="71"/>
      <c r="AA127" s="70" t="s">
        <v>321</v>
      </c>
      <c r="AB127" s="30">
        <v>0.85170000000000001</v>
      </c>
      <c r="AC127" s="30">
        <v>0.58330000000000004</v>
      </c>
      <c r="AD127" s="31">
        <v>40433499</v>
      </c>
      <c r="AE127" s="56" t="s">
        <v>918</v>
      </c>
      <c r="AG127" s="2"/>
    </row>
    <row r="128" spans="1:33" ht="43.5" x14ac:dyDescent="0.35">
      <c r="A128" s="43" t="s">
        <v>306</v>
      </c>
      <c r="B128" s="2" t="s">
        <v>31</v>
      </c>
      <c r="C128" s="26" t="s">
        <v>424</v>
      </c>
      <c r="D128" s="2" t="s">
        <v>300</v>
      </c>
      <c r="E128" s="74" t="s">
        <v>850</v>
      </c>
      <c r="F128" s="65">
        <v>45792</v>
      </c>
      <c r="G128" s="26" t="s">
        <v>150</v>
      </c>
      <c r="H128" s="67" t="s">
        <v>851</v>
      </c>
      <c r="I128" s="26" t="s">
        <v>1567</v>
      </c>
      <c r="J128" s="2" t="s">
        <v>340</v>
      </c>
      <c r="K128" s="88">
        <v>18278400</v>
      </c>
      <c r="L128" s="84">
        <v>3472896</v>
      </c>
      <c r="M128" s="85">
        <v>21751296</v>
      </c>
      <c r="N128" s="69" t="s">
        <v>302</v>
      </c>
      <c r="O128" s="3"/>
      <c r="P128" s="28">
        <f>+Tabla1513[[#This Row],[VALOR TOTAL DEL CONTRATO
(en pesos)
CON IVA
(inicial)]]+Tabla1513[[#This Row],[VALOR DE LAS ADICIONES
(en pesos)
CON IVA]]</f>
        <v>21751296</v>
      </c>
      <c r="Q128" s="37">
        <v>188</v>
      </c>
      <c r="R128" s="23" t="s">
        <v>302</v>
      </c>
      <c r="S128" s="4"/>
      <c r="T128" s="23" t="s">
        <v>302</v>
      </c>
      <c r="U128" s="23"/>
      <c r="V128" s="65">
        <v>45803</v>
      </c>
      <c r="W128" s="65">
        <v>45991</v>
      </c>
      <c r="X128" s="65">
        <v>45991</v>
      </c>
      <c r="Y128" s="64" t="s">
        <v>320</v>
      </c>
      <c r="Z128" s="71"/>
      <c r="AA128" s="75" t="s">
        <v>321</v>
      </c>
      <c r="AB128" s="30">
        <v>1</v>
      </c>
      <c r="AC128" s="30">
        <v>1</v>
      </c>
      <c r="AD128" s="31">
        <v>21751296</v>
      </c>
      <c r="AE128" s="56" t="s">
        <v>1016</v>
      </c>
      <c r="AG128" s="2"/>
    </row>
    <row r="129" spans="1:33" ht="43.5" x14ac:dyDescent="0.35">
      <c r="A129" s="43" t="s">
        <v>306</v>
      </c>
      <c r="B129" s="2" t="s">
        <v>329</v>
      </c>
      <c r="C129" s="26" t="s">
        <v>406</v>
      </c>
      <c r="D129" s="2" t="s">
        <v>300</v>
      </c>
      <c r="E129" s="74" t="s">
        <v>751</v>
      </c>
      <c r="F129" s="65">
        <v>45792</v>
      </c>
      <c r="G129" s="26" t="s">
        <v>150</v>
      </c>
      <c r="H129" s="67" t="s">
        <v>795</v>
      </c>
      <c r="I129" s="26" t="s">
        <v>1568</v>
      </c>
      <c r="J129" s="2" t="s">
        <v>796</v>
      </c>
      <c r="K129" s="88">
        <v>24370883</v>
      </c>
      <c r="L129" s="84">
        <v>0</v>
      </c>
      <c r="M129" s="85">
        <v>24370883</v>
      </c>
      <c r="N129" s="69" t="s">
        <v>302</v>
      </c>
      <c r="O129" s="3"/>
      <c r="P129" s="28">
        <f>+Tabla1513[[#This Row],[VALOR TOTAL DEL CONTRATO
(en pesos)
CON IVA
(inicial)]]+Tabla1513[[#This Row],[VALOR DE LAS ADICIONES
(en pesos)
CON IVA]]</f>
        <v>24370883</v>
      </c>
      <c r="Q129" s="37">
        <v>209</v>
      </c>
      <c r="R129" s="23" t="s">
        <v>302</v>
      </c>
      <c r="S129" s="4"/>
      <c r="T129" s="23" t="s">
        <v>302</v>
      </c>
      <c r="U129" s="23"/>
      <c r="V129" s="65">
        <v>45813</v>
      </c>
      <c r="W129" s="65">
        <v>46022</v>
      </c>
      <c r="X129" s="65">
        <v>46022</v>
      </c>
      <c r="Y129" s="64" t="s">
        <v>320</v>
      </c>
      <c r="Z129" s="71"/>
      <c r="AA129" s="70" t="s">
        <v>321</v>
      </c>
      <c r="AB129" s="30">
        <v>0.85170000000000001</v>
      </c>
      <c r="AC129" s="30">
        <v>0.64810000000000001</v>
      </c>
      <c r="AD129" s="31">
        <v>15795961</v>
      </c>
      <c r="AE129" s="56" t="s">
        <v>1017</v>
      </c>
      <c r="AG129" s="2"/>
    </row>
    <row r="130" spans="1:33" ht="43.5" x14ac:dyDescent="0.35">
      <c r="A130" s="43" t="s">
        <v>306</v>
      </c>
      <c r="B130" s="2" t="s">
        <v>329</v>
      </c>
      <c r="C130" s="26" t="s">
        <v>406</v>
      </c>
      <c r="D130" s="2" t="s">
        <v>300</v>
      </c>
      <c r="E130" s="74" t="s">
        <v>852</v>
      </c>
      <c r="F130" s="65">
        <v>45793</v>
      </c>
      <c r="G130" s="26" t="s">
        <v>150</v>
      </c>
      <c r="H130" s="67" t="s">
        <v>795</v>
      </c>
      <c r="I130" s="26" t="s">
        <v>1569</v>
      </c>
      <c r="J130" s="2" t="s">
        <v>853</v>
      </c>
      <c r="K130" s="88">
        <v>24370920</v>
      </c>
      <c r="L130" s="84">
        <v>0</v>
      </c>
      <c r="M130" s="85">
        <v>24370920</v>
      </c>
      <c r="N130" s="69" t="s">
        <v>302</v>
      </c>
      <c r="O130" s="3"/>
      <c r="P130" s="28">
        <f>+Tabla1513[[#This Row],[VALOR TOTAL DEL CONTRATO
(en pesos)
CON IVA
(inicial)]]+Tabla1513[[#This Row],[VALOR DE LAS ADICIONES
(en pesos)
CON IVA]]</f>
        <v>24370920</v>
      </c>
      <c r="Q130" s="37">
        <v>209</v>
      </c>
      <c r="R130" s="23" t="s">
        <v>302</v>
      </c>
      <c r="S130" s="4"/>
      <c r="T130" s="23" t="s">
        <v>302</v>
      </c>
      <c r="U130" s="23"/>
      <c r="V130" s="65">
        <v>45813</v>
      </c>
      <c r="W130" s="65">
        <v>46022</v>
      </c>
      <c r="X130" s="65">
        <v>46022</v>
      </c>
      <c r="Y130" s="64" t="s">
        <v>320</v>
      </c>
      <c r="Z130" s="71"/>
      <c r="AA130" s="70" t="s">
        <v>321</v>
      </c>
      <c r="AB130" s="30">
        <v>0.85170000000000001</v>
      </c>
      <c r="AC130" s="30">
        <v>0.64810000000000001</v>
      </c>
      <c r="AD130" s="31">
        <v>15795961</v>
      </c>
      <c r="AE130" s="32" t="s">
        <v>919</v>
      </c>
      <c r="AG130" s="2"/>
    </row>
    <row r="131" spans="1:33" ht="29" x14ac:dyDescent="0.35">
      <c r="A131" s="43" t="s">
        <v>306</v>
      </c>
      <c r="B131" s="2" t="s">
        <v>31</v>
      </c>
      <c r="C131" s="26" t="s">
        <v>34</v>
      </c>
      <c r="D131" s="2" t="s">
        <v>324</v>
      </c>
      <c r="E131" s="74" t="s">
        <v>739</v>
      </c>
      <c r="F131" s="65">
        <v>45803</v>
      </c>
      <c r="G131" s="26" t="s">
        <v>150</v>
      </c>
      <c r="H131" s="81" t="s">
        <v>776</v>
      </c>
      <c r="I131" s="26" t="s">
        <v>1570</v>
      </c>
      <c r="J131" s="2" t="s">
        <v>777</v>
      </c>
      <c r="K131" s="88">
        <v>1398645935</v>
      </c>
      <c r="L131" s="84">
        <v>147259488</v>
      </c>
      <c r="M131" s="85">
        <v>1545905423</v>
      </c>
      <c r="N131" s="69" t="s">
        <v>302</v>
      </c>
      <c r="O131" s="3"/>
      <c r="P131" s="28">
        <f>+Tabla1513[[#This Row],[VALOR TOTAL DEL CONTRATO
(en pesos)
CON IVA
(inicial)]]+Tabla1513[[#This Row],[VALOR DE LAS ADICIONES
(en pesos)
CON IVA]]</f>
        <v>1545905423</v>
      </c>
      <c r="Q131" s="37">
        <v>457</v>
      </c>
      <c r="R131" s="23" t="s">
        <v>302</v>
      </c>
      <c r="S131" s="4"/>
      <c r="T131" s="23" t="s">
        <v>302</v>
      </c>
      <c r="U131" s="23"/>
      <c r="V131" s="65">
        <v>45819</v>
      </c>
      <c r="W131" s="65">
        <v>46276</v>
      </c>
      <c r="X131" s="65">
        <v>46276</v>
      </c>
      <c r="Y131" s="64" t="s">
        <v>303</v>
      </c>
      <c r="Z131" s="71"/>
      <c r="AA131" s="75"/>
      <c r="AB131" s="30">
        <v>0.4</v>
      </c>
      <c r="AC131" s="30">
        <v>0.25</v>
      </c>
      <c r="AD131" s="31">
        <v>351257865.80000001</v>
      </c>
      <c r="AE131" s="32" t="s">
        <v>920</v>
      </c>
      <c r="AG131" s="2"/>
    </row>
    <row r="132" spans="1:33" ht="29" x14ac:dyDescent="0.35">
      <c r="A132" s="43" t="s">
        <v>306</v>
      </c>
      <c r="B132" s="2" t="s">
        <v>327</v>
      </c>
      <c r="C132" s="26" t="s">
        <v>45</v>
      </c>
      <c r="D132" s="2" t="s">
        <v>300</v>
      </c>
      <c r="E132" s="66" t="s">
        <v>742</v>
      </c>
      <c r="F132" s="65">
        <v>45793</v>
      </c>
      <c r="G132" s="26" t="s">
        <v>150</v>
      </c>
      <c r="H132" s="67" t="s">
        <v>781</v>
      </c>
      <c r="I132" s="26" t="s">
        <v>1571</v>
      </c>
      <c r="J132" s="2" t="s">
        <v>782</v>
      </c>
      <c r="K132" s="88">
        <v>33000000</v>
      </c>
      <c r="L132" s="84">
        <v>6270000</v>
      </c>
      <c r="M132" s="85">
        <v>39270000</v>
      </c>
      <c r="N132" s="69" t="s">
        <v>302</v>
      </c>
      <c r="O132" s="3"/>
      <c r="P132" s="28">
        <f>+Tabla1513[[#This Row],[VALOR TOTAL DEL CONTRATO
(en pesos)
CON IVA
(inicial)]]+Tabla1513[[#This Row],[VALOR DE LAS ADICIONES
(en pesos)
CON IVA]]</f>
        <v>39270000</v>
      </c>
      <c r="Q132" s="37">
        <v>60</v>
      </c>
      <c r="R132" s="23" t="s">
        <v>302</v>
      </c>
      <c r="S132" s="4"/>
      <c r="T132" s="23" t="s">
        <v>302</v>
      </c>
      <c r="U132" s="23"/>
      <c r="V132" s="65">
        <v>45793</v>
      </c>
      <c r="W132" s="65">
        <v>45853</v>
      </c>
      <c r="X132" s="65">
        <v>45853</v>
      </c>
      <c r="Y132" s="64" t="s">
        <v>320</v>
      </c>
      <c r="Z132" s="71"/>
      <c r="AA132" s="75" t="s">
        <v>321</v>
      </c>
      <c r="AB132" s="61">
        <v>1</v>
      </c>
      <c r="AC132" s="61">
        <v>1</v>
      </c>
      <c r="AD132" s="62">
        <v>39270000</v>
      </c>
      <c r="AE132" s="32" t="s">
        <v>1018</v>
      </c>
      <c r="AG132" s="2"/>
    </row>
    <row r="133" spans="1:33" ht="29" x14ac:dyDescent="0.35">
      <c r="A133" s="43" t="s">
        <v>306</v>
      </c>
      <c r="B133" s="2" t="s">
        <v>327</v>
      </c>
      <c r="C133" s="26" t="s">
        <v>45</v>
      </c>
      <c r="D133" s="2" t="s">
        <v>300</v>
      </c>
      <c r="E133" s="66" t="s">
        <v>763</v>
      </c>
      <c r="F133" s="65">
        <v>45793</v>
      </c>
      <c r="G133" s="26" t="s">
        <v>150</v>
      </c>
      <c r="H133" s="67" t="s">
        <v>804</v>
      </c>
      <c r="I133" s="26" t="s">
        <v>1572</v>
      </c>
      <c r="J133" s="2" t="s">
        <v>351</v>
      </c>
      <c r="K133" s="88">
        <v>17722575</v>
      </c>
      <c r="L133" s="84">
        <v>3367289</v>
      </c>
      <c r="M133" s="85">
        <v>21089864</v>
      </c>
      <c r="N133" s="69" t="s">
        <v>302</v>
      </c>
      <c r="O133" s="3"/>
      <c r="P133" s="28">
        <f>+Tabla1513[[#This Row],[VALOR TOTAL DEL CONTRATO
(en pesos)
CON IVA
(inicial)]]+Tabla1513[[#This Row],[VALOR DE LAS ADICIONES
(en pesos)
CON IVA]]</f>
        <v>21089864</v>
      </c>
      <c r="Q133" s="37">
        <v>364</v>
      </c>
      <c r="R133" s="23" t="s">
        <v>302</v>
      </c>
      <c r="S133" s="4"/>
      <c r="T133" s="23" t="s">
        <v>302</v>
      </c>
      <c r="U133" s="23"/>
      <c r="V133" s="65">
        <v>45809</v>
      </c>
      <c r="W133" s="65">
        <v>46173</v>
      </c>
      <c r="X133" s="65">
        <v>46173</v>
      </c>
      <c r="Y133" s="64" t="s">
        <v>303</v>
      </c>
      <c r="Z133" s="71"/>
      <c r="AA133" s="75"/>
      <c r="AB133" s="61">
        <v>0.5</v>
      </c>
      <c r="AC133" s="61">
        <v>0.40160000000000001</v>
      </c>
      <c r="AD133" s="62">
        <v>8469825</v>
      </c>
      <c r="AE133" s="32" t="s">
        <v>921</v>
      </c>
      <c r="AG133" s="2"/>
    </row>
    <row r="134" spans="1:33" ht="43.5" x14ac:dyDescent="0.35">
      <c r="A134" s="43" t="s">
        <v>306</v>
      </c>
      <c r="B134" s="2" t="s">
        <v>31</v>
      </c>
      <c r="C134" s="26" t="s">
        <v>33</v>
      </c>
      <c r="D134" s="2" t="s">
        <v>300</v>
      </c>
      <c r="E134" s="74" t="s">
        <v>749</v>
      </c>
      <c r="F134" s="65">
        <v>45798</v>
      </c>
      <c r="G134" s="26" t="s">
        <v>150</v>
      </c>
      <c r="H134" s="67" t="s">
        <v>791</v>
      </c>
      <c r="I134" s="26" t="s">
        <v>1573</v>
      </c>
      <c r="J134" s="2" t="s">
        <v>792</v>
      </c>
      <c r="K134" s="88">
        <v>50000000</v>
      </c>
      <c r="L134" s="84">
        <v>9500000</v>
      </c>
      <c r="M134" s="85">
        <v>59500000</v>
      </c>
      <c r="N134" s="69" t="s">
        <v>302</v>
      </c>
      <c r="O134" s="3"/>
      <c r="P134" s="28">
        <f>+Tabla1513[[#This Row],[VALOR TOTAL DEL CONTRATO
(en pesos)
CON IVA
(inicial)]]+Tabla1513[[#This Row],[VALOR DE LAS ADICIONES
(en pesos)
CON IVA]]</f>
        <v>59500000</v>
      </c>
      <c r="Q134" s="37">
        <v>224</v>
      </c>
      <c r="R134" s="23" t="s">
        <v>302</v>
      </c>
      <c r="S134" s="4"/>
      <c r="T134" s="23" t="s">
        <v>302</v>
      </c>
      <c r="U134" s="23"/>
      <c r="V134" s="65">
        <v>45798</v>
      </c>
      <c r="W134" s="65">
        <v>46022</v>
      </c>
      <c r="X134" s="65">
        <v>46022</v>
      </c>
      <c r="Y134" s="64" t="s">
        <v>323</v>
      </c>
      <c r="Z134" s="71">
        <v>46010</v>
      </c>
      <c r="AA134" s="75" t="s">
        <v>321</v>
      </c>
      <c r="AB134" s="30">
        <v>1</v>
      </c>
      <c r="AC134" s="30">
        <v>1</v>
      </c>
      <c r="AD134" s="31">
        <v>59500000</v>
      </c>
      <c r="AE134" s="32" t="s">
        <v>922</v>
      </c>
      <c r="AG134" s="2"/>
    </row>
    <row r="135" spans="1:33" ht="43.5" x14ac:dyDescent="0.35">
      <c r="A135" s="43" t="s">
        <v>306</v>
      </c>
      <c r="B135" s="2" t="s">
        <v>11</v>
      </c>
      <c r="C135" s="26" t="s">
        <v>19</v>
      </c>
      <c r="D135" s="2" t="s">
        <v>300</v>
      </c>
      <c r="E135" s="66" t="s">
        <v>746</v>
      </c>
      <c r="F135" s="65">
        <v>45797</v>
      </c>
      <c r="G135" s="26" t="s">
        <v>142</v>
      </c>
      <c r="H135" s="67" t="s">
        <v>786</v>
      </c>
      <c r="I135" s="26" t="s">
        <v>1574</v>
      </c>
      <c r="J135" s="2" t="s">
        <v>787</v>
      </c>
      <c r="K135" s="88">
        <v>59810570</v>
      </c>
      <c r="L135" s="84">
        <v>11364006</v>
      </c>
      <c r="M135" s="85">
        <v>71174576</v>
      </c>
      <c r="N135" s="69" t="s">
        <v>302</v>
      </c>
      <c r="O135" s="3"/>
      <c r="P135" s="28">
        <f>+Tabla1513[[#This Row],[VALOR TOTAL DEL CONTRATO
(en pesos)
CON IVA
(inicial)]]+Tabla1513[[#This Row],[VALOR DE LAS ADICIONES
(en pesos)
CON IVA]]</f>
        <v>71174576</v>
      </c>
      <c r="Q135" s="37">
        <v>1096</v>
      </c>
      <c r="R135" s="23" t="s">
        <v>302</v>
      </c>
      <c r="S135" s="4"/>
      <c r="T135" s="23" t="s">
        <v>302</v>
      </c>
      <c r="U135" s="23"/>
      <c r="V135" s="65">
        <v>45917</v>
      </c>
      <c r="W135" s="65">
        <v>47013</v>
      </c>
      <c r="X135" s="65">
        <v>47013</v>
      </c>
      <c r="Y135" s="64" t="s">
        <v>303</v>
      </c>
      <c r="Z135" s="71"/>
      <c r="AA135" s="75"/>
      <c r="AB135" s="30">
        <v>0.08</v>
      </c>
      <c r="AC135" s="30">
        <v>0.09</v>
      </c>
      <c r="AD135" s="31">
        <v>615234</v>
      </c>
      <c r="AE135" s="32" t="s">
        <v>1149</v>
      </c>
      <c r="AG135" s="2"/>
    </row>
    <row r="136" spans="1:33" ht="29" x14ac:dyDescent="0.35">
      <c r="A136" s="43" t="s">
        <v>306</v>
      </c>
      <c r="B136" s="2" t="s">
        <v>4</v>
      </c>
      <c r="C136" s="26" t="s">
        <v>352</v>
      </c>
      <c r="D136" s="2" t="s">
        <v>300</v>
      </c>
      <c r="E136" s="66" t="s">
        <v>764</v>
      </c>
      <c r="F136" s="65">
        <v>45797</v>
      </c>
      <c r="G136" s="26" t="s">
        <v>150</v>
      </c>
      <c r="H136" s="67" t="s">
        <v>817</v>
      </c>
      <c r="I136" s="26" t="s">
        <v>1575</v>
      </c>
      <c r="J136" s="2" t="s">
        <v>805</v>
      </c>
      <c r="K136" s="88">
        <v>80000000</v>
      </c>
      <c r="L136" s="84">
        <v>0</v>
      </c>
      <c r="M136" s="85">
        <v>80000000</v>
      </c>
      <c r="N136" s="69" t="s">
        <v>301</v>
      </c>
      <c r="O136" s="3">
        <v>72800000</v>
      </c>
      <c r="P136" s="28">
        <f>+Tabla1513[[#This Row],[VALOR TOTAL DEL CONTRATO
(en pesos)
CON IVA
(inicial)]]+Tabla1513[[#This Row],[VALOR DE LAS ADICIONES
(en pesos)
CON IVA]]</f>
        <v>152800000</v>
      </c>
      <c r="Q136" s="37">
        <v>225</v>
      </c>
      <c r="R136" s="23" t="s">
        <v>301</v>
      </c>
      <c r="S136" s="4">
        <v>212</v>
      </c>
      <c r="T136" s="23" t="s">
        <v>302</v>
      </c>
      <c r="U136" s="23"/>
      <c r="V136" s="65">
        <v>45797</v>
      </c>
      <c r="W136" s="65">
        <v>46022</v>
      </c>
      <c r="X136" s="65">
        <v>46234</v>
      </c>
      <c r="Y136" s="64" t="s">
        <v>303</v>
      </c>
      <c r="Z136" s="71"/>
      <c r="AA136" s="75"/>
      <c r="AB136" s="61">
        <v>0.96</v>
      </c>
      <c r="AC136" s="61">
        <v>0.8</v>
      </c>
      <c r="AD136" s="62">
        <v>63666666</v>
      </c>
      <c r="AE136" s="32" t="s">
        <v>923</v>
      </c>
      <c r="AG136" s="2"/>
    </row>
    <row r="137" spans="1:33" ht="29" x14ac:dyDescent="0.35">
      <c r="A137" s="43" t="s">
        <v>306</v>
      </c>
      <c r="B137" s="2" t="s">
        <v>11</v>
      </c>
      <c r="C137" s="26" t="s">
        <v>335</v>
      </c>
      <c r="D137" s="2" t="s">
        <v>300</v>
      </c>
      <c r="E137" s="66" t="s">
        <v>774</v>
      </c>
      <c r="F137" s="65">
        <v>45798</v>
      </c>
      <c r="G137" s="26" t="s">
        <v>150</v>
      </c>
      <c r="H137" s="67" t="s">
        <v>812</v>
      </c>
      <c r="I137" s="26" t="s">
        <v>1576</v>
      </c>
      <c r="J137" s="2" t="s">
        <v>813</v>
      </c>
      <c r="K137" s="88">
        <v>90440000</v>
      </c>
      <c r="L137" s="84">
        <v>17183600</v>
      </c>
      <c r="M137" s="85">
        <v>107623600</v>
      </c>
      <c r="N137" s="69" t="s">
        <v>302</v>
      </c>
      <c r="O137" s="3"/>
      <c r="P137" s="28">
        <f>+Tabla1513[[#This Row],[VALOR TOTAL DEL CONTRATO
(en pesos)
CON IVA
(inicial)]]+Tabla1513[[#This Row],[VALOR DE LAS ADICIONES
(en pesos)
CON IVA]]</f>
        <v>107623600</v>
      </c>
      <c r="Q137" s="37">
        <v>364</v>
      </c>
      <c r="R137" s="23" t="s">
        <v>302</v>
      </c>
      <c r="S137" s="4"/>
      <c r="T137" s="23" t="s">
        <v>302</v>
      </c>
      <c r="U137" s="23"/>
      <c r="V137" s="65">
        <v>45799</v>
      </c>
      <c r="W137" s="65">
        <v>46163</v>
      </c>
      <c r="X137" s="65">
        <v>46163</v>
      </c>
      <c r="Y137" s="64" t="s">
        <v>303</v>
      </c>
      <c r="Z137" s="71"/>
      <c r="AA137" s="75"/>
      <c r="AB137" s="30">
        <v>0.61</v>
      </c>
      <c r="AC137" s="30">
        <v>0.60829999999999995</v>
      </c>
      <c r="AD137" s="31">
        <v>65471017</v>
      </c>
      <c r="AE137" s="32" t="s">
        <v>1019</v>
      </c>
      <c r="AG137" s="2"/>
    </row>
    <row r="138" spans="1:33" ht="29" x14ac:dyDescent="0.35">
      <c r="A138" s="43" t="s">
        <v>306</v>
      </c>
      <c r="B138" s="2" t="s">
        <v>298</v>
      </c>
      <c r="C138" s="26" t="s">
        <v>25</v>
      </c>
      <c r="D138" s="2" t="s">
        <v>300</v>
      </c>
      <c r="E138" s="66" t="s">
        <v>745</v>
      </c>
      <c r="F138" s="65">
        <v>45798</v>
      </c>
      <c r="G138" s="26" t="s">
        <v>150</v>
      </c>
      <c r="H138" s="67" t="s">
        <v>785</v>
      </c>
      <c r="I138" s="26" t="s">
        <v>1577</v>
      </c>
      <c r="J138" s="2" t="s">
        <v>379</v>
      </c>
      <c r="K138" s="88">
        <v>131809080</v>
      </c>
      <c r="L138" s="84">
        <v>25043725</v>
      </c>
      <c r="M138" s="85">
        <v>156852805</v>
      </c>
      <c r="N138" s="69" t="s">
        <v>302</v>
      </c>
      <c r="O138" s="3"/>
      <c r="P138" s="28">
        <f>+Tabla1513[[#This Row],[VALOR TOTAL DEL CONTRATO
(en pesos)
CON IVA
(inicial)]]+Tabla1513[[#This Row],[VALOR DE LAS ADICIONES
(en pesos)
CON IVA]]</f>
        <v>156852805</v>
      </c>
      <c r="Q138" s="37">
        <v>365</v>
      </c>
      <c r="R138" s="23" t="s">
        <v>302</v>
      </c>
      <c r="S138" s="4"/>
      <c r="T138" s="23" t="s">
        <v>302</v>
      </c>
      <c r="U138" s="23"/>
      <c r="V138" s="65">
        <v>45818</v>
      </c>
      <c r="W138" s="65">
        <v>46183</v>
      </c>
      <c r="X138" s="65">
        <v>46183</v>
      </c>
      <c r="Y138" s="64" t="s">
        <v>303</v>
      </c>
      <c r="Z138" s="71"/>
      <c r="AA138" s="75"/>
      <c r="AB138" s="61">
        <v>0.56000000000000005</v>
      </c>
      <c r="AC138" s="61">
        <v>0.61</v>
      </c>
      <c r="AD138" s="62">
        <v>96099245</v>
      </c>
      <c r="AE138" s="32" t="s">
        <v>984</v>
      </c>
      <c r="AG138" s="2"/>
    </row>
    <row r="139" spans="1:33" ht="29" x14ac:dyDescent="0.35">
      <c r="A139" s="43" t="s">
        <v>306</v>
      </c>
      <c r="B139" s="2" t="s">
        <v>11</v>
      </c>
      <c r="C139" s="26" t="s">
        <v>335</v>
      </c>
      <c r="D139" s="2" t="s">
        <v>300</v>
      </c>
      <c r="E139" s="66" t="s">
        <v>765</v>
      </c>
      <c r="F139" s="65">
        <v>45798</v>
      </c>
      <c r="G139" s="26" t="s">
        <v>150</v>
      </c>
      <c r="H139" s="67" t="s">
        <v>806</v>
      </c>
      <c r="I139" s="26" t="s">
        <v>1578</v>
      </c>
      <c r="J139" s="2" t="s">
        <v>807</v>
      </c>
      <c r="K139" s="88">
        <v>48000000</v>
      </c>
      <c r="L139" s="84">
        <v>0</v>
      </c>
      <c r="M139" s="85">
        <v>48000000</v>
      </c>
      <c r="N139" s="69" t="s">
        <v>301</v>
      </c>
      <c r="O139" s="3">
        <v>35600000</v>
      </c>
      <c r="P139" s="28">
        <f>+Tabla1513[[#This Row],[VALOR TOTAL DEL CONTRATO
(en pesos)
CON IVA
(inicial)]]+Tabla1513[[#This Row],[VALOR DE LAS ADICIONES
(en pesos)
CON IVA]]</f>
        <v>83600000</v>
      </c>
      <c r="Q139" s="37">
        <v>121</v>
      </c>
      <c r="R139" s="23" t="s">
        <v>301</v>
      </c>
      <c r="S139" s="4">
        <v>91</v>
      </c>
      <c r="T139" s="23" t="s">
        <v>302</v>
      </c>
      <c r="U139" s="23"/>
      <c r="V139" s="65">
        <v>45810</v>
      </c>
      <c r="W139" s="65">
        <v>45931</v>
      </c>
      <c r="X139" s="65">
        <v>46022</v>
      </c>
      <c r="Y139" s="64" t="s">
        <v>320</v>
      </c>
      <c r="Z139" s="71"/>
      <c r="AA139" s="70" t="s">
        <v>321</v>
      </c>
      <c r="AB139" s="30">
        <v>1</v>
      </c>
      <c r="AC139" s="30">
        <v>1</v>
      </c>
      <c r="AD139" s="31">
        <v>83600000</v>
      </c>
      <c r="AE139" s="32" t="s">
        <v>924</v>
      </c>
      <c r="AG139" s="2"/>
    </row>
    <row r="140" spans="1:33" ht="43.5" x14ac:dyDescent="0.35">
      <c r="A140" s="43" t="s">
        <v>306</v>
      </c>
      <c r="B140" s="2" t="s">
        <v>329</v>
      </c>
      <c r="C140" s="26" t="s">
        <v>406</v>
      </c>
      <c r="D140" s="2" t="s">
        <v>300</v>
      </c>
      <c r="E140" s="74" t="s">
        <v>752</v>
      </c>
      <c r="F140" s="65">
        <v>45798</v>
      </c>
      <c r="G140" s="26" t="s">
        <v>150</v>
      </c>
      <c r="H140" s="67" t="s">
        <v>795</v>
      </c>
      <c r="I140" s="26" t="s">
        <v>1579</v>
      </c>
      <c r="J140" s="2" t="s">
        <v>797</v>
      </c>
      <c r="K140" s="88">
        <v>24370920</v>
      </c>
      <c r="L140" s="84">
        <v>0</v>
      </c>
      <c r="M140" s="85">
        <v>24370920</v>
      </c>
      <c r="N140" s="69" t="s">
        <v>302</v>
      </c>
      <c r="O140" s="3"/>
      <c r="P140" s="28">
        <f>+Tabla1513[[#This Row],[VALOR TOTAL DEL CONTRATO
(en pesos)
CON IVA
(inicial)]]+Tabla1513[[#This Row],[VALOR DE LAS ADICIONES
(en pesos)
CON IVA]]</f>
        <v>24370920</v>
      </c>
      <c r="Q140" s="37">
        <v>209</v>
      </c>
      <c r="R140" s="23" t="s">
        <v>302</v>
      </c>
      <c r="S140" s="4"/>
      <c r="T140" s="23" t="s">
        <v>302</v>
      </c>
      <c r="U140" s="23"/>
      <c r="V140" s="65">
        <v>45813</v>
      </c>
      <c r="W140" s="65">
        <v>46022</v>
      </c>
      <c r="X140" s="65">
        <v>46022</v>
      </c>
      <c r="Y140" s="64" t="s">
        <v>320</v>
      </c>
      <c r="Z140" s="71"/>
      <c r="AA140" s="70" t="s">
        <v>321</v>
      </c>
      <c r="AB140" s="30">
        <v>0.85170000000000001</v>
      </c>
      <c r="AC140" s="30">
        <v>0.64810000000000001</v>
      </c>
      <c r="AD140" s="31">
        <v>15795961</v>
      </c>
      <c r="AE140" s="32" t="s">
        <v>925</v>
      </c>
      <c r="AG140" s="2"/>
    </row>
    <row r="141" spans="1:33" ht="43.5" x14ac:dyDescent="0.35">
      <c r="A141" s="43" t="s">
        <v>306</v>
      </c>
      <c r="B141" s="2" t="s">
        <v>329</v>
      </c>
      <c r="C141" s="26" t="s">
        <v>406</v>
      </c>
      <c r="D141" s="2" t="s">
        <v>300</v>
      </c>
      <c r="E141" s="74" t="s">
        <v>762</v>
      </c>
      <c r="F141" s="65">
        <v>45798</v>
      </c>
      <c r="G141" s="26" t="s">
        <v>150</v>
      </c>
      <c r="H141" s="67" t="s">
        <v>802</v>
      </c>
      <c r="I141" s="26" t="s">
        <v>1580</v>
      </c>
      <c r="J141" s="2" t="s">
        <v>803</v>
      </c>
      <c r="K141" s="88">
        <v>24370920</v>
      </c>
      <c r="L141" s="84">
        <v>0</v>
      </c>
      <c r="M141" s="85">
        <v>24370920</v>
      </c>
      <c r="N141" s="69" t="s">
        <v>302</v>
      </c>
      <c r="O141" s="3"/>
      <c r="P141" s="28">
        <f>+Tabla1513[[#This Row],[VALOR TOTAL DEL CONTRATO
(en pesos)
CON IVA
(inicial)]]+Tabla1513[[#This Row],[VALOR DE LAS ADICIONES
(en pesos)
CON IVA]]</f>
        <v>24370920</v>
      </c>
      <c r="Q141" s="37">
        <v>209</v>
      </c>
      <c r="R141" s="23" t="s">
        <v>302</v>
      </c>
      <c r="S141" s="4"/>
      <c r="T141" s="23" t="s">
        <v>302</v>
      </c>
      <c r="U141" s="23"/>
      <c r="V141" s="65">
        <v>45813</v>
      </c>
      <c r="W141" s="65">
        <v>46022</v>
      </c>
      <c r="X141" s="65">
        <v>46022</v>
      </c>
      <c r="Y141" s="64" t="s">
        <v>320</v>
      </c>
      <c r="Z141" s="71"/>
      <c r="AA141" s="70" t="s">
        <v>321</v>
      </c>
      <c r="AB141" s="30">
        <v>0.85170000000000001</v>
      </c>
      <c r="AC141" s="30">
        <v>0.64810000000000001</v>
      </c>
      <c r="AD141" s="31">
        <v>15795961</v>
      </c>
      <c r="AE141" s="32" t="s">
        <v>1150</v>
      </c>
      <c r="AG141" s="2"/>
    </row>
    <row r="142" spans="1:33" ht="29" x14ac:dyDescent="0.35">
      <c r="A142" s="43" t="s">
        <v>306</v>
      </c>
      <c r="B142" s="2" t="s">
        <v>327</v>
      </c>
      <c r="C142" s="26" t="s">
        <v>43</v>
      </c>
      <c r="D142" s="2" t="s">
        <v>312</v>
      </c>
      <c r="E142" s="66" t="s">
        <v>854</v>
      </c>
      <c r="F142" s="65">
        <v>45825</v>
      </c>
      <c r="G142" s="26" t="s">
        <v>150</v>
      </c>
      <c r="H142" s="67" t="s">
        <v>855</v>
      </c>
      <c r="I142" s="26" t="s">
        <v>1581</v>
      </c>
      <c r="J142" s="2" t="s">
        <v>856</v>
      </c>
      <c r="K142" s="88">
        <v>256000000</v>
      </c>
      <c r="L142" s="84">
        <v>48640000</v>
      </c>
      <c r="M142" s="85">
        <v>304640000</v>
      </c>
      <c r="N142" s="69" t="s">
        <v>302</v>
      </c>
      <c r="O142" s="3"/>
      <c r="P142" s="28">
        <f>+Tabla1513[[#This Row],[VALOR TOTAL DEL CONTRATO
(en pesos)
CON IVA
(inicial)]]+Tabla1513[[#This Row],[VALOR DE LAS ADICIONES
(en pesos)
CON IVA]]</f>
        <v>304640000</v>
      </c>
      <c r="Q142" s="37">
        <v>1096</v>
      </c>
      <c r="R142" s="23" t="s">
        <v>302</v>
      </c>
      <c r="S142" s="4"/>
      <c r="T142" s="23" t="s">
        <v>302</v>
      </c>
      <c r="U142" s="23"/>
      <c r="V142" s="65">
        <v>45890</v>
      </c>
      <c r="W142" s="65">
        <v>46986</v>
      </c>
      <c r="X142" s="65">
        <v>46986</v>
      </c>
      <c r="Y142" s="64" t="s">
        <v>303</v>
      </c>
      <c r="Z142" s="71"/>
      <c r="AA142" s="75"/>
      <c r="AB142" s="61">
        <v>2.75E-2</v>
      </c>
      <c r="AC142" s="61">
        <v>0</v>
      </c>
      <c r="AD142" s="62">
        <v>0</v>
      </c>
      <c r="AE142" s="32" t="s">
        <v>1150</v>
      </c>
      <c r="AG142" s="2"/>
    </row>
    <row r="143" spans="1:33" ht="29" x14ac:dyDescent="0.35">
      <c r="A143" s="43" t="s">
        <v>306</v>
      </c>
      <c r="B143" s="2" t="s">
        <v>11</v>
      </c>
      <c r="C143" s="26" t="s">
        <v>335</v>
      </c>
      <c r="D143" s="2" t="s">
        <v>300</v>
      </c>
      <c r="E143" s="66" t="s">
        <v>775</v>
      </c>
      <c r="F143" s="65">
        <v>45803</v>
      </c>
      <c r="G143" s="26" t="s">
        <v>150</v>
      </c>
      <c r="H143" s="67" t="s">
        <v>816</v>
      </c>
      <c r="I143" s="26" t="s">
        <v>1582</v>
      </c>
      <c r="J143" s="2" t="s">
        <v>814</v>
      </c>
      <c r="K143" s="88">
        <v>80000000</v>
      </c>
      <c r="L143" s="84">
        <v>0</v>
      </c>
      <c r="M143" s="85">
        <v>80000000</v>
      </c>
      <c r="N143" s="69" t="s">
        <v>302</v>
      </c>
      <c r="O143" s="3"/>
      <c r="P143" s="28">
        <f>+Tabla1513[[#This Row],[VALOR TOTAL DEL CONTRATO
(en pesos)
CON IVA
(inicial)]]+Tabla1513[[#This Row],[VALOR DE LAS ADICIONES
(en pesos)
CON IVA]]</f>
        <v>80000000</v>
      </c>
      <c r="Q143" s="37">
        <v>209</v>
      </c>
      <c r="R143" s="23" t="s">
        <v>302</v>
      </c>
      <c r="S143" s="4"/>
      <c r="T143" s="23" t="s">
        <v>302</v>
      </c>
      <c r="U143" s="23"/>
      <c r="V143" s="65">
        <v>45813</v>
      </c>
      <c r="W143" s="65">
        <v>46022</v>
      </c>
      <c r="X143" s="65">
        <v>46022</v>
      </c>
      <c r="Y143" s="64" t="s">
        <v>325</v>
      </c>
      <c r="Z143" s="71"/>
      <c r="AA143" s="75" t="s">
        <v>321</v>
      </c>
      <c r="AB143" s="30">
        <v>1</v>
      </c>
      <c r="AC143" s="30">
        <v>1</v>
      </c>
      <c r="AD143" s="31">
        <v>80000000</v>
      </c>
      <c r="AE143" s="32" t="s">
        <v>1020</v>
      </c>
      <c r="AG143" s="2"/>
    </row>
    <row r="144" spans="1:33" ht="43.5" x14ac:dyDescent="0.35">
      <c r="A144" s="43" t="s">
        <v>306</v>
      </c>
      <c r="B144" s="2" t="s">
        <v>11</v>
      </c>
      <c r="C144" s="26" t="s">
        <v>19</v>
      </c>
      <c r="D144" s="2" t="s">
        <v>300</v>
      </c>
      <c r="E144" s="66" t="s">
        <v>857</v>
      </c>
      <c r="F144" s="65">
        <v>45800</v>
      </c>
      <c r="G144" s="26" t="s">
        <v>142</v>
      </c>
      <c r="H144" s="67" t="s">
        <v>859</v>
      </c>
      <c r="I144" s="26" t="s">
        <v>1491</v>
      </c>
      <c r="J144" s="2" t="s">
        <v>345</v>
      </c>
      <c r="K144" s="88">
        <v>59653360</v>
      </c>
      <c r="L144" s="84">
        <v>11334138</v>
      </c>
      <c r="M144" s="85">
        <v>70987497</v>
      </c>
      <c r="N144" s="69" t="s">
        <v>302</v>
      </c>
      <c r="O144" s="3"/>
      <c r="P144" s="28">
        <f>+Tabla1513[[#This Row],[VALOR TOTAL DEL CONTRATO
(en pesos)
CON IVA
(inicial)]]+Tabla1513[[#This Row],[VALOR DE LAS ADICIONES
(en pesos)
CON IVA]]</f>
        <v>70987497</v>
      </c>
      <c r="Q144" s="37">
        <v>730</v>
      </c>
      <c r="R144" s="23" t="s">
        <v>302</v>
      </c>
      <c r="S144" s="4"/>
      <c r="T144" s="23" t="s">
        <v>302</v>
      </c>
      <c r="U144" s="23"/>
      <c r="V144" s="65">
        <v>45839</v>
      </c>
      <c r="W144" s="65">
        <v>46569</v>
      </c>
      <c r="X144" s="65">
        <v>46569</v>
      </c>
      <c r="Y144" s="64" t="s">
        <v>303</v>
      </c>
      <c r="Z144" s="71"/>
      <c r="AA144" s="75"/>
      <c r="AB144" s="30">
        <v>0.23</v>
      </c>
      <c r="AC144" s="30">
        <v>0.25</v>
      </c>
      <c r="AD144" s="31">
        <v>17399423</v>
      </c>
      <c r="AE144" s="32" t="s">
        <v>985</v>
      </c>
      <c r="AG144" s="2"/>
    </row>
    <row r="145" spans="1:33" ht="43.5" x14ac:dyDescent="0.35">
      <c r="A145" s="43" t="s">
        <v>306</v>
      </c>
      <c r="B145" s="2" t="s">
        <v>11</v>
      </c>
      <c r="C145" s="26" t="s">
        <v>18</v>
      </c>
      <c r="D145" s="2" t="s">
        <v>300</v>
      </c>
      <c r="E145" s="66" t="s">
        <v>858</v>
      </c>
      <c r="F145" s="65">
        <v>45805</v>
      </c>
      <c r="G145" s="26" t="s">
        <v>150</v>
      </c>
      <c r="H145" s="67" t="s">
        <v>860</v>
      </c>
      <c r="I145" s="26" t="s">
        <v>1583</v>
      </c>
      <c r="J145" s="2" t="s">
        <v>861</v>
      </c>
      <c r="K145" s="88">
        <v>58823529</v>
      </c>
      <c r="L145" s="84">
        <v>11176471</v>
      </c>
      <c r="M145" s="85">
        <v>70000000</v>
      </c>
      <c r="N145" s="69" t="s">
        <v>302</v>
      </c>
      <c r="O145" s="3"/>
      <c r="P145" s="28">
        <f>+Tabla1513[[#This Row],[VALOR TOTAL DEL CONTRATO
(en pesos)
CON IVA
(inicial)]]+Tabla1513[[#This Row],[VALOR DE LAS ADICIONES
(en pesos)
CON IVA]]</f>
        <v>70000000</v>
      </c>
      <c r="Q145" s="37">
        <v>59</v>
      </c>
      <c r="R145" s="23" t="s">
        <v>302</v>
      </c>
      <c r="S145" s="4"/>
      <c r="T145" s="23" t="s">
        <v>302</v>
      </c>
      <c r="U145" s="23"/>
      <c r="V145" s="65">
        <v>45805</v>
      </c>
      <c r="W145" s="65">
        <v>45864</v>
      </c>
      <c r="X145" s="65">
        <v>45864</v>
      </c>
      <c r="Y145" s="64" t="s">
        <v>325</v>
      </c>
      <c r="Z145" s="71"/>
      <c r="AA145" s="71" t="s">
        <v>321</v>
      </c>
      <c r="AB145" s="30">
        <v>1</v>
      </c>
      <c r="AC145" s="30">
        <v>0.95</v>
      </c>
      <c r="AD145" s="31">
        <v>66420000</v>
      </c>
      <c r="AE145" s="32" t="s">
        <v>1022</v>
      </c>
      <c r="AG145" s="2"/>
    </row>
    <row r="146" spans="1:33" ht="43.5" x14ac:dyDescent="0.35">
      <c r="A146" s="43" t="s">
        <v>306</v>
      </c>
      <c r="B146" s="2" t="s">
        <v>11</v>
      </c>
      <c r="C146" s="26" t="s">
        <v>18</v>
      </c>
      <c r="D146" s="2" t="s">
        <v>365</v>
      </c>
      <c r="E146" s="66" t="s">
        <v>862</v>
      </c>
      <c r="F146" s="65">
        <v>45811</v>
      </c>
      <c r="G146" s="26" t="s">
        <v>150</v>
      </c>
      <c r="H146" s="67" t="s">
        <v>863</v>
      </c>
      <c r="I146" s="26" t="s">
        <v>1584</v>
      </c>
      <c r="J146" s="2" t="s">
        <v>864</v>
      </c>
      <c r="K146" s="88">
        <v>5050000</v>
      </c>
      <c r="L146" s="84">
        <v>0</v>
      </c>
      <c r="M146" s="85">
        <v>5050000</v>
      </c>
      <c r="N146" s="69" t="s">
        <v>302</v>
      </c>
      <c r="O146" s="3"/>
      <c r="P146" s="28">
        <f>+Tabla1513[[#This Row],[VALOR TOTAL DEL CONTRATO
(en pesos)
CON IVA
(inicial)]]+Tabla1513[[#This Row],[VALOR DE LAS ADICIONES
(en pesos)
CON IVA]]</f>
        <v>5050000</v>
      </c>
      <c r="Q146" s="37">
        <v>180</v>
      </c>
      <c r="R146" s="23" t="s">
        <v>302</v>
      </c>
      <c r="S146" s="4"/>
      <c r="T146" s="23" t="s">
        <v>302</v>
      </c>
      <c r="U146" s="23"/>
      <c r="V146" s="65">
        <v>45811</v>
      </c>
      <c r="W146" s="65">
        <v>45991</v>
      </c>
      <c r="X146" s="65">
        <v>45991</v>
      </c>
      <c r="Y146" s="64" t="s">
        <v>320</v>
      </c>
      <c r="Z146" s="71"/>
      <c r="AA146" s="75" t="s">
        <v>321</v>
      </c>
      <c r="AB146" s="61">
        <v>1</v>
      </c>
      <c r="AC146" s="61">
        <v>1</v>
      </c>
      <c r="AD146" s="62">
        <v>5050000</v>
      </c>
      <c r="AE146" s="32" t="s">
        <v>986</v>
      </c>
      <c r="AG146" s="2"/>
    </row>
    <row r="147" spans="1:33" ht="43.5" x14ac:dyDescent="0.35">
      <c r="A147" s="43" t="s">
        <v>306</v>
      </c>
      <c r="B147" s="2" t="s">
        <v>298</v>
      </c>
      <c r="C147" s="26" t="s">
        <v>418</v>
      </c>
      <c r="D147" s="2" t="s">
        <v>300</v>
      </c>
      <c r="E147" s="66" t="s">
        <v>865</v>
      </c>
      <c r="F147" s="65">
        <v>45814</v>
      </c>
      <c r="G147" s="26" t="s">
        <v>150</v>
      </c>
      <c r="H147" s="67" t="s">
        <v>867</v>
      </c>
      <c r="I147" s="26" t="s">
        <v>1585</v>
      </c>
      <c r="J147" s="2" t="s">
        <v>330</v>
      </c>
      <c r="K147" s="88">
        <v>117000000</v>
      </c>
      <c r="L147" s="84">
        <v>22230000</v>
      </c>
      <c r="M147" s="85">
        <v>139230000</v>
      </c>
      <c r="N147" s="69" t="s">
        <v>302</v>
      </c>
      <c r="O147" s="3"/>
      <c r="P147" s="28">
        <f>+Tabla1513[[#This Row],[VALOR TOTAL DEL CONTRATO
(en pesos)
CON IVA
(inicial)]]+Tabla1513[[#This Row],[VALOR DE LAS ADICIONES
(en pesos)
CON IVA]]</f>
        <v>139230000</v>
      </c>
      <c r="Q147" s="37">
        <v>168</v>
      </c>
      <c r="R147" s="23" t="s">
        <v>302</v>
      </c>
      <c r="S147" s="4"/>
      <c r="T147" s="23" t="s">
        <v>302</v>
      </c>
      <c r="U147" s="23"/>
      <c r="V147" s="65">
        <v>45854</v>
      </c>
      <c r="W147" s="65">
        <v>46022</v>
      </c>
      <c r="X147" s="65">
        <v>46022</v>
      </c>
      <c r="Y147" s="64" t="s">
        <v>320</v>
      </c>
      <c r="Z147" s="71"/>
      <c r="AA147" s="70" t="s">
        <v>321</v>
      </c>
      <c r="AB147" s="61">
        <v>1</v>
      </c>
      <c r="AC147" s="61">
        <v>0</v>
      </c>
      <c r="AD147" s="62">
        <v>0</v>
      </c>
      <c r="AE147" s="32" t="s">
        <v>987</v>
      </c>
      <c r="AG147" s="2"/>
    </row>
    <row r="148" spans="1:33" ht="33" customHeight="1" x14ac:dyDescent="0.35">
      <c r="A148" s="43" t="s">
        <v>306</v>
      </c>
      <c r="B148" s="2" t="s">
        <v>11</v>
      </c>
      <c r="C148" s="26" t="s">
        <v>19</v>
      </c>
      <c r="D148" s="2" t="s">
        <v>300</v>
      </c>
      <c r="E148" s="66" t="s">
        <v>866</v>
      </c>
      <c r="F148" s="65">
        <v>45817</v>
      </c>
      <c r="G148" s="26" t="s">
        <v>113</v>
      </c>
      <c r="H148" s="67" t="s">
        <v>868</v>
      </c>
      <c r="I148" s="26" t="s">
        <v>1505</v>
      </c>
      <c r="J148" s="2" t="s">
        <v>612</v>
      </c>
      <c r="K148" s="88">
        <v>9103500</v>
      </c>
      <c r="L148" s="84"/>
      <c r="M148" s="85">
        <v>9103500</v>
      </c>
      <c r="N148" s="69" t="s">
        <v>302</v>
      </c>
      <c r="O148" s="3"/>
      <c r="P148" s="28">
        <f>+Tabla1513[[#This Row],[VALOR TOTAL DEL CONTRATO
(en pesos)
CON IVA
(inicial)]]+Tabla1513[[#This Row],[VALOR DE LAS ADICIONES
(en pesos)
CON IVA]]</f>
        <v>9103500</v>
      </c>
      <c r="Q148" s="37">
        <v>3</v>
      </c>
      <c r="R148" s="23" t="s">
        <v>302</v>
      </c>
      <c r="S148" s="4"/>
      <c r="T148" s="23" t="s">
        <v>302</v>
      </c>
      <c r="U148" s="23"/>
      <c r="V148" s="65">
        <v>45817</v>
      </c>
      <c r="W148" s="65">
        <v>45820</v>
      </c>
      <c r="X148" s="65">
        <v>45820</v>
      </c>
      <c r="Y148" s="64" t="s">
        <v>320</v>
      </c>
      <c r="Z148" s="71"/>
      <c r="AA148" s="71" t="s">
        <v>321</v>
      </c>
      <c r="AB148" s="30">
        <v>1</v>
      </c>
      <c r="AC148" s="30">
        <v>1</v>
      </c>
      <c r="AD148" s="31">
        <v>9103500</v>
      </c>
      <c r="AE148" s="32" t="s">
        <v>981</v>
      </c>
      <c r="AG148" s="2"/>
    </row>
    <row r="149" spans="1:33" ht="43.5" x14ac:dyDescent="0.35">
      <c r="A149" s="43" t="s">
        <v>306</v>
      </c>
      <c r="B149" s="2" t="s">
        <v>11</v>
      </c>
      <c r="C149" s="26" t="s">
        <v>20</v>
      </c>
      <c r="D149" s="2" t="s">
        <v>365</v>
      </c>
      <c r="E149" s="66" t="s">
        <v>869</v>
      </c>
      <c r="F149" s="65">
        <v>45813</v>
      </c>
      <c r="G149" s="26" t="s">
        <v>150</v>
      </c>
      <c r="H149" s="67" t="s">
        <v>870</v>
      </c>
      <c r="I149" s="26" t="s">
        <v>1586</v>
      </c>
      <c r="J149" s="2" t="s">
        <v>419</v>
      </c>
      <c r="K149" s="88">
        <v>4470090</v>
      </c>
      <c r="L149" s="84">
        <v>849317</v>
      </c>
      <c r="M149" s="85">
        <v>5319407</v>
      </c>
      <c r="N149" s="69" t="s">
        <v>302</v>
      </c>
      <c r="O149" s="3"/>
      <c r="P149" s="28">
        <f>+Tabla1513[[#This Row],[VALOR TOTAL DEL CONTRATO
(en pesos)
CON IVA
(inicial)]]+Tabla1513[[#This Row],[VALOR DE LAS ADICIONES
(en pesos)
CON IVA]]</f>
        <v>5319407</v>
      </c>
      <c r="Q149" s="37">
        <v>3</v>
      </c>
      <c r="R149" s="23" t="s">
        <v>302</v>
      </c>
      <c r="S149" s="4"/>
      <c r="T149" s="23" t="s">
        <v>302</v>
      </c>
      <c r="U149" s="23"/>
      <c r="V149" s="65">
        <v>45818</v>
      </c>
      <c r="W149" s="65">
        <v>45821</v>
      </c>
      <c r="X149" s="65">
        <v>45821</v>
      </c>
      <c r="Y149" s="64" t="s">
        <v>320</v>
      </c>
      <c r="Z149" s="71"/>
      <c r="AA149" s="71" t="s">
        <v>321</v>
      </c>
      <c r="AB149" s="30">
        <v>1</v>
      </c>
      <c r="AC149" s="30">
        <v>1</v>
      </c>
      <c r="AD149" s="31">
        <v>5319497</v>
      </c>
      <c r="AE149" s="32" t="s">
        <v>926</v>
      </c>
      <c r="AG149" s="2"/>
    </row>
    <row r="150" spans="1:33" ht="43.5" x14ac:dyDescent="0.35">
      <c r="A150" s="43" t="s">
        <v>306</v>
      </c>
      <c r="B150" s="2" t="s">
        <v>31</v>
      </c>
      <c r="C150" s="26" t="s">
        <v>33</v>
      </c>
      <c r="D150" s="2" t="s">
        <v>300</v>
      </c>
      <c r="E150" s="74" t="s">
        <v>871</v>
      </c>
      <c r="F150" s="65">
        <v>45818</v>
      </c>
      <c r="G150" s="26" t="s">
        <v>150</v>
      </c>
      <c r="H150" s="67" t="s">
        <v>1203</v>
      </c>
      <c r="I150" s="26" t="s">
        <v>1587</v>
      </c>
      <c r="J150" s="2" t="s">
        <v>400</v>
      </c>
      <c r="K150" s="88">
        <v>88375850</v>
      </c>
      <c r="L150" s="84">
        <v>9367000</v>
      </c>
      <c r="M150" s="85">
        <v>97742850</v>
      </c>
      <c r="N150" s="69" t="s">
        <v>302</v>
      </c>
      <c r="O150" s="3"/>
      <c r="P150" s="28">
        <f>+Tabla1513[[#This Row],[VALOR TOTAL DEL CONTRATO
(en pesos)
CON IVA
(inicial)]]+Tabla1513[[#This Row],[VALOR DE LAS ADICIONES
(en pesos)
CON IVA]]</f>
        <v>97742850</v>
      </c>
      <c r="Q150" s="37">
        <v>368</v>
      </c>
      <c r="R150" s="23" t="s">
        <v>302</v>
      </c>
      <c r="S150" s="4"/>
      <c r="T150" s="23" t="s">
        <v>302</v>
      </c>
      <c r="U150" s="23"/>
      <c r="V150" s="65">
        <v>45825</v>
      </c>
      <c r="W150" s="65">
        <v>46193</v>
      </c>
      <c r="X150" s="65">
        <v>46193</v>
      </c>
      <c r="Y150" s="64" t="s">
        <v>303</v>
      </c>
      <c r="Z150" s="71"/>
      <c r="AA150" s="75"/>
      <c r="AB150" s="77">
        <v>0.53800000000000003</v>
      </c>
      <c r="AC150" s="77">
        <v>0.77</v>
      </c>
      <c r="AD150" s="78">
        <v>75494825.120000005</v>
      </c>
      <c r="AE150" s="32" t="s">
        <v>927</v>
      </c>
      <c r="AG150" s="2"/>
    </row>
    <row r="151" spans="1:33" ht="43.5" x14ac:dyDescent="0.35">
      <c r="A151" s="43" t="s">
        <v>306</v>
      </c>
      <c r="B151" s="2" t="s">
        <v>31</v>
      </c>
      <c r="C151" s="26" t="s">
        <v>33</v>
      </c>
      <c r="D151" s="2" t="s">
        <v>300</v>
      </c>
      <c r="E151" s="74" t="s">
        <v>872</v>
      </c>
      <c r="F151" s="65">
        <v>45820</v>
      </c>
      <c r="G151" s="26" t="s">
        <v>150</v>
      </c>
      <c r="H151" s="67" t="s">
        <v>874</v>
      </c>
      <c r="I151" s="26" t="s">
        <v>1588</v>
      </c>
      <c r="J151" s="2" t="s">
        <v>405</v>
      </c>
      <c r="K151" s="88">
        <v>26077351</v>
      </c>
      <c r="L151" s="84">
        <v>6116909</v>
      </c>
      <c r="M151" s="85">
        <v>32194260</v>
      </c>
      <c r="N151" s="69" t="s">
        <v>302</v>
      </c>
      <c r="O151" s="3"/>
      <c r="P151" s="28">
        <f>+Tabla1513[[#This Row],[VALOR TOTAL DEL CONTRATO
(en pesos)
CON IVA
(inicial)]]+Tabla1513[[#This Row],[VALOR DE LAS ADICIONES
(en pesos)
CON IVA]]</f>
        <v>32194260</v>
      </c>
      <c r="Q151" s="37">
        <v>183</v>
      </c>
      <c r="R151" s="23" t="s">
        <v>302</v>
      </c>
      <c r="S151" s="4"/>
      <c r="T151" s="23" t="s">
        <v>302</v>
      </c>
      <c r="U151" s="23"/>
      <c r="V151" s="65">
        <v>45820</v>
      </c>
      <c r="W151" s="65">
        <v>46003</v>
      </c>
      <c r="X151" s="65">
        <v>46003</v>
      </c>
      <c r="Y151" s="64" t="s">
        <v>320</v>
      </c>
      <c r="Z151" s="71"/>
      <c r="AA151" s="75" t="s">
        <v>321</v>
      </c>
      <c r="AB151" s="77">
        <v>1</v>
      </c>
      <c r="AC151" s="77">
        <v>1</v>
      </c>
      <c r="AD151" s="78">
        <v>32194260</v>
      </c>
      <c r="AE151" s="32" t="s">
        <v>988</v>
      </c>
      <c r="AG151" s="2"/>
    </row>
    <row r="152" spans="1:33" ht="43.5" x14ac:dyDescent="0.35">
      <c r="A152" s="43" t="s">
        <v>306</v>
      </c>
      <c r="B152" s="2" t="s">
        <v>11</v>
      </c>
      <c r="C152" s="26" t="s">
        <v>335</v>
      </c>
      <c r="D152" s="2" t="s">
        <v>300</v>
      </c>
      <c r="E152" s="66" t="s">
        <v>873</v>
      </c>
      <c r="F152" s="65">
        <v>45817</v>
      </c>
      <c r="G152" s="26" t="s">
        <v>150</v>
      </c>
      <c r="H152" s="67" t="s">
        <v>875</v>
      </c>
      <c r="I152" s="26" t="s">
        <v>1588</v>
      </c>
      <c r="J152" s="2" t="s">
        <v>405</v>
      </c>
      <c r="K152" s="88">
        <v>27054000</v>
      </c>
      <c r="L152" s="84">
        <v>5140260</v>
      </c>
      <c r="M152" s="85">
        <v>32194260</v>
      </c>
      <c r="N152" s="69" t="s">
        <v>302</v>
      </c>
      <c r="O152" s="3"/>
      <c r="P152" s="28">
        <f>+Tabla1513[[#This Row],[VALOR TOTAL DEL CONTRATO
(en pesos)
CON IVA
(inicial)]]+Tabla1513[[#This Row],[VALOR DE LAS ADICIONES
(en pesos)
CON IVA]]</f>
        <v>32194260</v>
      </c>
      <c r="Q152" s="37">
        <v>90</v>
      </c>
      <c r="R152" s="23" t="s">
        <v>302</v>
      </c>
      <c r="S152" s="4"/>
      <c r="T152" s="23" t="s">
        <v>302</v>
      </c>
      <c r="U152" s="23"/>
      <c r="V152" s="65">
        <v>45817</v>
      </c>
      <c r="W152" s="65">
        <v>45907</v>
      </c>
      <c r="X152" s="65">
        <v>45907</v>
      </c>
      <c r="Y152" s="64" t="s">
        <v>320</v>
      </c>
      <c r="Z152" s="71"/>
      <c r="AA152" s="71" t="s">
        <v>321</v>
      </c>
      <c r="AB152" s="30">
        <v>1</v>
      </c>
      <c r="AC152" s="30">
        <v>1</v>
      </c>
      <c r="AD152" s="31">
        <v>32194260</v>
      </c>
      <c r="AE152" s="32" t="s">
        <v>1021</v>
      </c>
      <c r="AG152" s="2"/>
    </row>
    <row r="153" spans="1:33" ht="29" x14ac:dyDescent="0.35">
      <c r="A153" s="43" t="s">
        <v>306</v>
      </c>
      <c r="B153" s="2" t="s">
        <v>333</v>
      </c>
      <c r="C153" s="26" t="s">
        <v>63</v>
      </c>
      <c r="D153" s="2" t="s">
        <v>365</v>
      </c>
      <c r="E153" s="66" t="s">
        <v>876</v>
      </c>
      <c r="F153" s="65">
        <v>45807</v>
      </c>
      <c r="G153" s="26" t="s">
        <v>150</v>
      </c>
      <c r="H153" s="67" t="s">
        <v>877</v>
      </c>
      <c r="I153" s="26" t="s">
        <v>1589</v>
      </c>
      <c r="J153" s="2" t="s">
        <v>878</v>
      </c>
      <c r="K153" s="88">
        <v>4776000</v>
      </c>
      <c r="L153" s="84">
        <v>907440</v>
      </c>
      <c r="M153" s="85">
        <v>5683440</v>
      </c>
      <c r="N153" s="69" t="s">
        <v>302</v>
      </c>
      <c r="O153" s="3"/>
      <c r="P153" s="28">
        <f>+Tabla1513[[#This Row],[VALOR TOTAL DEL CONTRATO
(en pesos)
CON IVA
(inicial)]]+Tabla1513[[#This Row],[VALOR DE LAS ADICIONES
(en pesos)
CON IVA]]</f>
        <v>5683440</v>
      </c>
      <c r="Q153" s="37">
        <v>215</v>
      </c>
      <c r="R153" s="23" t="s">
        <v>302</v>
      </c>
      <c r="S153" s="4"/>
      <c r="T153" s="23" t="s">
        <v>302</v>
      </c>
      <c r="U153" s="23"/>
      <c r="V153" s="65">
        <v>45807</v>
      </c>
      <c r="W153" s="65">
        <v>46022</v>
      </c>
      <c r="X153" s="65">
        <v>46022</v>
      </c>
      <c r="Y153" s="64" t="s">
        <v>325</v>
      </c>
      <c r="Z153" s="71"/>
      <c r="AA153" s="70" t="s">
        <v>321</v>
      </c>
      <c r="AB153" s="30">
        <v>1</v>
      </c>
      <c r="AC153" s="30">
        <v>0</v>
      </c>
      <c r="AD153" s="31">
        <v>0</v>
      </c>
      <c r="AE153" s="32" t="s">
        <v>1023</v>
      </c>
      <c r="AG153" s="2"/>
    </row>
    <row r="154" spans="1:33" ht="29" x14ac:dyDescent="0.35">
      <c r="A154" s="43" t="s">
        <v>306</v>
      </c>
      <c r="B154" s="2" t="s">
        <v>31</v>
      </c>
      <c r="C154" s="26" t="s">
        <v>32</v>
      </c>
      <c r="D154" s="2" t="s">
        <v>324</v>
      </c>
      <c r="E154" s="74" t="s">
        <v>879</v>
      </c>
      <c r="F154" s="65">
        <v>45824</v>
      </c>
      <c r="G154" s="26" t="s">
        <v>150</v>
      </c>
      <c r="H154" s="67" t="s">
        <v>881</v>
      </c>
      <c r="I154" s="26" t="s">
        <v>1590</v>
      </c>
      <c r="J154" s="2" t="s">
        <v>882</v>
      </c>
      <c r="K154" s="88">
        <v>3309078325</v>
      </c>
      <c r="L154" s="84">
        <v>357858901</v>
      </c>
      <c r="M154" s="85">
        <v>3666937226</v>
      </c>
      <c r="N154" s="69" t="s">
        <v>301</v>
      </c>
      <c r="O154" s="3">
        <v>-79476562</v>
      </c>
      <c r="P154" s="28">
        <f>+Tabla1513[[#This Row],[VALOR TOTAL DEL CONTRATO
(en pesos)
CON IVA
(inicial)]]+Tabla1513[[#This Row],[VALOR DE LAS ADICIONES
(en pesos)
CON IVA]]</f>
        <v>3587460664</v>
      </c>
      <c r="Q154" s="37">
        <v>426</v>
      </c>
      <c r="R154" s="23" t="s">
        <v>302</v>
      </c>
      <c r="S154" s="4"/>
      <c r="T154" s="23" t="s">
        <v>302</v>
      </c>
      <c r="U154" s="23"/>
      <c r="V154" s="65">
        <v>45847</v>
      </c>
      <c r="W154" s="65">
        <v>46273</v>
      </c>
      <c r="X154" s="65">
        <v>46273</v>
      </c>
      <c r="Y154" s="64" t="s">
        <v>303</v>
      </c>
      <c r="Z154" s="71"/>
      <c r="AA154" s="75"/>
      <c r="AB154" s="30">
        <v>0.28000000000000003</v>
      </c>
      <c r="AC154" s="30">
        <v>0.51100000000000001</v>
      </c>
      <c r="AD154" s="31">
        <v>1815644402</v>
      </c>
      <c r="AE154" s="32" t="s">
        <v>928</v>
      </c>
      <c r="AG154" s="2"/>
    </row>
    <row r="155" spans="1:33" ht="43.5" x14ac:dyDescent="0.35">
      <c r="A155" s="43" t="s">
        <v>306</v>
      </c>
      <c r="B155" s="2" t="s">
        <v>298</v>
      </c>
      <c r="C155" s="26" t="s">
        <v>27</v>
      </c>
      <c r="D155" s="2" t="s">
        <v>300</v>
      </c>
      <c r="E155" s="66" t="s">
        <v>880</v>
      </c>
      <c r="F155" s="65">
        <v>45825</v>
      </c>
      <c r="G155" s="26" t="s">
        <v>113</v>
      </c>
      <c r="H155" s="67" t="s">
        <v>883</v>
      </c>
      <c r="I155" s="26" t="s">
        <v>1591</v>
      </c>
      <c r="J155" s="2" t="s">
        <v>884</v>
      </c>
      <c r="K155" s="88">
        <v>59720208</v>
      </c>
      <c r="L155" s="84">
        <v>11346840</v>
      </c>
      <c r="M155" s="85">
        <v>71067048</v>
      </c>
      <c r="N155" s="69" t="s">
        <v>302</v>
      </c>
      <c r="O155" s="3"/>
      <c r="P155" s="28">
        <f>+Tabla1513[[#This Row],[VALOR TOTAL DEL CONTRATO
(en pesos)
CON IVA
(inicial)]]+Tabla1513[[#This Row],[VALOR DE LAS ADICIONES
(en pesos)
CON IVA]]</f>
        <v>71067048</v>
      </c>
      <c r="Q155" s="37">
        <v>3</v>
      </c>
      <c r="R155" s="23" t="s">
        <v>302</v>
      </c>
      <c r="S155" s="4"/>
      <c r="T155" s="23" t="s">
        <v>302</v>
      </c>
      <c r="U155" s="23"/>
      <c r="V155" s="65">
        <v>45825</v>
      </c>
      <c r="W155" s="65">
        <v>45828</v>
      </c>
      <c r="X155" s="65">
        <v>45828</v>
      </c>
      <c r="Y155" s="64" t="s">
        <v>320</v>
      </c>
      <c r="Z155" s="71"/>
      <c r="AA155" s="71" t="s">
        <v>321</v>
      </c>
      <c r="AB155" s="61">
        <v>1</v>
      </c>
      <c r="AC155" s="61">
        <v>0.99969858773365672</v>
      </c>
      <c r="AD155" s="63">
        <v>71045627.519999996</v>
      </c>
      <c r="AE155" s="32" t="s">
        <v>1024</v>
      </c>
      <c r="AG155" s="2"/>
    </row>
    <row r="156" spans="1:33" ht="29" x14ac:dyDescent="0.35">
      <c r="A156" s="43" t="s">
        <v>306</v>
      </c>
      <c r="B156" s="2" t="s">
        <v>11</v>
      </c>
      <c r="C156" s="26" t="s">
        <v>335</v>
      </c>
      <c r="D156" s="2" t="s">
        <v>300</v>
      </c>
      <c r="E156" s="66" t="s">
        <v>885</v>
      </c>
      <c r="F156" s="65">
        <v>45826</v>
      </c>
      <c r="G156" s="26" t="s">
        <v>150</v>
      </c>
      <c r="H156" s="67" t="s">
        <v>886</v>
      </c>
      <c r="I156" s="26" t="s">
        <v>1592</v>
      </c>
      <c r="J156" s="2" t="s">
        <v>887</v>
      </c>
      <c r="K156" s="88">
        <v>47600000</v>
      </c>
      <c r="L156" s="84">
        <v>0</v>
      </c>
      <c r="M156" s="85">
        <v>47600000</v>
      </c>
      <c r="N156" s="69" t="s">
        <v>302</v>
      </c>
      <c r="O156" s="3"/>
      <c r="P156" s="28">
        <f>+Tabla1513[[#This Row],[VALOR TOTAL DEL CONTRATO
(en pesos)
CON IVA
(inicial)]]+Tabla1513[[#This Row],[VALOR DE LAS ADICIONES
(en pesos)
CON IVA]]</f>
        <v>47600000</v>
      </c>
      <c r="Q156" s="37">
        <v>121</v>
      </c>
      <c r="R156" s="23" t="s">
        <v>302</v>
      </c>
      <c r="S156" s="4"/>
      <c r="T156" s="23" t="s">
        <v>302</v>
      </c>
      <c r="U156" s="23"/>
      <c r="V156" s="65">
        <v>45832</v>
      </c>
      <c r="W156" s="65">
        <v>45953</v>
      </c>
      <c r="X156" s="65">
        <v>45953</v>
      </c>
      <c r="Y156" s="64" t="s">
        <v>323</v>
      </c>
      <c r="Z156" s="71">
        <v>46021</v>
      </c>
      <c r="AA156" s="75" t="s">
        <v>321</v>
      </c>
      <c r="AB156" s="30">
        <v>1</v>
      </c>
      <c r="AC156" s="30">
        <v>1</v>
      </c>
      <c r="AD156" s="31">
        <v>47600000</v>
      </c>
      <c r="AE156" s="32" t="s">
        <v>989</v>
      </c>
      <c r="AG156" s="2"/>
    </row>
    <row r="157" spans="1:33" ht="29" x14ac:dyDescent="0.35">
      <c r="A157" s="43" t="s">
        <v>306</v>
      </c>
      <c r="B157" s="2" t="s">
        <v>333</v>
      </c>
      <c r="C157" s="26" t="s">
        <v>63</v>
      </c>
      <c r="D157" s="2" t="s">
        <v>300</v>
      </c>
      <c r="E157" s="66" t="s">
        <v>934</v>
      </c>
      <c r="F157" s="65">
        <v>45828</v>
      </c>
      <c r="G157" s="26" t="s">
        <v>150</v>
      </c>
      <c r="H157" s="67" t="s">
        <v>423</v>
      </c>
      <c r="I157" s="26" t="s">
        <v>1593</v>
      </c>
      <c r="J157" s="2" t="s">
        <v>403</v>
      </c>
      <c r="K157" s="88">
        <v>150000000</v>
      </c>
      <c r="L157" s="84">
        <v>28500000</v>
      </c>
      <c r="M157" s="85">
        <v>178500000</v>
      </c>
      <c r="N157" s="69" t="s">
        <v>302</v>
      </c>
      <c r="O157" s="3"/>
      <c r="P157" s="28">
        <f>+Tabla1513[[#This Row],[VALOR TOTAL DEL CONTRATO
(en pesos)
CON IVA
(inicial)]]+Tabla1513[[#This Row],[VALOR DE LAS ADICIONES
(en pesos)
CON IVA]]</f>
        <v>178500000</v>
      </c>
      <c r="Q157" s="37">
        <v>364</v>
      </c>
      <c r="R157" s="23" t="s">
        <v>302</v>
      </c>
      <c r="S157" s="4"/>
      <c r="T157" s="23" t="s">
        <v>302</v>
      </c>
      <c r="U157" s="23"/>
      <c r="V157" s="65">
        <v>45833</v>
      </c>
      <c r="W157" s="65">
        <v>46197</v>
      </c>
      <c r="X157" s="65">
        <v>46197</v>
      </c>
      <c r="Y157" s="64" t="s">
        <v>303</v>
      </c>
      <c r="Z157" s="71"/>
      <c r="AA157" s="75"/>
      <c r="AB157" s="30">
        <v>0.9647</v>
      </c>
      <c r="AC157" s="30">
        <v>0.9647</v>
      </c>
      <c r="AD157" s="31">
        <v>172195397</v>
      </c>
      <c r="AE157" s="32" t="s">
        <v>990</v>
      </c>
      <c r="AG157" s="2"/>
    </row>
    <row r="158" spans="1:33" ht="29" x14ac:dyDescent="0.35">
      <c r="A158" s="43" t="s">
        <v>306</v>
      </c>
      <c r="B158" s="2" t="s">
        <v>11</v>
      </c>
      <c r="C158" s="26" t="s">
        <v>12</v>
      </c>
      <c r="D158" s="2" t="s">
        <v>300</v>
      </c>
      <c r="E158" s="66" t="s">
        <v>888</v>
      </c>
      <c r="F158" s="65">
        <v>45778</v>
      </c>
      <c r="G158" s="26" t="s">
        <v>160</v>
      </c>
      <c r="H158" s="67" t="s">
        <v>890</v>
      </c>
      <c r="I158" s="26" t="s">
        <v>1594</v>
      </c>
      <c r="J158" s="2" t="s">
        <v>891</v>
      </c>
      <c r="K158" s="88">
        <v>139140965</v>
      </c>
      <c r="L158" s="84">
        <v>0</v>
      </c>
      <c r="M158" s="85">
        <v>139140965</v>
      </c>
      <c r="N158" s="69" t="s">
        <v>302</v>
      </c>
      <c r="O158" s="3"/>
      <c r="P158" s="28">
        <f>+Tabla1513[[#This Row],[VALOR TOTAL DEL CONTRATO
(en pesos)
CON IVA
(inicial)]]+Tabla1513[[#This Row],[VALOR DE LAS ADICIONES
(en pesos)
CON IVA]]</f>
        <v>139140965</v>
      </c>
      <c r="Q158" s="37">
        <v>364</v>
      </c>
      <c r="R158" s="23" t="s">
        <v>302</v>
      </c>
      <c r="S158" s="4"/>
      <c r="T158" s="23" t="s">
        <v>302</v>
      </c>
      <c r="U158" s="23"/>
      <c r="V158" s="65">
        <v>45778</v>
      </c>
      <c r="W158" s="65">
        <v>46142</v>
      </c>
      <c r="X158" s="65">
        <v>46142</v>
      </c>
      <c r="Y158" s="64" t="s">
        <v>303</v>
      </c>
      <c r="Z158" s="71"/>
      <c r="AA158" s="75"/>
      <c r="AB158" s="30">
        <v>0.57999999999999996</v>
      </c>
      <c r="AC158" s="30">
        <v>1</v>
      </c>
      <c r="AD158" s="31">
        <v>144064900</v>
      </c>
      <c r="AE158" s="32" t="s">
        <v>1025</v>
      </c>
      <c r="AG158" s="2"/>
    </row>
    <row r="159" spans="1:33" ht="29" x14ac:dyDescent="0.35">
      <c r="A159" s="43" t="s">
        <v>306</v>
      </c>
      <c r="B159" s="2" t="s">
        <v>298</v>
      </c>
      <c r="C159" s="26" t="s">
        <v>25</v>
      </c>
      <c r="D159" s="2" t="s">
        <v>300</v>
      </c>
      <c r="E159" s="66" t="s">
        <v>935</v>
      </c>
      <c r="F159" s="65">
        <v>45833</v>
      </c>
      <c r="G159" s="26" t="s">
        <v>150</v>
      </c>
      <c r="H159" s="67" t="s">
        <v>936</v>
      </c>
      <c r="I159" s="26" t="s">
        <v>1595</v>
      </c>
      <c r="J159" s="2" t="s">
        <v>937</v>
      </c>
      <c r="K159" s="88">
        <v>39642484</v>
      </c>
      <c r="L159" s="84">
        <v>7532072</v>
      </c>
      <c r="M159" s="85">
        <v>47174556</v>
      </c>
      <c r="N159" s="69" t="s">
        <v>302</v>
      </c>
      <c r="O159" s="3"/>
      <c r="P159" s="28">
        <f>+Tabla1513[[#This Row],[VALOR TOTAL DEL CONTRATO
(en pesos)
CON IVA
(inicial)]]+Tabla1513[[#This Row],[VALOR DE LAS ADICIONES
(en pesos)
CON IVA]]</f>
        <v>47174556</v>
      </c>
      <c r="Q159" s="37">
        <v>729</v>
      </c>
      <c r="R159" s="23" t="s">
        <v>302</v>
      </c>
      <c r="S159" s="4"/>
      <c r="T159" s="23" t="s">
        <v>302</v>
      </c>
      <c r="U159" s="23"/>
      <c r="V159" s="65">
        <v>45902</v>
      </c>
      <c r="W159" s="65">
        <v>46631</v>
      </c>
      <c r="X159" s="65">
        <v>46631</v>
      </c>
      <c r="Y159" s="64" t="s">
        <v>303</v>
      </c>
      <c r="Z159" s="71"/>
      <c r="AA159" s="75"/>
      <c r="AB159" s="61">
        <v>0.15</v>
      </c>
      <c r="AC159" s="61">
        <v>0.16</v>
      </c>
      <c r="AD159" s="62">
        <v>7140000</v>
      </c>
      <c r="AE159" s="32" t="s">
        <v>991</v>
      </c>
      <c r="AG159" s="2"/>
    </row>
    <row r="160" spans="1:33" ht="43.5" x14ac:dyDescent="0.35">
      <c r="A160" s="43" t="s">
        <v>306</v>
      </c>
      <c r="B160" s="2" t="s">
        <v>298</v>
      </c>
      <c r="C160" s="26" t="s">
        <v>418</v>
      </c>
      <c r="D160" s="2" t="s">
        <v>300</v>
      </c>
      <c r="E160" s="66" t="s">
        <v>938</v>
      </c>
      <c r="F160" s="65">
        <v>45839</v>
      </c>
      <c r="G160" s="26" t="s">
        <v>150</v>
      </c>
      <c r="H160" s="67" t="s">
        <v>939</v>
      </c>
      <c r="I160" s="26" t="s">
        <v>1473</v>
      </c>
      <c r="J160" s="2" t="s">
        <v>366</v>
      </c>
      <c r="K160" s="88">
        <v>40000000</v>
      </c>
      <c r="L160" s="84">
        <v>0</v>
      </c>
      <c r="M160" s="85">
        <v>40000000</v>
      </c>
      <c r="N160" s="69" t="s">
        <v>302</v>
      </c>
      <c r="O160" s="3"/>
      <c r="P160" s="28">
        <f>+Tabla1513[[#This Row],[VALOR TOTAL DEL CONTRATO
(en pesos)
CON IVA
(inicial)]]+Tabla1513[[#This Row],[VALOR DE LAS ADICIONES
(en pesos)
CON IVA]]</f>
        <v>40000000</v>
      </c>
      <c r="Q160" s="37">
        <v>183</v>
      </c>
      <c r="R160" s="23" t="s">
        <v>302</v>
      </c>
      <c r="S160" s="4"/>
      <c r="T160" s="23" t="s">
        <v>302</v>
      </c>
      <c r="U160" s="23"/>
      <c r="V160" s="65">
        <v>45839</v>
      </c>
      <c r="W160" s="65">
        <v>46022</v>
      </c>
      <c r="X160" s="65">
        <v>46022</v>
      </c>
      <c r="Y160" s="64" t="s">
        <v>325</v>
      </c>
      <c r="Z160" s="71"/>
      <c r="AA160" s="70" t="s">
        <v>321</v>
      </c>
      <c r="AB160" s="30">
        <v>1</v>
      </c>
      <c r="AC160" s="30">
        <v>1</v>
      </c>
      <c r="AD160" s="31">
        <v>33026350</v>
      </c>
      <c r="AE160" s="32" t="s">
        <v>1026</v>
      </c>
      <c r="AG160" s="2"/>
    </row>
    <row r="161" spans="1:33" ht="43.5" x14ac:dyDescent="0.35">
      <c r="A161" s="43" t="s">
        <v>306</v>
      </c>
      <c r="B161" s="2" t="s">
        <v>333</v>
      </c>
      <c r="C161" s="26" t="s">
        <v>63</v>
      </c>
      <c r="D161" s="2" t="s">
        <v>300</v>
      </c>
      <c r="E161" s="66" t="s">
        <v>889</v>
      </c>
      <c r="F161" s="65">
        <v>45835</v>
      </c>
      <c r="G161" s="26" t="s">
        <v>150</v>
      </c>
      <c r="H161" s="67" t="s">
        <v>423</v>
      </c>
      <c r="I161" s="26" t="s">
        <v>1596</v>
      </c>
      <c r="J161" s="2" t="s">
        <v>892</v>
      </c>
      <c r="K161" s="88">
        <v>150000000</v>
      </c>
      <c r="L161" s="84">
        <v>28500000</v>
      </c>
      <c r="M161" s="85">
        <v>178500000</v>
      </c>
      <c r="N161" s="69" t="s">
        <v>302</v>
      </c>
      <c r="O161" s="3"/>
      <c r="P161" s="28">
        <f>+Tabla1513[[#This Row],[VALOR TOTAL DEL CONTRATO
(en pesos)
CON IVA
(inicial)]]+Tabla1513[[#This Row],[VALOR DE LAS ADICIONES
(en pesos)
CON IVA]]</f>
        <v>178500000</v>
      </c>
      <c r="Q161" s="37">
        <v>364</v>
      </c>
      <c r="R161" s="23" t="s">
        <v>302</v>
      </c>
      <c r="S161" s="4"/>
      <c r="T161" s="23" t="s">
        <v>302</v>
      </c>
      <c r="U161" s="23"/>
      <c r="V161" s="65">
        <v>45835</v>
      </c>
      <c r="W161" s="65">
        <v>46199</v>
      </c>
      <c r="X161" s="65">
        <v>46199</v>
      </c>
      <c r="Y161" s="64" t="s">
        <v>303</v>
      </c>
      <c r="Z161" s="71"/>
      <c r="AA161" s="75"/>
      <c r="AB161" s="30">
        <v>0.21179999999999999</v>
      </c>
      <c r="AC161" s="30">
        <v>0</v>
      </c>
      <c r="AD161" s="31">
        <v>0</v>
      </c>
      <c r="AE161" s="32" t="s">
        <v>1151</v>
      </c>
      <c r="AG161" s="2"/>
    </row>
    <row r="162" spans="1:33" ht="29" x14ac:dyDescent="0.35">
      <c r="A162" s="43" t="s">
        <v>306</v>
      </c>
      <c r="B162" s="2" t="s">
        <v>333</v>
      </c>
      <c r="C162" s="26" t="s">
        <v>63</v>
      </c>
      <c r="D162" s="2" t="s">
        <v>300</v>
      </c>
      <c r="E162" s="66" t="s">
        <v>940</v>
      </c>
      <c r="F162" s="65">
        <v>45840</v>
      </c>
      <c r="G162" s="26" t="s">
        <v>150</v>
      </c>
      <c r="H162" s="67" t="s">
        <v>423</v>
      </c>
      <c r="I162" s="26" t="s">
        <v>1597</v>
      </c>
      <c r="J162" s="2" t="s">
        <v>404</v>
      </c>
      <c r="K162" s="88">
        <v>400000000</v>
      </c>
      <c r="L162" s="84">
        <v>76000000</v>
      </c>
      <c r="M162" s="85">
        <v>476000000</v>
      </c>
      <c r="N162" s="69" t="s">
        <v>302</v>
      </c>
      <c r="O162" s="3"/>
      <c r="P162" s="28">
        <f>+Tabla1513[[#This Row],[VALOR TOTAL DEL CONTRATO
(en pesos)
CON IVA
(inicial)]]+Tabla1513[[#This Row],[VALOR DE LAS ADICIONES
(en pesos)
CON IVA]]</f>
        <v>476000000</v>
      </c>
      <c r="Q162" s="37">
        <v>364</v>
      </c>
      <c r="R162" s="23" t="s">
        <v>302</v>
      </c>
      <c r="S162" s="4"/>
      <c r="T162" s="23" t="s">
        <v>302</v>
      </c>
      <c r="U162" s="23"/>
      <c r="V162" s="65">
        <v>45840</v>
      </c>
      <c r="W162" s="65">
        <v>46204</v>
      </c>
      <c r="X162" s="65">
        <v>46204</v>
      </c>
      <c r="Y162" s="64" t="s">
        <v>303</v>
      </c>
      <c r="Z162" s="71"/>
      <c r="AA162" s="75"/>
      <c r="AB162" s="30">
        <v>0.77270000000000005</v>
      </c>
      <c r="AC162" s="30">
        <v>0.77270000000000005</v>
      </c>
      <c r="AD162" s="31">
        <v>367784532</v>
      </c>
      <c r="AE162" s="32" t="s">
        <v>992</v>
      </c>
      <c r="AG162" s="2"/>
    </row>
    <row r="163" spans="1:33" ht="29" x14ac:dyDescent="0.35">
      <c r="A163" s="43" t="s">
        <v>306</v>
      </c>
      <c r="B163" s="2" t="s">
        <v>11</v>
      </c>
      <c r="C163" s="26" t="s">
        <v>335</v>
      </c>
      <c r="D163" s="2" t="s">
        <v>300</v>
      </c>
      <c r="E163" s="66" t="s">
        <v>941</v>
      </c>
      <c r="F163" s="65">
        <v>45840</v>
      </c>
      <c r="G163" s="26" t="s">
        <v>150</v>
      </c>
      <c r="H163" s="67" t="s">
        <v>942</v>
      </c>
      <c r="I163" s="26" t="s">
        <v>1598</v>
      </c>
      <c r="J163" s="2" t="s">
        <v>943</v>
      </c>
      <c r="K163" s="88">
        <v>594956370</v>
      </c>
      <c r="L163" s="84">
        <v>113041710</v>
      </c>
      <c r="M163" s="85">
        <v>707998080</v>
      </c>
      <c r="N163" s="69" t="s">
        <v>302</v>
      </c>
      <c r="O163" s="3"/>
      <c r="P163" s="28">
        <f>+Tabla1513[[#This Row],[VALOR TOTAL DEL CONTRATO
(en pesos)
CON IVA
(inicial)]]+Tabla1513[[#This Row],[VALOR DE LAS ADICIONES
(en pesos)
CON IVA]]</f>
        <v>707998080</v>
      </c>
      <c r="Q163" s="37">
        <v>729</v>
      </c>
      <c r="R163" s="23" t="s">
        <v>302</v>
      </c>
      <c r="S163" s="4"/>
      <c r="T163" s="23" t="s">
        <v>302</v>
      </c>
      <c r="U163" s="23"/>
      <c r="V163" s="65">
        <v>45840</v>
      </c>
      <c r="W163" s="65">
        <v>46569</v>
      </c>
      <c r="X163" s="65">
        <v>46569</v>
      </c>
      <c r="Y163" s="64" t="s">
        <v>303</v>
      </c>
      <c r="Z163" s="71"/>
      <c r="AA163" s="75"/>
      <c r="AB163" s="30">
        <v>0.26</v>
      </c>
      <c r="AC163" s="30">
        <v>0.26</v>
      </c>
      <c r="AD163" s="31">
        <v>79171546.069999993</v>
      </c>
      <c r="AE163" s="32" t="s">
        <v>993</v>
      </c>
      <c r="AG163" s="2"/>
    </row>
    <row r="164" spans="1:33" ht="43.5" x14ac:dyDescent="0.35">
      <c r="A164" s="43" t="s">
        <v>306</v>
      </c>
      <c r="B164" s="2" t="s">
        <v>11</v>
      </c>
      <c r="C164" s="26" t="s">
        <v>19</v>
      </c>
      <c r="D164" s="2" t="s">
        <v>365</v>
      </c>
      <c r="E164" s="66" t="s">
        <v>929</v>
      </c>
      <c r="F164" s="65">
        <v>45835</v>
      </c>
      <c r="G164" s="26" t="s">
        <v>142</v>
      </c>
      <c r="H164" s="67" t="s">
        <v>930</v>
      </c>
      <c r="I164" s="26" t="s">
        <v>1599</v>
      </c>
      <c r="J164" s="2" t="s">
        <v>931</v>
      </c>
      <c r="K164" s="88">
        <v>3551527</v>
      </c>
      <c r="L164" s="84">
        <v>674790</v>
      </c>
      <c r="M164" s="85">
        <v>4226317</v>
      </c>
      <c r="N164" s="69" t="s">
        <v>302</v>
      </c>
      <c r="O164" s="3"/>
      <c r="P164" s="28">
        <f>+Tabla1513[[#This Row],[VALOR TOTAL DEL CONTRATO
(en pesos)
CON IVA
(inicial)]]+Tabla1513[[#This Row],[VALOR DE LAS ADICIONES
(en pesos)
CON IVA]]</f>
        <v>4226317</v>
      </c>
      <c r="Q164" s="37">
        <v>365</v>
      </c>
      <c r="R164" s="23" t="s">
        <v>302</v>
      </c>
      <c r="S164" s="4"/>
      <c r="T164" s="23" t="s">
        <v>302</v>
      </c>
      <c r="U164" s="23"/>
      <c r="V164" s="65">
        <v>45835</v>
      </c>
      <c r="W164" s="65">
        <v>46200</v>
      </c>
      <c r="X164" s="65">
        <v>46200</v>
      </c>
      <c r="Y164" s="64" t="s">
        <v>303</v>
      </c>
      <c r="Z164" s="71"/>
      <c r="AA164" s="75"/>
      <c r="AB164" s="30">
        <v>0.46</v>
      </c>
      <c r="AC164" s="30">
        <v>1</v>
      </c>
      <c r="AD164" s="31">
        <v>4226317</v>
      </c>
      <c r="AE164" s="32" t="s">
        <v>1027</v>
      </c>
      <c r="AG164" s="2"/>
    </row>
    <row r="165" spans="1:33" ht="29" x14ac:dyDescent="0.35">
      <c r="A165" s="43" t="s">
        <v>306</v>
      </c>
      <c r="B165" s="2" t="s">
        <v>327</v>
      </c>
      <c r="C165" s="26" t="s">
        <v>45</v>
      </c>
      <c r="D165" s="2" t="s">
        <v>365</v>
      </c>
      <c r="E165" s="66" t="s">
        <v>944</v>
      </c>
      <c r="F165" s="65">
        <v>45842</v>
      </c>
      <c r="G165" s="26" t="s">
        <v>150</v>
      </c>
      <c r="H165" s="67" t="s">
        <v>946</v>
      </c>
      <c r="I165" s="26" t="s">
        <v>1572</v>
      </c>
      <c r="J165" s="2" t="s">
        <v>351</v>
      </c>
      <c r="K165" s="88">
        <v>1610000</v>
      </c>
      <c r="L165" s="84">
        <v>305900</v>
      </c>
      <c r="M165" s="85">
        <v>1915900</v>
      </c>
      <c r="N165" s="69" t="s">
        <v>302</v>
      </c>
      <c r="O165" s="3"/>
      <c r="P165" s="28">
        <f>+Tabla1513[[#This Row],[VALOR TOTAL DEL CONTRATO
(en pesos)
CON IVA
(inicial)]]+Tabla1513[[#This Row],[VALOR DE LAS ADICIONES
(en pesos)
CON IVA]]</f>
        <v>1915900</v>
      </c>
      <c r="Q165" s="37">
        <v>364</v>
      </c>
      <c r="R165" s="23" t="s">
        <v>302</v>
      </c>
      <c r="S165" s="4"/>
      <c r="T165" s="23" t="s">
        <v>302</v>
      </c>
      <c r="U165" s="23"/>
      <c r="V165" s="65">
        <v>45870</v>
      </c>
      <c r="W165" s="65">
        <v>46234</v>
      </c>
      <c r="X165" s="65">
        <v>46234</v>
      </c>
      <c r="Y165" s="64" t="s">
        <v>303</v>
      </c>
      <c r="Z165" s="71"/>
      <c r="AA165" s="75"/>
      <c r="AB165" s="61">
        <v>0.33329999999999999</v>
      </c>
      <c r="AC165" s="61">
        <v>0.9698</v>
      </c>
      <c r="AD165" s="62">
        <v>1858065</v>
      </c>
      <c r="AE165" s="32" t="s">
        <v>1028</v>
      </c>
      <c r="AG165" s="2"/>
    </row>
    <row r="166" spans="1:33" ht="29" x14ac:dyDescent="0.35">
      <c r="A166" s="43" t="s">
        <v>306</v>
      </c>
      <c r="B166" s="2" t="s">
        <v>333</v>
      </c>
      <c r="C166" s="26" t="s">
        <v>63</v>
      </c>
      <c r="D166" s="2" t="s">
        <v>300</v>
      </c>
      <c r="E166" s="66" t="s">
        <v>945</v>
      </c>
      <c r="F166" s="65">
        <v>45845</v>
      </c>
      <c r="G166" s="26" t="s">
        <v>150</v>
      </c>
      <c r="H166" s="67" t="s">
        <v>423</v>
      </c>
      <c r="I166" s="26" t="s">
        <v>1600</v>
      </c>
      <c r="J166" s="2" t="s">
        <v>947</v>
      </c>
      <c r="K166" s="88">
        <v>200000000</v>
      </c>
      <c r="L166" s="84">
        <v>38000000</v>
      </c>
      <c r="M166" s="85">
        <v>238000000</v>
      </c>
      <c r="N166" s="69" t="s">
        <v>302</v>
      </c>
      <c r="O166" s="3"/>
      <c r="P166" s="28">
        <f>+Tabla1513[[#This Row],[VALOR TOTAL DEL CONTRATO
(en pesos)
CON IVA
(inicial)]]+Tabla1513[[#This Row],[VALOR DE LAS ADICIONES
(en pesos)
CON IVA]]</f>
        <v>238000000</v>
      </c>
      <c r="Q166" s="37">
        <v>364</v>
      </c>
      <c r="R166" s="23" t="s">
        <v>302</v>
      </c>
      <c r="S166" s="4"/>
      <c r="T166" s="23" t="s">
        <v>302</v>
      </c>
      <c r="U166" s="23"/>
      <c r="V166" s="65">
        <v>45901</v>
      </c>
      <c r="W166" s="65">
        <v>46265</v>
      </c>
      <c r="X166" s="65">
        <v>46265</v>
      </c>
      <c r="Y166" s="64" t="s">
        <v>303</v>
      </c>
      <c r="Z166" s="71"/>
      <c r="AA166" s="75"/>
      <c r="AB166" s="30">
        <v>3.1199999999999999E-2</v>
      </c>
      <c r="AC166" s="30">
        <v>3.1199999999999999E-2</v>
      </c>
      <c r="AD166" s="31">
        <v>7421431</v>
      </c>
      <c r="AE166" s="32" t="s">
        <v>994</v>
      </c>
      <c r="AG166" s="2"/>
    </row>
    <row r="167" spans="1:33" ht="29" x14ac:dyDescent="0.35">
      <c r="A167" s="43" t="s">
        <v>306</v>
      </c>
      <c r="B167" s="2" t="s">
        <v>11</v>
      </c>
      <c r="C167" s="26" t="s">
        <v>19</v>
      </c>
      <c r="D167" s="2" t="s">
        <v>365</v>
      </c>
      <c r="E167" s="66" t="s">
        <v>932</v>
      </c>
      <c r="F167" s="65">
        <v>45832</v>
      </c>
      <c r="G167" s="26" t="s">
        <v>150</v>
      </c>
      <c r="H167" s="67" t="s">
        <v>948</v>
      </c>
      <c r="I167" s="26" t="s">
        <v>1601</v>
      </c>
      <c r="J167" s="2" t="s">
        <v>933</v>
      </c>
      <c r="K167" s="88">
        <v>2748000</v>
      </c>
      <c r="L167" s="84">
        <v>0</v>
      </c>
      <c r="M167" s="85">
        <v>2748000</v>
      </c>
      <c r="N167" s="69" t="s">
        <v>302</v>
      </c>
      <c r="O167" s="3"/>
      <c r="P167" s="28">
        <f>+Tabla1513[[#This Row],[VALOR TOTAL DEL CONTRATO
(en pesos)
CON IVA
(inicial)]]+Tabla1513[[#This Row],[VALOR DE LAS ADICIONES
(en pesos)
CON IVA]]</f>
        <v>2748000</v>
      </c>
      <c r="Q167" s="37">
        <v>1096</v>
      </c>
      <c r="R167" s="23" t="s">
        <v>302</v>
      </c>
      <c r="S167" s="4"/>
      <c r="T167" s="23" t="s">
        <v>302</v>
      </c>
      <c r="U167" s="23"/>
      <c r="V167" s="65">
        <v>45832</v>
      </c>
      <c r="W167" s="65">
        <v>46928</v>
      </c>
      <c r="X167" s="65">
        <v>46928</v>
      </c>
      <c r="Y167" s="64" t="s">
        <v>303</v>
      </c>
      <c r="Z167" s="71"/>
      <c r="AA167" s="75"/>
      <c r="AB167" s="30">
        <v>0.1</v>
      </c>
      <c r="AC167" s="30">
        <v>1</v>
      </c>
      <c r="AD167" s="31">
        <v>2748000</v>
      </c>
      <c r="AE167" s="32" t="s">
        <v>1029</v>
      </c>
      <c r="AG167" s="2"/>
    </row>
    <row r="168" spans="1:33" ht="58" x14ac:dyDescent="0.35">
      <c r="A168" s="43" t="s">
        <v>306</v>
      </c>
      <c r="B168" s="2" t="s">
        <v>31</v>
      </c>
      <c r="C168" s="26" t="s">
        <v>37</v>
      </c>
      <c r="D168" s="2" t="s">
        <v>300</v>
      </c>
      <c r="E168" s="74" t="s">
        <v>952</v>
      </c>
      <c r="F168" s="65">
        <v>45847</v>
      </c>
      <c r="G168" s="26" t="s">
        <v>150</v>
      </c>
      <c r="H168" s="67" t="s">
        <v>1204</v>
      </c>
      <c r="I168" s="26" t="s">
        <v>1602</v>
      </c>
      <c r="J168" s="2" t="s">
        <v>354</v>
      </c>
      <c r="K168" s="88">
        <v>53025000</v>
      </c>
      <c r="L168" s="84">
        <v>10074750</v>
      </c>
      <c r="M168" s="85">
        <v>63099750</v>
      </c>
      <c r="N168" s="69" t="s">
        <v>302</v>
      </c>
      <c r="O168" s="3"/>
      <c r="P168" s="28">
        <f>+Tabla1513[[#This Row],[VALOR TOTAL DEL CONTRATO
(en pesos)
CON IVA
(inicial)]]+Tabla1513[[#This Row],[VALOR DE LAS ADICIONES
(en pesos)
CON IVA]]</f>
        <v>63099750</v>
      </c>
      <c r="Q168" s="37">
        <v>456</v>
      </c>
      <c r="R168" s="23" t="s">
        <v>302</v>
      </c>
      <c r="S168" s="4"/>
      <c r="T168" s="23" t="s">
        <v>302</v>
      </c>
      <c r="U168" s="23"/>
      <c r="V168" s="65">
        <v>45902</v>
      </c>
      <c r="W168" s="65">
        <v>46358</v>
      </c>
      <c r="X168" s="65">
        <v>46358</v>
      </c>
      <c r="Y168" s="64" t="s">
        <v>303</v>
      </c>
      <c r="Z168" s="71"/>
      <c r="AA168" s="75"/>
      <c r="AB168" s="30">
        <v>0.26669999999999999</v>
      </c>
      <c r="AC168" s="30">
        <v>0.26669999999999999</v>
      </c>
      <c r="AD168" s="31">
        <v>16826600</v>
      </c>
      <c r="AE168" s="32" t="s">
        <v>1152</v>
      </c>
      <c r="AG168" s="2"/>
    </row>
    <row r="169" spans="1:33" ht="43.5" x14ac:dyDescent="0.35">
      <c r="A169" s="43" t="s">
        <v>306</v>
      </c>
      <c r="B169" s="2" t="s">
        <v>11</v>
      </c>
      <c r="C169" s="26" t="s">
        <v>18</v>
      </c>
      <c r="D169" s="2" t="s">
        <v>300</v>
      </c>
      <c r="E169" s="66" t="s">
        <v>953</v>
      </c>
      <c r="F169" s="65">
        <v>45848</v>
      </c>
      <c r="G169" s="26" t="s">
        <v>150</v>
      </c>
      <c r="H169" s="67" t="s">
        <v>955</v>
      </c>
      <c r="I169" s="26" t="s">
        <v>1603</v>
      </c>
      <c r="J169" s="2" t="s">
        <v>956</v>
      </c>
      <c r="K169" s="88">
        <v>50000000</v>
      </c>
      <c r="L169" s="84">
        <v>9500000</v>
      </c>
      <c r="M169" s="85">
        <v>59500000</v>
      </c>
      <c r="N169" s="69" t="s">
        <v>302</v>
      </c>
      <c r="O169" s="3"/>
      <c r="P169" s="28">
        <f>+Tabla1513[[#This Row],[VALOR TOTAL DEL CONTRATO
(en pesos)
CON IVA
(inicial)]]+Tabla1513[[#This Row],[VALOR DE LAS ADICIONES
(en pesos)
CON IVA]]</f>
        <v>59500000</v>
      </c>
      <c r="Q169" s="37">
        <v>153</v>
      </c>
      <c r="R169" s="23" t="s">
        <v>302</v>
      </c>
      <c r="S169" s="4"/>
      <c r="T169" s="23" t="s">
        <v>302</v>
      </c>
      <c r="U169" s="23"/>
      <c r="V169" s="65">
        <v>45854</v>
      </c>
      <c r="W169" s="65">
        <v>46007</v>
      </c>
      <c r="X169" s="65">
        <v>46007</v>
      </c>
      <c r="Y169" s="64" t="s">
        <v>325</v>
      </c>
      <c r="Z169" s="71"/>
      <c r="AA169" s="70" t="s">
        <v>321</v>
      </c>
      <c r="AB169" s="30">
        <v>1</v>
      </c>
      <c r="AC169" s="30">
        <v>1</v>
      </c>
      <c r="AD169" s="31">
        <v>59500000</v>
      </c>
      <c r="AE169" s="32" t="s">
        <v>995</v>
      </c>
      <c r="AG169" s="2"/>
    </row>
    <row r="170" spans="1:33" ht="43.5" x14ac:dyDescent="0.35">
      <c r="A170" s="43" t="s">
        <v>306</v>
      </c>
      <c r="B170" s="2" t="s">
        <v>11</v>
      </c>
      <c r="C170" s="26" t="s">
        <v>20</v>
      </c>
      <c r="D170" s="2" t="s">
        <v>300</v>
      </c>
      <c r="E170" s="66" t="s">
        <v>954</v>
      </c>
      <c r="F170" s="65">
        <v>45852</v>
      </c>
      <c r="G170" s="26" t="s">
        <v>150</v>
      </c>
      <c r="H170" s="67" t="s">
        <v>957</v>
      </c>
      <c r="I170" s="26" t="s">
        <v>1588</v>
      </c>
      <c r="J170" s="2" t="s">
        <v>405</v>
      </c>
      <c r="K170" s="88">
        <v>17855369</v>
      </c>
      <c r="L170" s="84">
        <v>3392520</v>
      </c>
      <c r="M170" s="85">
        <v>21247889</v>
      </c>
      <c r="N170" s="69" t="s">
        <v>302</v>
      </c>
      <c r="O170" s="3"/>
      <c r="P170" s="28">
        <f>+Tabla1513[[#This Row],[VALOR TOTAL DEL CONTRATO
(en pesos)
CON IVA
(inicial)]]+Tabla1513[[#This Row],[VALOR DE LAS ADICIONES
(en pesos)
CON IVA]]</f>
        <v>21247889</v>
      </c>
      <c r="Q170" s="37">
        <v>184</v>
      </c>
      <c r="R170" s="23" t="s">
        <v>302</v>
      </c>
      <c r="S170" s="4"/>
      <c r="T170" s="23" t="s">
        <v>302</v>
      </c>
      <c r="U170" s="23"/>
      <c r="V170" s="65">
        <v>45852</v>
      </c>
      <c r="W170" s="65">
        <v>46036</v>
      </c>
      <c r="X170" s="65">
        <v>46036</v>
      </c>
      <c r="Y170" s="64" t="s">
        <v>303</v>
      </c>
      <c r="Z170" s="71"/>
      <c r="AA170" s="75"/>
      <c r="AB170" s="30">
        <v>1</v>
      </c>
      <c r="AC170" s="30">
        <v>1</v>
      </c>
      <c r="AD170" s="31">
        <v>21247889</v>
      </c>
      <c r="AE170" s="32" t="s">
        <v>1033</v>
      </c>
      <c r="AG170" s="2"/>
    </row>
    <row r="171" spans="1:33" ht="29" x14ac:dyDescent="0.35">
      <c r="A171" s="43" t="s">
        <v>306</v>
      </c>
      <c r="B171" s="2" t="s">
        <v>333</v>
      </c>
      <c r="C171" s="26" t="s">
        <v>63</v>
      </c>
      <c r="D171" s="2" t="s">
        <v>300</v>
      </c>
      <c r="E171" s="66" t="s">
        <v>958</v>
      </c>
      <c r="F171" s="65">
        <v>45849</v>
      </c>
      <c r="G171" s="26" t="s">
        <v>150</v>
      </c>
      <c r="H171" s="67" t="s">
        <v>423</v>
      </c>
      <c r="I171" s="26" t="s">
        <v>1604</v>
      </c>
      <c r="J171" s="2" t="s">
        <v>959</v>
      </c>
      <c r="K171" s="88">
        <v>150000000</v>
      </c>
      <c r="L171" s="84">
        <v>28500000</v>
      </c>
      <c r="M171" s="85">
        <v>178500000</v>
      </c>
      <c r="N171" s="69" t="s">
        <v>302</v>
      </c>
      <c r="O171" s="3"/>
      <c r="P171" s="28">
        <f>+Tabla1513[[#This Row],[VALOR TOTAL DEL CONTRATO
(en pesos)
CON IVA
(inicial)]]+Tabla1513[[#This Row],[VALOR DE LAS ADICIONES
(en pesos)
CON IVA]]</f>
        <v>178500000</v>
      </c>
      <c r="Q171" s="37">
        <v>364</v>
      </c>
      <c r="R171" s="23" t="s">
        <v>302</v>
      </c>
      <c r="S171" s="4"/>
      <c r="T171" s="23" t="s">
        <v>302</v>
      </c>
      <c r="U171" s="23"/>
      <c r="V171" s="65">
        <v>45849</v>
      </c>
      <c r="W171" s="65">
        <v>46213</v>
      </c>
      <c r="X171" s="65">
        <v>46213</v>
      </c>
      <c r="Y171" s="64" t="s">
        <v>303</v>
      </c>
      <c r="Z171" s="71"/>
      <c r="AA171" s="75"/>
      <c r="AB171" s="30">
        <v>0.37109999999999999</v>
      </c>
      <c r="AC171" s="30">
        <v>0</v>
      </c>
      <c r="AD171" s="31">
        <v>0</v>
      </c>
      <c r="AE171" s="32" t="s">
        <v>996</v>
      </c>
      <c r="AG171" s="2"/>
    </row>
    <row r="172" spans="1:33" ht="43.5" x14ac:dyDescent="0.35">
      <c r="A172" s="43" t="s">
        <v>306</v>
      </c>
      <c r="B172" s="2" t="s">
        <v>329</v>
      </c>
      <c r="C172" s="26" t="s">
        <v>406</v>
      </c>
      <c r="D172" s="2" t="s">
        <v>300</v>
      </c>
      <c r="E172" s="74" t="s">
        <v>960</v>
      </c>
      <c r="F172" s="65">
        <v>45852</v>
      </c>
      <c r="G172" s="26" t="s">
        <v>150</v>
      </c>
      <c r="H172" s="67" t="s">
        <v>961</v>
      </c>
      <c r="I172" s="26" t="s">
        <v>1605</v>
      </c>
      <c r="J172" s="2" t="s">
        <v>962</v>
      </c>
      <c r="K172" s="88">
        <v>24370920</v>
      </c>
      <c r="L172" s="84">
        <v>0</v>
      </c>
      <c r="M172" s="85">
        <v>24370920</v>
      </c>
      <c r="N172" s="69" t="s">
        <v>302</v>
      </c>
      <c r="O172" s="3"/>
      <c r="P172" s="28">
        <f>+Tabla1513[[#This Row],[VALOR TOTAL DEL CONTRATO
(en pesos)
CON IVA
(inicial)]]+Tabla1513[[#This Row],[VALOR DE LAS ADICIONES
(en pesos)
CON IVA]]</f>
        <v>24370920</v>
      </c>
      <c r="Q172" s="37">
        <v>121</v>
      </c>
      <c r="R172" s="23" t="s">
        <v>302</v>
      </c>
      <c r="S172" s="4"/>
      <c r="T172" s="23" t="s">
        <v>302</v>
      </c>
      <c r="U172" s="23"/>
      <c r="V172" s="65">
        <v>45901</v>
      </c>
      <c r="W172" s="65">
        <v>46022</v>
      </c>
      <c r="X172" s="65">
        <v>46022</v>
      </c>
      <c r="Y172" s="64" t="s">
        <v>320</v>
      </c>
      <c r="Z172" s="71"/>
      <c r="AA172" s="70" t="s">
        <v>321</v>
      </c>
      <c r="AB172" s="30">
        <v>0.74590000000000001</v>
      </c>
      <c r="AC172" s="30">
        <v>0.33329999999999999</v>
      </c>
      <c r="AD172" s="31">
        <v>8123637</v>
      </c>
      <c r="AE172" s="32" t="s">
        <v>997</v>
      </c>
      <c r="AG172" s="2"/>
    </row>
    <row r="173" spans="1:33" ht="29" x14ac:dyDescent="0.35">
      <c r="A173" s="43" t="s">
        <v>306</v>
      </c>
      <c r="B173" s="2" t="s">
        <v>11</v>
      </c>
      <c r="C173" s="26" t="s">
        <v>335</v>
      </c>
      <c r="D173" s="2" t="s">
        <v>300</v>
      </c>
      <c r="E173" s="66" t="s">
        <v>1055</v>
      </c>
      <c r="F173" s="65">
        <v>45860</v>
      </c>
      <c r="G173" s="26" t="s">
        <v>150</v>
      </c>
      <c r="H173" s="67" t="s">
        <v>1056</v>
      </c>
      <c r="I173" s="26" t="s">
        <v>1606</v>
      </c>
      <c r="J173" s="2" t="s">
        <v>1057</v>
      </c>
      <c r="K173" s="88">
        <v>37500000</v>
      </c>
      <c r="L173" s="84">
        <v>7125000</v>
      </c>
      <c r="M173" s="85">
        <v>44625000</v>
      </c>
      <c r="N173" s="69" t="s">
        <v>302</v>
      </c>
      <c r="O173" s="3"/>
      <c r="P173" s="28">
        <f>+Tabla1513[[#This Row],[VALOR TOTAL DEL CONTRATO
(en pesos)
CON IVA
(inicial)]]+Tabla1513[[#This Row],[VALOR DE LAS ADICIONES
(en pesos)
CON IVA]]</f>
        <v>44625000</v>
      </c>
      <c r="Q173" s="37">
        <v>60</v>
      </c>
      <c r="R173" s="23" t="s">
        <v>302</v>
      </c>
      <c r="S173" s="4"/>
      <c r="T173" s="23" t="s">
        <v>302</v>
      </c>
      <c r="U173" s="23"/>
      <c r="V173" s="65">
        <v>45860</v>
      </c>
      <c r="W173" s="65">
        <v>45920</v>
      </c>
      <c r="X173" s="65">
        <v>45920</v>
      </c>
      <c r="Y173" s="64" t="s">
        <v>320</v>
      </c>
      <c r="Z173" s="71"/>
      <c r="AA173" s="70" t="s">
        <v>321</v>
      </c>
      <c r="AB173" s="30">
        <v>1</v>
      </c>
      <c r="AC173" s="30">
        <v>1</v>
      </c>
      <c r="AD173" s="31">
        <v>44625000</v>
      </c>
      <c r="AE173" s="32" t="s">
        <v>1153</v>
      </c>
      <c r="AG173" s="2"/>
    </row>
    <row r="174" spans="1:33" ht="43.5" x14ac:dyDescent="0.35">
      <c r="A174" s="43" t="s">
        <v>306</v>
      </c>
      <c r="B174" s="2" t="s">
        <v>11</v>
      </c>
      <c r="C174" s="26" t="s">
        <v>18</v>
      </c>
      <c r="D174" s="2" t="s">
        <v>324</v>
      </c>
      <c r="E174" s="66" t="s">
        <v>963</v>
      </c>
      <c r="F174" s="65">
        <v>45863</v>
      </c>
      <c r="G174" s="26" t="s">
        <v>150</v>
      </c>
      <c r="H174" s="67" t="s">
        <v>965</v>
      </c>
      <c r="I174" s="26" t="s">
        <v>1607</v>
      </c>
      <c r="J174" s="2" t="s">
        <v>966</v>
      </c>
      <c r="K174" s="88">
        <v>2390556519</v>
      </c>
      <c r="L174" s="84">
        <v>454205742</v>
      </c>
      <c r="M174" s="85">
        <v>2844762261</v>
      </c>
      <c r="N174" s="69" t="s">
        <v>302</v>
      </c>
      <c r="O174" s="3"/>
      <c r="P174" s="28">
        <f>+Tabla1513[[#This Row],[VALOR TOTAL DEL CONTRATO
(en pesos)
CON IVA
(inicial)]]+Tabla1513[[#This Row],[VALOR DE LAS ADICIONES
(en pesos)
CON IVA]]</f>
        <v>2844762261</v>
      </c>
      <c r="Q174" s="37">
        <v>729</v>
      </c>
      <c r="R174" s="23" t="s">
        <v>302</v>
      </c>
      <c r="S174" s="4"/>
      <c r="T174" s="23" t="s">
        <v>302</v>
      </c>
      <c r="U174" s="23"/>
      <c r="V174" s="65">
        <v>45863</v>
      </c>
      <c r="W174" s="65">
        <v>46592</v>
      </c>
      <c r="X174" s="65">
        <v>46592</v>
      </c>
      <c r="Y174" s="64" t="s">
        <v>303</v>
      </c>
      <c r="Z174" s="71"/>
      <c r="AA174" s="75"/>
      <c r="AB174" s="30">
        <v>0.22</v>
      </c>
      <c r="AC174" s="30">
        <v>0.25</v>
      </c>
      <c r="AD174" s="31">
        <v>678462581</v>
      </c>
      <c r="AE174" s="32" t="s">
        <v>1154</v>
      </c>
      <c r="AG174" s="2"/>
    </row>
    <row r="175" spans="1:33" ht="43.5" x14ac:dyDescent="0.35">
      <c r="A175" s="43" t="s">
        <v>306</v>
      </c>
      <c r="B175" s="2" t="s">
        <v>329</v>
      </c>
      <c r="C175" s="26" t="s">
        <v>406</v>
      </c>
      <c r="D175" s="2" t="s">
        <v>300</v>
      </c>
      <c r="E175" s="74" t="s">
        <v>964</v>
      </c>
      <c r="F175" s="65">
        <v>45866</v>
      </c>
      <c r="G175" s="26" t="s">
        <v>150</v>
      </c>
      <c r="H175" s="67" t="s">
        <v>967</v>
      </c>
      <c r="I175" s="26" t="s">
        <v>1608</v>
      </c>
      <c r="J175" s="2" t="s">
        <v>968</v>
      </c>
      <c r="K175" s="88">
        <v>16247274</v>
      </c>
      <c r="L175" s="84">
        <v>0</v>
      </c>
      <c r="M175" s="85">
        <v>16247274</v>
      </c>
      <c r="N175" s="69" t="s">
        <v>302</v>
      </c>
      <c r="O175" s="3"/>
      <c r="P175" s="28">
        <f>+Tabla1513[[#This Row],[VALOR TOTAL DEL CONTRATO
(en pesos)
CON IVA
(inicial)]]+Tabla1513[[#This Row],[VALOR DE LAS ADICIONES
(en pesos)
CON IVA]]</f>
        <v>16247274</v>
      </c>
      <c r="Q175" s="37">
        <v>121</v>
      </c>
      <c r="R175" s="23" t="s">
        <v>302</v>
      </c>
      <c r="S175" s="4"/>
      <c r="T175" s="23" t="s">
        <v>302</v>
      </c>
      <c r="U175" s="23"/>
      <c r="V175" s="65">
        <v>45901</v>
      </c>
      <c r="W175" s="65">
        <v>46022</v>
      </c>
      <c r="X175" s="65">
        <v>46022</v>
      </c>
      <c r="Y175" s="64" t="s">
        <v>320</v>
      </c>
      <c r="Z175" s="71"/>
      <c r="AA175" s="70" t="s">
        <v>321</v>
      </c>
      <c r="AB175" s="30">
        <v>0.74590000000000001</v>
      </c>
      <c r="AC175" s="30">
        <v>0.5</v>
      </c>
      <c r="AD175" s="31">
        <v>8123637</v>
      </c>
      <c r="AE175" s="32" t="s">
        <v>1155</v>
      </c>
      <c r="AG175" s="2"/>
    </row>
    <row r="176" spans="1:33" ht="29" x14ac:dyDescent="0.35">
      <c r="A176" s="43" t="s">
        <v>306</v>
      </c>
      <c r="B176" s="2" t="s">
        <v>11</v>
      </c>
      <c r="C176" s="26" t="s">
        <v>19</v>
      </c>
      <c r="D176" s="2" t="s">
        <v>312</v>
      </c>
      <c r="E176" s="66" t="s">
        <v>969</v>
      </c>
      <c r="F176" s="65">
        <v>45867</v>
      </c>
      <c r="G176" s="26" t="s">
        <v>113</v>
      </c>
      <c r="H176" s="67" t="s">
        <v>971</v>
      </c>
      <c r="I176" s="26" t="s">
        <v>1609</v>
      </c>
      <c r="J176" s="2" t="s">
        <v>972</v>
      </c>
      <c r="K176" s="88">
        <v>210786934</v>
      </c>
      <c r="L176" s="84">
        <v>40049517</v>
      </c>
      <c r="M176" s="85">
        <v>250836451</v>
      </c>
      <c r="N176" s="69" t="s">
        <v>302</v>
      </c>
      <c r="O176" s="3"/>
      <c r="P176" s="28">
        <f>+Tabla1513[[#This Row],[VALOR TOTAL DEL CONTRATO
(en pesos)
CON IVA
(inicial)]]+Tabla1513[[#This Row],[VALOR DE LAS ADICIONES
(en pesos)
CON IVA]]</f>
        <v>250836451</v>
      </c>
      <c r="Q176" s="37">
        <v>513</v>
      </c>
      <c r="R176" s="23" t="s">
        <v>302</v>
      </c>
      <c r="S176" s="4"/>
      <c r="T176" s="23" t="s">
        <v>302</v>
      </c>
      <c r="U176" s="23"/>
      <c r="V176" s="65">
        <v>45874</v>
      </c>
      <c r="W176" s="65">
        <v>46387</v>
      </c>
      <c r="X176" s="65">
        <v>46387</v>
      </c>
      <c r="Y176" s="64" t="s">
        <v>303</v>
      </c>
      <c r="Z176" s="71"/>
      <c r="AA176" s="75"/>
      <c r="AB176" s="30">
        <v>0.25</v>
      </c>
      <c r="AC176" s="30">
        <v>0.25979999999999998</v>
      </c>
      <c r="AD176" s="31">
        <v>65170031.079999998</v>
      </c>
      <c r="AE176" s="32" t="s">
        <v>1156</v>
      </c>
      <c r="AG176" s="2"/>
    </row>
    <row r="177" spans="1:33" ht="29" x14ac:dyDescent="0.35">
      <c r="A177" s="43" t="s">
        <v>306</v>
      </c>
      <c r="B177" s="2" t="s">
        <v>333</v>
      </c>
      <c r="C177" s="26" t="s">
        <v>63</v>
      </c>
      <c r="D177" s="2" t="s">
        <v>300</v>
      </c>
      <c r="E177" s="66" t="s">
        <v>970</v>
      </c>
      <c r="F177" s="65">
        <v>45867</v>
      </c>
      <c r="G177" s="26" t="s">
        <v>150</v>
      </c>
      <c r="H177" s="67" t="s">
        <v>423</v>
      </c>
      <c r="I177" s="26" t="s">
        <v>1610</v>
      </c>
      <c r="J177" s="2" t="s">
        <v>973</v>
      </c>
      <c r="K177" s="88">
        <v>300000000</v>
      </c>
      <c r="L177" s="84">
        <v>57000000</v>
      </c>
      <c r="M177" s="85">
        <v>357000000</v>
      </c>
      <c r="N177" s="69" t="s">
        <v>302</v>
      </c>
      <c r="O177" s="3"/>
      <c r="P177" s="28">
        <f>+Tabla1513[[#This Row],[VALOR TOTAL DEL CONTRATO
(en pesos)
CON IVA
(inicial)]]+Tabla1513[[#This Row],[VALOR DE LAS ADICIONES
(en pesos)
CON IVA]]</f>
        <v>357000000</v>
      </c>
      <c r="Q177" s="37">
        <v>364</v>
      </c>
      <c r="R177" s="23" t="s">
        <v>302</v>
      </c>
      <c r="S177" s="4"/>
      <c r="T177" s="23" t="s">
        <v>302</v>
      </c>
      <c r="U177" s="23"/>
      <c r="V177" s="65">
        <v>45867</v>
      </c>
      <c r="W177" s="65">
        <v>46231</v>
      </c>
      <c r="X177" s="65">
        <v>46231</v>
      </c>
      <c r="Y177" s="64" t="s">
        <v>303</v>
      </c>
      <c r="Z177" s="71"/>
      <c r="AA177" s="75"/>
      <c r="AB177" s="30">
        <v>8.4000000000000005E-2</v>
      </c>
      <c r="AC177" s="30">
        <v>8.4000000000000005E-2</v>
      </c>
      <c r="AD177" s="31">
        <v>29988000</v>
      </c>
      <c r="AE177" s="32" t="s">
        <v>1030</v>
      </c>
      <c r="AG177" s="2"/>
    </row>
    <row r="178" spans="1:33" ht="29" x14ac:dyDescent="0.35">
      <c r="A178" s="43" t="s">
        <v>306</v>
      </c>
      <c r="B178" s="2" t="s">
        <v>4</v>
      </c>
      <c r="C178" s="26" t="s">
        <v>352</v>
      </c>
      <c r="D178" s="2" t="s">
        <v>300</v>
      </c>
      <c r="E178" s="66" t="s">
        <v>949</v>
      </c>
      <c r="F178" s="65">
        <v>45868</v>
      </c>
      <c r="G178" s="26" t="s">
        <v>150</v>
      </c>
      <c r="H178" s="67" t="s">
        <v>950</v>
      </c>
      <c r="I178" s="26" t="s">
        <v>1611</v>
      </c>
      <c r="J178" s="2" t="s">
        <v>951</v>
      </c>
      <c r="K178" s="88">
        <v>30000000</v>
      </c>
      <c r="L178" s="84">
        <v>0</v>
      </c>
      <c r="M178" s="85">
        <v>30000000</v>
      </c>
      <c r="N178" s="69" t="s">
        <v>302</v>
      </c>
      <c r="O178" s="3"/>
      <c r="P178" s="28">
        <f>+Tabla1513[[#This Row],[VALOR TOTAL DEL CONTRATO
(en pesos)
CON IVA
(inicial)]]+Tabla1513[[#This Row],[VALOR DE LAS ADICIONES
(en pesos)
CON IVA]]</f>
        <v>30000000</v>
      </c>
      <c r="Q178" s="37">
        <v>152</v>
      </c>
      <c r="R178" s="23" t="s">
        <v>302</v>
      </c>
      <c r="S178" s="4"/>
      <c r="T178" s="23" t="s">
        <v>302</v>
      </c>
      <c r="U178" s="23"/>
      <c r="V178" s="65">
        <v>45870</v>
      </c>
      <c r="W178" s="65">
        <v>46022</v>
      </c>
      <c r="X178" s="65">
        <v>46022</v>
      </c>
      <c r="Y178" s="64" t="s">
        <v>325</v>
      </c>
      <c r="Z178" s="71"/>
      <c r="AA178" s="70" t="s">
        <v>321</v>
      </c>
      <c r="AB178" s="61">
        <v>0.95</v>
      </c>
      <c r="AC178" s="61">
        <v>0.67</v>
      </c>
      <c r="AD178" s="62">
        <v>20000000</v>
      </c>
      <c r="AE178" s="32" t="s">
        <v>1157</v>
      </c>
      <c r="AG178" s="2"/>
    </row>
    <row r="179" spans="1:33" ht="29" x14ac:dyDescent="0.35">
      <c r="A179" s="43" t="s">
        <v>306</v>
      </c>
      <c r="B179" s="2" t="s">
        <v>11</v>
      </c>
      <c r="C179" s="26" t="s">
        <v>19</v>
      </c>
      <c r="D179" s="2" t="s">
        <v>976</v>
      </c>
      <c r="E179" s="66">
        <v>145773</v>
      </c>
      <c r="F179" s="65">
        <v>45784</v>
      </c>
      <c r="G179" s="26" t="s">
        <v>113</v>
      </c>
      <c r="H179" s="67" t="s">
        <v>977</v>
      </c>
      <c r="I179" s="26" t="s">
        <v>1612</v>
      </c>
      <c r="J179" s="2" t="s">
        <v>978</v>
      </c>
      <c r="K179" s="88">
        <v>14000000</v>
      </c>
      <c r="L179" s="84">
        <v>0</v>
      </c>
      <c r="M179" s="85">
        <v>14000000</v>
      </c>
      <c r="N179" s="69" t="s">
        <v>302</v>
      </c>
      <c r="O179" s="3"/>
      <c r="P179" s="28">
        <f>+Tabla1513[[#This Row],[VALOR TOTAL DEL CONTRATO
(en pesos)
CON IVA
(inicial)]]+Tabla1513[[#This Row],[VALOR DE LAS ADICIONES
(en pesos)
CON IVA]]</f>
        <v>14000000</v>
      </c>
      <c r="Q179" s="37">
        <v>328</v>
      </c>
      <c r="R179" s="23" t="s">
        <v>302</v>
      </c>
      <c r="S179" s="4"/>
      <c r="T179" s="23" t="s">
        <v>302</v>
      </c>
      <c r="U179" s="23"/>
      <c r="V179" s="65">
        <v>45784</v>
      </c>
      <c r="W179" s="65">
        <v>46112</v>
      </c>
      <c r="X179" s="65">
        <v>46112</v>
      </c>
      <c r="Y179" s="64" t="s">
        <v>303</v>
      </c>
      <c r="Z179" s="71"/>
      <c r="AA179" s="75"/>
      <c r="AB179" s="30">
        <v>0.73</v>
      </c>
      <c r="AC179" s="30">
        <v>0.66</v>
      </c>
      <c r="AD179" s="31">
        <v>9268411.3599999994</v>
      </c>
      <c r="AE179" s="32" t="s">
        <v>1201</v>
      </c>
      <c r="AG179" s="2"/>
    </row>
    <row r="180" spans="1:33" ht="29" x14ac:dyDescent="0.35">
      <c r="A180" s="43" t="s">
        <v>306</v>
      </c>
      <c r="B180" s="2" t="s">
        <v>333</v>
      </c>
      <c r="C180" s="26" t="s">
        <v>63</v>
      </c>
      <c r="D180" s="2" t="s">
        <v>300</v>
      </c>
      <c r="E180" s="66" t="s">
        <v>1058</v>
      </c>
      <c r="F180" s="65">
        <v>45868</v>
      </c>
      <c r="G180" s="26" t="s">
        <v>150</v>
      </c>
      <c r="H180" s="67" t="s">
        <v>1059</v>
      </c>
      <c r="I180" s="26" t="s">
        <v>1613</v>
      </c>
      <c r="J180" s="2" t="s">
        <v>1060</v>
      </c>
      <c r="K180" s="88">
        <v>100000000</v>
      </c>
      <c r="L180" s="84">
        <v>19000000</v>
      </c>
      <c r="M180" s="85">
        <v>119000000</v>
      </c>
      <c r="N180" s="69" t="s">
        <v>302</v>
      </c>
      <c r="O180" s="3"/>
      <c r="P180" s="28">
        <f>+Tabla1513[[#This Row],[VALOR TOTAL DEL CONTRATO
(en pesos)
CON IVA
(inicial)]]+Tabla1513[[#This Row],[VALOR DE LAS ADICIONES
(en pesos)
CON IVA]]</f>
        <v>119000000</v>
      </c>
      <c r="Q180" s="37">
        <v>364</v>
      </c>
      <c r="R180" s="23" t="s">
        <v>302</v>
      </c>
      <c r="S180" s="4"/>
      <c r="T180" s="23" t="s">
        <v>302</v>
      </c>
      <c r="U180" s="23"/>
      <c r="V180" s="65">
        <v>45890</v>
      </c>
      <c r="W180" s="65">
        <v>46254</v>
      </c>
      <c r="X180" s="65">
        <v>46254</v>
      </c>
      <c r="Y180" s="64" t="s">
        <v>303</v>
      </c>
      <c r="Z180" s="71"/>
      <c r="AA180" s="75"/>
      <c r="AB180" s="30">
        <v>0</v>
      </c>
      <c r="AC180" s="30">
        <v>0</v>
      </c>
      <c r="AD180" s="31">
        <v>0</v>
      </c>
      <c r="AE180" s="32" t="s">
        <v>1158</v>
      </c>
      <c r="AG180" s="2"/>
    </row>
    <row r="181" spans="1:33" ht="43.5" x14ac:dyDescent="0.35">
      <c r="A181" s="43" t="s">
        <v>306</v>
      </c>
      <c r="B181" s="2" t="s">
        <v>11</v>
      </c>
      <c r="C181" s="26" t="s">
        <v>19</v>
      </c>
      <c r="D181" s="2" t="s">
        <v>365</v>
      </c>
      <c r="E181" s="66" t="s">
        <v>974</v>
      </c>
      <c r="F181" s="65">
        <v>45862</v>
      </c>
      <c r="G181" s="26" t="s">
        <v>142</v>
      </c>
      <c r="H181" s="67" t="s">
        <v>975</v>
      </c>
      <c r="I181" s="26" t="s">
        <v>1478</v>
      </c>
      <c r="J181" s="2" t="s">
        <v>392</v>
      </c>
      <c r="K181" s="88">
        <v>4991400</v>
      </c>
      <c r="L181" s="84">
        <v>64296</v>
      </c>
      <c r="M181" s="85">
        <v>5055696</v>
      </c>
      <c r="N181" s="69" t="s">
        <v>302</v>
      </c>
      <c r="O181" s="3"/>
      <c r="P181" s="28">
        <f>+Tabla1513[[#This Row],[VALOR TOTAL DEL CONTRATO
(en pesos)
CON IVA
(inicial)]]+Tabla1513[[#This Row],[VALOR DE LAS ADICIONES
(en pesos)
CON IVA]]</f>
        <v>5055696</v>
      </c>
      <c r="Q181" s="37">
        <v>8</v>
      </c>
      <c r="R181" s="23" t="s">
        <v>301</v>
      </c>
      <c r="S181" s="4">
        <v>13</v>
      </c>
      <c r="T181" s="23" t="s">
        <v>302</v>
      </c>
      <c r="U181" s="23"/>
      <c r="V181" s="65">
        <v>45952</v>
      </c>
      <c r="W181" s="65">
        <v>45960</v>
      </c>
      <c r="X181" s="65">
        <v>45973</v>
      </c>
      <c r="Y181" s="64" t="s">
        <v>325</v>
      </c>
      <c r="Z181" s="71"/>
      <c r="AA181" s="70" t="s">
        <v>321</v>
      </c>
      <c r="AB181" s="30">
        <v>1</v>
      </c>
      <c r="AC181" s="30">
        <v>10</v>
      </c>
      <c r="AD181" s="31">
        <v>5055696</v>
      </c>
      <c r="AE181" s="32" t="s">
        <v>1031</v>
      </c>
      <c r="AG181" s="2"/>
    </row>
    <row r="182" spans="1:33" ht="43.5" x14ac:dyDescent="0.35">
      <c r="A182" s="43" t="s">
        <v>306</v>
      </c>
      <c r="B182" s="2" t="s">
        <v>322</v>
      </c>
      <c r="C182" s="26" t="s">
        <v>74</v>
      </c>
      <c r="D182" s="2" t="s">
        <v>300</v>
      </c>
      <c r="E182" s="66" t="s">
        <v>1102</v>
      </c>
      <c r="F182" s="65">
        <v>45880</v>
      </c>
      <c r="G182" s="26" t="s">
        <v>150</v>
      </c>
      <c r="H182" s="67" t="s">
        <v>1103</v>
      </c>
      <c r="I182" s="26" t="s">
        <v>1614</v>
      </c>
      <c r="J182" s="2" t="s">
        <v>368</v>
      </c>
      <c r="K182" s="88">
        <v>15000000</v>
      </c>
      <c r="L182" s="84">
        <v>2850000</v>
      </c>
      <c r="M182" s="85">
        <v>17850000</v>
      </c>
      <c r="N182" s="69" t="s">
        <v>302</v>
      </c>
      <c r="O182" s="3"/>
      <c r="P182" s="28">
        <f>+Tabla1513[[#This Row],[VALOR TOTAL DEL CONTRATO
(en pesos)
CON IVA
(inicial)]]+Tabla1513[[#This Row],[VALOR DE LAS ADICIONES
(en pesos)
CON IVA]]</f>
        <v>17850000</v>
      </c>
      <c r="Q182" s="37">
        <v>106</v>
      </c>
      <c r="R182" s="23" t="s">
        <v>302</v>
      </c>
      <c r="S182" s="4"/>
      <c r="T182" s="23" t="s">
        <v>302</v>
      </c>
      <c r="U182" s="23"/>
      <c r="V182" s="65">
        <v>45916</v>
      </c>
      <c r="W182" s="65">
        <v>46022</v>
      </c>
      <c r="X182" s="65">
        <v>46022</v>
      </c>
      <c r="Y182" s="64" t="s">
        <v>325</v>
      </c>
      <c r="Z182" s="71"/>
      <c r="AA182" s="70" t="s">
        <v>321</v>
      </c>
      <c r="AB182" s="30">
        <v>1</v>
      </c>
      <c r="AC182" s="30">
        <v>0.03</v>
      </c>
      <c r="AD182" s="31">
        <v>542600</v>
      </c>
      <c r="AE182" s="32" t="s">
        <v>1159</v>
      </c>
      <c r="AG182" s="2"/>
    </row>
    <row r="183" spans="1:33" ht="29" x14ac:dyDescent="0.35">
      <c r="A183" s="43" t="s">
        <v>306</v>
      </c>
      <c r="B183" s="2" t="s">
        <v>333</v>
      </c>
      <c r="C183" s="26" t="s">
        <v>63</v>
      </c>
      <c r="D183" s="2" t="s">
        <v>300</v>
      </c>
      <c r="E183" s="66" t="s">
        <v>1061</v>
      </c>
      <c r="F183" s="65">
        <v>45869</v>
      </c>
      <c r="G183" s="26" t="s">
        <v>150</v>
      </c>
      <c r="H183" s="67" t="s">
        <v>423</v>
      </c>
      <c r="I183" s="26" t="s">
        <v>1615</v>
      </c>
      <c r="J183" s="2" t="s">
        <v>1062</v>
      </c>
      <c r="K183" s="88">
        <v>150000000</v>
      </c>
      <c r="L183" s="84">
        <v>28500000</v>
      </c>
      <c r="M183" s="85">
        <v>178500000</v>
      </c>
      <c r="N183" s="69" t="s">
        <v>302</v>
      </c>
      <c r="O183" s="3"/>
      <c r="P183" s="28">
        <f>+Tabla1513[[#This Row],[VALOR TOTAL DEL CONTRATO
(en pesos)
CON IVA
(inicial)]]+Tabla1513[[#This Row],[VALOR DE LAS ADICIONES
(en pesos)
CON IVA]]</f>
        <v>178500000</v>
      </c>
      <c r="Q183" s="37">
        <v>364</v>
      </c>
      <c r="R183" s="23" t="s">
        <v>302</v>
      </c>
      <c r="S183" s="4"/>
      <c r="T183" s="23" t="s">
        <v>302</v>
      </c>
      <c r="U183" s="23"/>
      <c r="V183" s="65">
        <v>45889</v>
      </c>
      <c r="W183" s="65">
        <v>46253</v>
      </c>
      <c r="X183" s="65">
        <v>46253</v>
      </c>
      <c r="Y183" s="64" t="s">
        <v>303</v>
      </c>
      <c r="Z183" s="71"/>
      <c r="AA183" s="71"/>
      <c r="AB183" s="30">
        <v>1.4140999999999999</v>
      </c>
      <c r="AC183" s="30">
        <v>1.4140999999999999</v>
      </c>
      <c r="AD183" s="31">
        <v>252410865</v>
      </c>
      <c r="AE183" s="32" t="s">
        <v>1160</v>
      </c>
      <c r="AG183" s="2"/>
    </row>
    <row r="184" spans="1:33" ht="29" x14ac:dyDescent="0.35">
      <c r="A184" s="43" t="s">
        <v>306</v>
      </c>
      <c r="B184" s="2" t="s">
        <v>333</v>
      </c>
      <c r="C184" s="26" t="s">
        <v>63</v>
      </c>
      <c r="D184" s="2" t="s">
        <v>300</v>
      </c>
      <c r="E184" s="66" t="s">
        <v>1063</v>
      </c>
      <c r="F184" s="65">
        <v>45869</v>
      </c>
      <c r="G184" s="26" t="s">
        <v>150</v>
      </c>
      <c r="H184" s="67" t="s">
        <v>423</v>
      </c>
      <c r="I184" s="26" t="s">
        <v>1616</v>
      </c>
      <c r="J184" s="2" t="s">
        <v>1064</v>
      </c>
      <c r="K184" s="88">
        <v>150000000</v>
      </c>
      <c r="L184" s="84">
        <v>28500000</v>
      </c>
      <c r="M184" s="85">
        <v>178500000</v>
      </c>
      <c r="N184" s="69" t="s">
        <v>302</v>
      </c>
      <c r="O184" s="3"/>
      <c r="P184" s="28">
        <f>+Tabla1513[[#This Row],[VALOR TOTAL DEL CONTRATO
(en pesos)
CON IVA
(inicial)]]+Tabla1513[[#This Row],[VALOR DE LAS ADICIONES
(en pesos)
CON IVA]]</f>
        <v>178500000</v>
      </c>
      <c r="Q184" s="37">
        <v>364</v>
      </c>
      <c r="R184" s="23" t="s">
        <v>302</v>
      </c>
      <c r="S184" s="4"/>
      <c r="T184" s="23" t="s">
        <v>302</v>
      </c>
      <c r="U184" s="23"/>
      <c r="V184" s="65">
        <v>45870</v>
      </c>
      <c r="W184" s="65">
        <v>46234</v>
      </c>
      <c r="X184" s="65">
        <v>46234</v>
      </c>
      <c r="Y184" s="64" t="s">
        <v>303</v>
      </c>
      <c r="Z184" s="71"/>
      <c r="AA184" s="71"/>
      <c r="AB184" s="30">
        <v>0.20050000000000001</v>
      </c>
      <c r="AC184" s="30">
        <v>0</v>
      </c>
      <c r="AD184" s="31">
        <v>0</v>
      </c>
      <c r="AE184" s="32" t="s">
        <v>1161</v>
      </c>
      <c r="AG184" s="2"/>
    </row>
    <row r="185" spans="1:33" ht="29" x14ac:dyDescent="0.35">
      <c r="A185" s="43" t="s">
        <v>306</v>
      </c>
      <c r="B185" s="2" t="s">
        <v>333</v>
      </c>
      <c r="C185" s="26" t="s">
        <v>63</v>
      </c>
      <c r="D185" s="2" t="s">
        <v>300</v>
      </c>
      <c r="E185" s="66" t="s">
        <v>1034</v>
      </c>
      <c r="F185" s="65">
        <v>45869</v>
      </c>
      <c r="G185" s="26" t="s">
        <v>150</v>
      </c>
      <c r="H185" s="67" t="s">
        <v>1041</v>
      </c>
      <c r="I185" s="26" t="s">
        <v>1617</v>
      </c>
      <c r="J185" s="2" t="s">
        <v>1042</v>
      </c>
      <c r="K185" s="88">
        <v>35400000</v>
      </c>
      <c r="L185" s="84">
        <v>0</v>
      </c>
      <c r="M185" s="85">
        <v>35400000</v>
      </c>
      <c r="N185" s="69" t="s">
        <v>302</v>
      </c>
      <c r="O185" s="3"/>
      <c r="P185" s="28">
        <f>+Tabla1513[[#This Row],[VALOR TOTAL DEL CONTRATO
(en pesos)
CON IVA
(inicial)]]+Tabla1513[[#This Row],[VALOR DE LAS ADICIONES
(en pesos)
CON IVA]]</f>
        <v>35400000</v>
      </c>
      <c r="Q185" s="37">
        <v>141</v>
      </c>
      <c r="R185" s="23" t="s">
        <v>302</v>
      </c>
      <c r="S185" s="4"/>
      <c r="T185" s="23" t="s">
        <v>302</v>
      </c>
      <c r="U185" s="23"/>
      <c r="V185" s="65">
        <v>45881</v>
      </c>
      <c r="W185" s="65">
        <v>46022</v>
      </c>
      <c r="X185" s="65">
        <v>46022</v>
      </c>
      <c r="Y185" s="64" t="s">
        <v>325</v>
      </c>
      <c r="Z185" s="71"/>
      <c r="AA185" s="70" t="s">
        <v>321</v>
      </c>
      <c r="AB185" s="30">
        <v>1</v>
      </c>
      <c r="AC185" s="30">
        <v>0.7722</v>
      </c>
      <c r="AD185" s="31">
        <v>27336666</v>
      </c>
      <c r="AE185" s="32" t="s">
        <v>1162</v>
      </c>
      <c r="AG185" s="2"/>
    </row>
    <row r="186" spans="1:33" ht="43.5" x14ac:dyDescent="0.35">
      <c r="A186" s="43" t="s">
        <v>306</v>
      </c>
      <c r="B186" s="2" t="s">
        <v>11</v>
      </c>
      <c r="C186" s="26" t="s">
        <v>20</v>
      </c>
      <c r="D186" s="2" t="s">
        <v>300</v>
      </c>
      <c r="E186" s="66" t="s">
        <v>1065</v>
      </c>
      <c r="F186" s="65">
        <v>45874</v>
      </c>
      <c r="G186" s="26" t="s">
        <v>150</v>
      </c>
      <c r="H186" s="67" t="s">
        <v>1066</v>
      </c>
      <c r="I186" s="26" t="s">
        <v>1473</v>
      </c>
      <c r="J186" s="2" t="s">
        <v>366</v>
      </c>
      <c r="K186" s="88">
        <v>346000000</v>
      </c>
      <c r="L186" s="84">
        <v>0</v>
      </c>
      <c r="M186" s="85">
        <v>346000000</v>
      </c>
      <c r="N186" s="69" t="s">
        <v>302</v>
      </c>
      <c r="O186" s="3"/>
      <c r="P186" s="28">
        <f>+Tabla1513[[#This Row],[VALOR TOTAL DEL CONTRATO
(en pesos)
CON IVA
(inicial)]]+Tabla1513[[#This Row],[VALOR DE LAS ADICIONES
(en pesos)
CON IVA]]</f>
        <v>346000000</v>
      </c>
      <c r="Q186" s="37">
        <v>855</v>
      </c>
      <c r="R186" s="23" t="s">
        <v>302</v>
      </c>
      <c r="S186" s="4"/>
      <c r="T186" s="23" t="s">
        <v>302</v>
      </c>
      <c r="U186" s="23"/>
      <c r="V186" s="65">
        <v>45897</v>
      </c>
      <c r="W186" s="65">
        <v>46752</v>
      </c>
      <c r="X186" s="65">
        <v>46752</v>
      </c>
      <c r="Y186" s="64" t="s">
        <v>303</v>
      </c>
      <c r="Z186" s="71"/>
      <c r="AA186" s="75"/>
      <c r="AB186" s="30">
        <v>0.11</v>
      </c>
      <c r="AC186" s="30">
        <v>0.09</v>
      </c>
      <c r="AD186" s="31">
        <v>32130000</v>
      </c>
      <c r="AE186" s="32" t="s">
        <v>1181</v>
      </c>
      <c r="AG186" s="2"/>
    </row>
    <row r="187" spans="1:33" ht="43.5" x14ac:dyDescent="0.35">
      <c r="A187" s="43" t="s">
        <v>306</v>
      </c>
      <c r="B187" s="2" t="s">
        <v>333</v>
      </c>
      <c r="C187" s="26" t="s">
        <v>63</v>
      </c>
      <c r="D187" s="2" t="s">
        <v>300</v>
      </c>
      <c r="E187" s="66" t="s">
        <v>1067</v>
      </c>
      <c r="F187" s="65">
        <v>45874</v>
      </c>
      <c r="G187" s="26" t="s">
        <v>150</v>
      </c>
      <c r="H187" s="67" t="s">
        <v>423</v>
      </c>
      <c r="I187" s="26" t="s">
        <v>1618</v>
      </c>
      <c r="J187" s="2" t="s">
        <v>1068</v>
      </c>
      <c r="K187" s="88">
        <v>150000000</v>
      </c>
      <c r="L187" s="84">
        <v>28500000</v>
      </c>
      <c r="M187" s="85">
        <v>178500000</v>
      </c>
      <c r="N187" s="69" t="s">
        <v>302</v>
      </c>
      <c r="O187" s="3"/>
      <c r="P187" s="28">
        <f>+Tabla1513[[#This Row],[VALOR TOTAL DEL CONTRATO
(en pesos)
CON IVA
(inicial)]]+Tabla1513[[#This Row],[VALOR DE LAS ADICIONES
(en pesos)
CON IVA]]</f>
        <v>178500000</v>
      </c>
      <c r="Q187" s="37">
        <v>364</v>
      </c>
      <c r="R187" s="23" t="s">
        <v>302</v>
      </c>
      <c r="S187" s="4"/>
      <c r="T187" s="23" t="s">
        <v>302</v>
      </c>
      <c r="U187" s="23"/>
      <c r="V187" s="65">
        <v>45883</v>
      </c>
      <c r="W187" s="65">
        <v>46247</v>
      </c>
      <c r="X187" s="65">
        <v>46247</v>
      </c>
      <c r="Y187" s="64" t="s">
        <v>303</v>
      </c>
      <c r="Z187" s="71"/>
      <c r="AA187" s="75"/>
      <c r="AB187" s="30">
        <v>0.1024</v>
      </c>
      <c r="AC187" s="30">
        <v>0.1024</v>
      </c>
      <c r="AD187" s="31">
        <v>18278400</v>
      </c>
      <c r="AE187" s="32" t="s">
        <v>1163</v>
      </c>
      <c r="AG187" s="2"/>
    </row>
    <row r="188" spans="1:33" ht="43.5" x14ac:dyDescent="0.35">
      <c r="A188" s="43" t="s">
        <v>306</v>
      </c>
      <c r="B188" s="2" t="s">
        <v>329</v>
      </c>
      <c r="C188" s="26" t="s">
        <v>406</v>
      </c>
      <c r="D188" s="2" t="s">
        <v>300</v>
      </c>
      <c r="E188" s="74" t="s">
        <v>1037</v>
      </c>
      <c r="F188" s="65">
        <v>45874</v>
      </c>
      <c r="G188" s="26" t="s">
        <v>150</v>
      </c>
      <c r="H188" s="67" t="s">
        <v>1045</v>
      </c>
      <c r="I188" s="26" t="s">
        <v>1619</v>
      </c>
      <c r="J188" s="2" t="s">
        <v>1047</v>
      </c>
      <c r="K188" s="88">
        <v>32897370</v>
      </c>
      <c r="L188" s="84">
        <v>0</v>
      </c>
      <c r="M188" s="85">
        <v>32897370</v>
      </c>
      <c r="N188" s="69" t="s">
        <v>302</v>
      </c>
      <c r="O188" s="3"/>
      <c r="P188" s="28">
        <f>+Tabla1513[[#This Row],[VALOR TOTAL DEL CONTRATO
(en pesos)
CON IVA
(inicial)]]+Tabla1513[[#This Row],[VALOR DE LAS ADICIONES
(en pesos)
CON IVA]]</f>
        <v>32897370</v>
      </c>
      <c r="Q188" s="37">
        <v>121</v>
      </c>
      <c r="R188" s="23" t="s">
        <v>302</v>
      </c>
      <c r="S188" s="4"/>
      <c r="T188" s="23" t="s">
        <v>302</v>
      </c>
      <c r="U188" s="23"/>
      <c r="V188" s="65">
        <v>45901</v>
      </c>
      <c r="W188" s="65">
        <v>46022</v>
      </c>
      <c r="X188" s="65">
        <v>46022</v>
      </c>
      <c r="Y188" s="64" t="s">
        <v>320</v>
      </c>
      <c r="Z188" s="71"/>
      <c r="AA188" s="75" t="s">
        <v>321</v>
      </c>
      <c r="AB188" s="30">
        <v>0.74590000000000001</v>
      </c>
      <c r="AC188" s="30">
        <v>0.5</v>
      </c>
      <c r="AD188" s="31">
        <v>16448685</v>
      </c>
      <c r="AE188" s="32" t="s">
        <v>1182</v>
      </c>
      <c r="AG188" s="2"/>
    </row>
    <row r="189" spans="1:33" ht="43.5" x14ac:dyDescent="0.35">
      <c r="A189" s="43" t="s">
        <v>306</v>
      </c>
      <c r="B189" s="2" t="s">
        <v>329</v>
      </c>
      <c r="C189" s="26" t="s">
        <v>406</v>
      </c>
      <c r="D189" s="2" t="s">
        <v>300</v>
      </c>
      <c r="E189" s="74" t="s">
        <v>1052</v>
      </c>
      <c r="F189" s="65">
        <v>45875</v>
      </c>
      <c r="G189" s="26" t="s">
        <v>150</v>
      </c>
      <c r="H189" s="67" t="s">
        <v>1053</v>
      </c>
      <c r="I189" s="26" t="s">
        <v>1620</v>
      </c>
      <c r="J189" s="2" t="s">
        <v>1054</v>
      </c>
      <c r="K189" s="88">
        <v>32897370</v>
      </c>
      <c r="L189" s="84">
        <v>0</v>
      </c>
      <c r="M189" s="85">
        <v>32897370</v>
      </c>
      <c r="N189" s="69" t="s">
        <v>302</v>
      </c>
      <c r="O189" s="3"/>
      <c r="P189" s="28">
        <f>+Tabla1513[[#This Row],[VALOR TOTAL DEL CONTRATO
(en pesos)
CON IVA
(inicial)]]+Tabla1513[[#This Row],[VALOR DE LAS ADICIONES
(en pesos)
CON IVA]]</f>
        <v>32897370</v>
      </c>
      <c r="Q189" s="37">
        <v>121</v>
      </c>
      <c r="R189" s="23" t="s">
        <v>302</v>
      </c>
      <c r="S189" s="4"/>
      <c r="T189" s="23" t="s">
        <v>302</v>
      </c>
      <c r="U189" s="23"/>
      <c r="V189" s="65">
        <v>45901</v>
      </c>
      <c r="W189" s="65">
        <v>46022</v>
      </c>
      <c r="X189" s="65">
        <v>46022</v>
      </c>
      <c r="Y189" s="64" t="s">
        <v>320</v>
      </c>
      <c r="Z189" s="71"/>
      <c r="AA189" s="75" t="s">
        <v>321</v>
      </c>
      <c r="AB189" s="30">
        <v>0.74590000000000001</v>
      </c>
      <c r="AC189" s="30">
        <v>0.5</v>
      </c>
      <c r="AD189" s="31">
        <v>16448685</v>
      </c>
      <c r="AE189" s="32" t="s">
        <v>1164</v>
      </c>
      <c r="AG189" s="2"/>
    </row>
    <row r="190" spans="1:33" ht="29" x14ac:dyDescent="0.35">
      <c r="A190" s="43" t="s">
        <v>306</v>
      </c>
      <c r="B190" s="2" t="s">
        <v>4</v>
      </c>
      <c r="C190" s="26" t="s">
        <v>352</v>
      </c>
      <c r="D190" s="2" t="s">
        <v>300</v>
      </c>
      <c r="E190" s="66" t="s">
        <v>1035</v>
      </c>
      <c r="F190" s="65">
        <v>45875</v>
      </c>
      <c r="G190" s="26" t="s">
        <v>150</v>
      </c>
      <c r="H190" s="67" t="s">
        <v>1043</v>
      </c>
      <c r="I190" s="26" t="s">
        <v>1621</v>
      </c>
      <c r="J190" s="2" t="s">
        <v>1044</v>
      </c>
      <c r="K190" s="88">
        <v>30000000</v>
      </c>
      <c r="L190" s="84">
        <v>0</v>
      </c>
      <c r="M190" s="85">
        <v>30000000</v>
      </c>
      <c r="N190" s="69" t="s">
        <v>302</v>
      </c>
      <c r="O190" s="3"/>
      <c r="P190" s="28">
        <f>+Tabla1513[[#This Row],[VALOR TOTAL DEL CONTRATO
(en pesos)
CON IVA
(inicial)]]+Tabla1513[[#This Row],[VALOR DE LAS ADICIONES
(en pesos)
CON IVA]]</f>
        <v>30000000</v>
      </c>
      <c r="Q190" s="37">
        <v>145</v>
      </c>
      <c r="R190" s="23" t="s">
        <v>302</v>
      </c>
      <c r="S190" s="4"/>
      <c r="T190" s="23" t="s">
        <v>302</v>
      </c>
      <c r="U190" s="23"/>
      <c r="V190" s="65">
        <v>45877</v>
      </c>
      <c r="W190" s="65">
        <v>46022</v>
      </c>
      <c r="X190" s="65">
        <v>46022</v>
      </c>
      <c r="Y190" s="64" t="s">
        <v>325</v>
      </c>
      <c r="Z190" s="71"/>
      <c r="AA190" s="75" t="s">
        <v>321</v>
      </c>
      <c r="AB190" s="61">
        <v>0.94</v>
      </c>
      <c r="AC190" s="61">
        <v>0.62</v>
      </c>
      <c r="AD190" s="62">
        <v>18666666</v>
      </c>
      <c r="AE190" s="32" t="s">
        <v>1183</v>
      </c>
      <c r="AG190" s="2"/>
    </row>
    <row r="191" spans="1:33" ht="29" x14ac:dyDescent="0.35">
      <c r="A191" s="43" t="s">
        <v>306</v>
      </c>
      <c r="B191" s="2" t="s">
        <v>4</v>
      </c>
      <c r="C191" s="26" t="s">
        <v>7</v>
      </c>
      <c r="D191" s="2" t="s">
        <v>300</v>
      </c>
      <c r="E191" s="66" t="s">
        <v>1069</v>
      </c>
      <c r="F191" s="65">
        <v>45875</v>
      </c>
      <c r="G191" s="26" t="s">
        <v>150</v>
      </c>
      <c r="H191" s="67" t="s">
        <v>1140</v>
      </c>
      <c r="I191" s="26" t="s">
        <v>1622</v>
      </c>
      <c r="J191" s="2" t="s">
        <v>1071</v>
      </c>
      <c r="K191" s="88">
        <v>10000000</v>
      </c>
      <c r="L191" s="84">
        <v>1900000</v>
      </c>
      <c r="M191" s="85">
        <v>11900000</v>
      </c>
      <c r="N191" s="69" t="s">
        <v>302</v>
      </c>
      <c r="O191" s="3"/>
      <c r="P191" s="28">
        <f>+Tabla1513[[#This Row],[VALOR TOTAL DEL CONTRATO
(en pesos)
CON IVA
(inicial)]]+Tabla1513[[#This Row],[VALOR DE LAS ADICIONES
(en pesos)
CON IVA]]</f>
        <v>11900000</v>
      </c>
      <c r="Q191" s="37">
        <v>60</v>
      </c>
      <c r="R191" s="23" t="s">
        <v>302</v>
      </c>
      <c r="S191" s="4"/>
      <c r="T191" s="23" t="s">
        <v>302</v>
      </c>
      <c r="U191" s="23"/>
      <c r="V191" s="65">
        <v>45875</v>
      </c>
      <c r="W191" s="65">
        <v>45935</v>
      </c>
      <c r="X191" s="65">
        <v>45935</v>
      </c>
      <c r="Y191" s="64" t="s">
        <v>320</v>
      </c>
      <c r="Z191" s="71"/>
      <c r="AA191" s="70" t="s">
        <v>321</v>
      </c>
      <c r="AB191" s="30">
        <v>1</v>
      </c>
      <c r="AC191" s="30">
        <v>1</v>
      </c>
      <c r="AD191" s="31">
        <v>11900000</v>
      </c>
      <c r="AE191" s="32" t="s">
        <v>1165</v>
      </c>
      <c r="AG191" s="2"/>
    </row>
    <row r="192" spans="1:33" ht="29" x14ac:dyDescent="0.35">
      <c r="A192" s="43" t="s">
        <v>306</v>
      </c>
      <c r="B192" s="2" t="s">
        <v>333</v>
      </c>
      <c r="C192" s="26" t="s">
        <v>63</v>
      </c>
      <c r="D192" s="2" t="s">
        <v>300</v>
      </c>
      <c r="E192" s="66" t="s">
        <v>1070</v>
      </c>
      <c r="F192" s="65">
        <v>45882</v>
      </c>
      <c r="G192" s="26" t="s">
        <v>150</v>
      </c>
      <c r="H192" s="67" t="s">
        <v>1072</v>
      </c>
      <c r="I192" s="26" t="s">
        <v>1623</v>
      </c>
      <c r="J192" s="2" t="s">
        <v>1073</v>
      </c>
      <c r="K192" s="88">
        <v>100000000</v>
      </c>
      <c r="L192" s="84">
        <v>19000000</v>
      </c>
      <c r="M192" s="85">
        <v>119000000</v>
      </c>
      <c r="N192" s="69" t="s">
        <v>302</v>
      </c>
      <c r="O192" s="3"/>
      <c r="P192" s="28">
        <f>+Tabla1513[[#This Row],[VALOR TOTAL DEL CONTRATO
(en pesos)
CON IVA
(inicial)]]+Tabla1513[[#This Row],[VALOR DE LAS ADICIONES
(en pesos)
CON IVA]]</f>
        <v>119000000</v>
      </c>
      <c r="Q192" s="37">
        <v>364</v>
      </c>
      <c r="R192" s="23" t="s">
        <v>302</v>
      </c>
      <c r="S192" s="4"/>
      <c r="T192" s="23" t="s">
        <v>302</v>
      </c>
      <c r="U192" s="23"/>
      <c r="V192" s="65">
        <v>45898</v>
      </c>
      <c r="W192" s="65">
        <v>46262</v>
      </c>
      <c r="X192" s="65">
        <v>46262</v>
      </c>
      <c r="Y192" s="64" t="s">
        <v>303</v>
      </c>
      <c r="Z192" s="71"/>
      <c r="AA192" s="75"/>
      <c r="AB192" s="30">
        <v>0</v>
      </c>
      <c r="AC192" s="30">
        <v>0</v>
      </c>
      <c r="AD192" s="31">
        <v>0</v>
      </c>
      <c r="AE192" s="32" t="s">
        <v>1166</v>
      </c>
      <c r="AG192" s="2"/>
    </row>
    <row r="193" spans="1:33" ht="43.5" x14ac:dyDescent="0.35">
      <c r="A193" s="43" t="s">
        <v>306</v>
      </c>
      <c r="B193" s="2" t="s">
        <v>329</v>
      </c>
      <c r="C193" s="26" t="s">
        <v>406</v>
      </c>
      <c r="D193" s="2" t="s">
        <v>300</v>
      </c>
      <c r="E193" s="66" t="s">
        <v>1104</v>
      </c>
      <c r="F193" s="65">
        <v>45882</v>
      </c>
      <c r="G193" s="26" t="s">
        <v>150</v>
      </c>
      <c r="H193" s="67" t="s">
        <v>1105</v>
      </c>
      <c r="I193" s="26" t="s">
        <v>1624</v>
      </c>
      <c r="J193" s="2" t="s">
        <v>1106</v>
      </c>
      <c r="K193" s="88">
        <v>16247274</v>
      </c>
      <c r="L193" s="84">
        <v>0</v>
      </c>
      <c r="M193" s="85">
        <v>16247274</v>
      </c>
      <c r="N193" s="69" t="s">
        <v>302</v>
      </c>
      <c r="O193" s="3"/>
      <c r="P193" s="28">
        <f>+Tabla1513[[#This Row],[VALOR TOTAL DEL CONTRATO
(en pesos)
CON IVA
(inicial)]]+Tabla1513[[#This Row],[VALOR DE LAS ADICIONES
(en pesos)
CON IVA]]</f>
        <v>16247274</v>
      </c>
      <c r="Q193" s="37">
        <v>15</v>
      </c>
      <c r="R193" s="23" t="s">
        <v>302</v>
      </c>
      <c r="S193" s="4"/>
      <c r="T193" s="23" t="s">
        <v>302</v>
      </c>
      <c r="U193" s="23"/>
      <c r="V193" s="65">
        <v>45882</v>
      </c>
      <c r="W193" s="65">
        <v>45897</v>
      </c>
      <c r="X193" s="65">
        <v>45897</v>
      </c>
      <c r="Y193" s="64" t="s">
        <v>323</v>
      </c>
      <c r="Z193" s="71">
        <v>45897</v>
      </c>
      <c r="AA193" s="70" t="s">
        <v>364</v>
      </c>
      <c r="AB193" s="30">
        <v>0</v>
      </c>
      <c r="AC193" s="30">
        <v>0</v>
      </c>
      <c r="AD193" s="31">
        <v>0</v>
      </c>
      <c r="AE193" s="32" t="s">
        <v>1184</v>
      </c>
      <c r="AG193" s="2"/>
    </row>
    <row r="194" spans="1:33" ht="29" x14ac:dyDescent="0.35">
      <c r="A194" s="43" t="s">
        <v>306</v>
      </c>
      <c r="B194" s="2" t="s">
        <v>333</v>
      </c>
      <c r="C194" s="26" t="s">
        <v>63</v>
      </c>
      <c r="D194" s="2" t="s">
        <v>300</v>
      </c>
      <c r="E194" s="66" t="s">
        <v>1074</v>
      </c>
      <c r="F194" s="65">
        <v>45882</v>
      </c>
      <c r="G194" s="26" t="s">
        <v>150</v>
      </c>
      <c r="H194" s="67" t="s">
        <v>1075</v>
      </c>
      <c r="I194" s="26" t="s">
        <v>1625</v>
      </c>
      <c r="J194" s="2" t="s">
        <v>402</v>
      </c>
      <c r="K194" s="88">
        <v>400000000</v>
      </c>
      <c r="L194" s="84">
        <v>76000000</v>
      </c>
      <c r="M194" s="85">
        <v>476000000</v>
      </c>
      <c r="N194" s="69" t="s">
        <v>302</v>
      </c>
      <c r="O194" s="3"/>
      <c r="P194" s="28">
        <f>+Tabla1513[[#This Row],[VALOR TOTAL DEL CONTRATO
(en pesos)
CON IVA
(inicial)]]+Tabla1513[[#This Row],[VALOR DE LAS ADICIONES
(en pesos)
CON IVA]]</f>
        <v>476000000</v>
      </c>
      <c r="Q194" s="37">
        <v>364</v>
      </c>
      <c r="R194" s="23" t="s">
        <v>302</v>
      </c>
      <c r="S194" s="4"/>
      <c r="T194" s="23" t="s">
        <v>302</v>
      </c>
      <c r="U194" s="23"/>
      <c r="V194" s="65">
        <v>45916</v>
      </c>
      <c r="W194" s="65">
        <v>46280</v>
      </c>
      <c r="X194" s="65">
        <v>46280</v>
      </c>
      <c r="Y194" s="64" t="s">
        <v>303</v>
      </c>
      <c r="Z194" s="71"/>
      <c r="AA194" s="75"/>
      <c r="AB194" s="30">
        <v>0.18060000000000001</v>
      </c>
      <c r="AC194" s="30">
        <v>0.18060000000000001</v>
      </c>
      <c r="AD194" s="31">
        <v>85949282</v>
      </c>
      <c r="AE194" s="32" t="s">
        <v>1167</v>
      </c>
      <c r="AG194" s="2"/>
    </row>
    <row r="195" spans="1:33" ht="43.5" x14ac:dyDescent="0.35">
      <c r="A195" s="43" t="s">
        <v>306</v>
      </c>
      <c r="B195" s="2" t="s">
        <v>329</v>
      </c>
      <c r="C195" s="26" t="s">
        <v>406</v>
      </c>
      <c r="D195" s="2" t="s">
        <v>300</v>
      </c>
      <c r="E195" s="66" t="s">
        <v>1039</v>
      </c>
      <c r="F195" s="65">
        <v>45882</v>
      </c>
      <c r="G195" s="26" t="s">
        <v>150</v>
      </c>
      <c r="H195" s="67" t="s">
        <v>1045</v>
      </c>
      <c r="I195" s="26" t="s">
        <v>1626</v>
      </c>
      <c r="J195" s="2" t="s">
        <v>1049</v>
      </c>
      <c r="K195" s="88">
        <v>32897370</v>
      </c>
      <c r="L195" s="84">
        <v>0</v>
      </c>
      <c r="M195" s="85">
        <v>32897370</v>
      </c>
      <c r="N195" s="69" t="s">
        <v>302</v>
      </c>
      <c r="O195" s="3"/>
      <c r="P195" s="28">
        <f>+Tabla1513[[#This Row],[VALOR TOTAL DEL CONTRATO
(en pesos)
CON IVA
(inicial)]]+Tabla1513[[#This Row],[VALOR DE LAS ADICIONES
(en pesos)
CON IVA]]</f>
        <v>32897370</v>
      </c>
      <c r="Q195" s="37">
        <v>21</v>
      </c>
      <c r="R195" s="23" t="s">
        <v>302</v>
      </c>
      <c r="S195" s="4"/>
      <c r="T195" s="23" t="s">
        <v>302</v>
      </c>
      <c r="U195" s="23"/>
      <c r="V195" s="65">
        <v>45901</v>
      </c>
      <c r="W195" s="65">
        <v>45922</v>
      </c>
      <c r="X195" s="65">
        <v>45922</v>
      </c>
      <c r="Y195" s="64" t="s">
        <v>323</v>
      </c>
      <c r="Z195" s="71">
        <v>45940</v>
      </c>
      <c r="AA195" s="75" t="s">
        <v>364</v>
      </c>
      <c r="AB195" s="30">
        <v>0.12</v>
      </c>
      <c r="AC195" s="55">
        <v>0.12</v>
      </c>
      <c r="AD195" s="31">
        <v>4020790</v>
      </c>
      <c r="AE195" s="32" t="s">
        <v>1168</v>
      </c>
      <c r="AG195" s="2"/>
    </row>
    <row r="196" spans="1:33" ht="43.5" x14ac:dyDescent="0.35">
      <c r="A196" s="43" t="s">
        <v>306</v>
      </c>
      <c r="B196" s="2" t="s">
        <v>329</v>
      </c>
      <c r="C196" s="26" t="s">
        <v>406</v>
      </c>
      <c r="D196" s="2" t="s">
        <v>300</v>
      </c>
      <c r="E196" s="74" t="s">
        <v>1038</v>
      </c>
      <c r="F196" s="65">
        <v>45883</v>
      </c>
      <c r="G196" s="26" t="s">
        <v>150</v>
      </c>
      <c r="H196" s="67" t="s">
        <v>1045</v>
      </c>
      <c r="I196" s="26" t="s">
        <v>1627</v>
      </c>
      <c r="J196" s="2" t="s">
        <v>1048</v>
      </c>
      <c r="K196" s="88">
        <v>32897370</v>
      </c>
      <c r="L196" s="84">
        <v>0</v>
      </c>
      <c r="M196" s="85">
        <v>32897370</v>
      </c>
      <c r="N196" s="69" t="s">
        <v>302</v>
      </c>
      <c r="O196" s="3"/>
      <c r="P196" s="28">
        <f>+Tabla1513[[#This Row],[VALOR TOTAL DEL CONTRATO
(en pesos)
CON IVA
(inicial)]]+Tabla1513[[#This Row],[VALOR DE LAS ADICIONES
(en pesos)
CON IVA]]</f>
        <v>32897370</v>
      </c>
      <c r="Q196" s="37">
        <v>121</v>
      </c>
      <c r="R196" s="23" t="s">
        <v>302</v>
      </c>
      <c r="S196" s="4"/>
      <c r="T196" s="23" t="s">
        <v>302</v>
      </c>
      <c r="U196" s="23"/>
      <c r="V196" s="65">
        <v>45901</v>
      </c>
      <c r="W196" s="65">
        <v>46022</v>
      </c>
      <c r="X196" s="65">
        <v>46022</v>
      </c>
      <c r="Y196" s="64" t="s">
        <v>320</v>
      </c>
      <c r="Z196" s="71"/>
      <c r="AA196" s="75" t="s">
        <v>321</v>
      </c>
      <c r="AB196" s="30">
        <v>0.74590000000000001</v>
      </c>
      <c r="AC196" s="30">
        <v>0.5</v>
      </c>
      <c r="AD196" s="31">
        <v>16448685</v>
      </c>
      <c r="AE196" s="32" t="s">
        <v>1169</v>
      </c>
      <c r="AG196" s="2"/>
    </row>
    <row r="197" spans="1:33" ht="43.5" x14ac:dyDescent="0.35">
      <c r="A197" s="43" t="s">
        <v>306</v>
      </c>
      <c r="B197" s="2" t="s">
        <v>329</v>
      </c>
      <c r="C197" s="26" t="s">
        <v>406</v>
      </c>
      <c r="D197" s="2" t="s">
        <v>300</v>
      </c>
      <c r="E197" s="74" t="s">
        <v>1036</v>
      </c>
      <c r="F197" s="65">
        <v>45883</v>
      </c>
      <c r="G197" s="26" t="s">
        <v>150</v>
      </c>
      <c r="H197" s="67" t="s">
        <v>1045</v>
      </c>
      <c r="I197" s="26" t="s">
        <v>1628</v>
      </c>
      <c r="J197" s="2" t="s">
        <v>1046</v>
      </c>
      <c r="K197" s="88">
        <v>32897370</v>
      </c>
      <c r="L197" s="84">
        <v>0</v>
      </c>
      <c r="M197" s="85">
        <v>32897370</v>
      </c>
      <c r="N197" s="69" t="s">
        <v>302</v>
      </c>
      <c r="O197" s="3"/>
      <c r="P197" s="28">
        <f>+Tabla1513[[#This Row],[VALOR TOTAL DEL CONTRATO
(en pesos)
CON IVA
(inicial)]]+Tabla1513[[#This Row],[VALOR DE LAS ADICIONES
(en pesos)
CON IVA]]</f>
        <v>32897370</v>
      </c>
      <c r="Q197" s="37">
        <v>121</v>
      </c>
      <c r="R197" s="23" t="s">
        <v>302</v>
      </c>
      <c r="S197" s="4"/>
      <c r="T197" s="23" t="s">
        <v>302</v>
      </c>
      <c r="U197" s="23"/>
      <c r="V197" s="65">
        <v>45901</v>
      </c>
      <c r="W197" s="65">
        <v>46022</v>
      </c>
      <c r="X197" s="65">
        <v>46022</v>
      </c>
      <c r="Y197" s="64" t="s">
        <v>320</v>
      </c>
      <c r="Z197" s="71"/>
      <c r="AA197" s="75" t="s">
        <v>321</v>
      </c>
      <c r="AB197" s="30">
        <v>0.74590000000000001</v>
      </c>
      <c r="AC197" s="30">
        <v>0.5</v>
      </c>
      <c r="AD197" s="31">
        <v>16448685</v>
      </c>
      <c r="AE197" s="32" t="s">
        <v>1170</v>
      </c>
      <c r="AG197" s="2"/>
    </row>
    <row r="198" spans="1:33" ht="43.5" x14ac:dyDescent="0.35">
      <c r="A198" s="43" t="s">
        <v>306</v>
      </c>
      <c r="B198" s="2" t="s">
        <v>31</v>
      </c>
      <c r="C198" s="26" t="s">
        <v>336</v>
      </c>
      <c r="D198" s="2" t="s">
        <v>300</v>
      </c>
      <c r="E198" s="74" t="s">
        <v>1076</v>
      </c>
      <c r="F198" s="65">
        <v>45884</v>
      </c>
      <c r="G198" s="26" t="s">
        <v>150</v>
      </c>
      <c r="H198" s="67" t="s">
        <v>1077</v>
      </c>
      <c r="I198" s="26" t="s">
        <v>1629</v>
      </c>
      <c r="J198" s="2" t="s">
        <v>429</v>
      </c>
      <c r="K198" s="88">
        <v>55624000</v>
      </c>
      <c r="L198" s="84">
        <v>41800</v>
      </c>
      <c r="M198" s="85">
        <v>55665800</v>
      </c>
      <c r="N198" s="69" t="s">
        <v>302</v>
      </c>
      <c r="O198" s="3"/>
      <c r="P198" s="28">
        <f>+Tabla1513[[#This Row],[VALOR TOTAL DEL CONTRATO
(en pesos)
CON IVA
(inicial)]]+Tabla1513[[#This Row],[VALOR DE LAS ADICIONES
(en pesos)
CON IVA]]</f>
        <v>55665800</v>
      </c>
      <c r="Q198" s="37">
        <v>118</v>
      </c>
      <c r="R198" s="23" t="s">
        <v>302</v>
      </c>
      <c r="S198" s="4"/>
      <c r="T198" s="23" t="s">
        <v>302</v>
      </c>
      <c r="U198" s="23"/>
      <c r="V198" s="65">
        <v>45904</v>
      </c>
      <c r="W198" s="65">
        <v>46022</v>
      </c>
      <c r="X198" s="65">
        <v>46022</v>
      </c>
      <c r="Y198" s="64" t="s">
        <v>325</v>
      </c>
      <c r="Z198" s="71"/>
      <c r="AA198" s="75" t="s">
        <v>321</v>
      </c>
      <c r="AB198" s="30">
        <v>1</v>
      </c>
      <c r="AC198" s="30">
        <v>1</v>
      </c>
      <c r="AD198" s="31">
        <v>55665800</v>
      </c>
      <c r="AE198" s="32" t="s">
        <v>1171</v>
      </c>
      <c r="AG198" s="2"/>
    </row>
    <row r="199" spans="1:33" ht="29" x14ac:dyDescent="0.35">
      <c r="A199" s="43" t="s">
        <v>306</v>
      </c>
      <c r="B199" s="2" t="s">
        <v>4</v>
      </c>
      <c r="C199" s="26" t="s">
        <v>352</v>
      </c>
      <c r="D199" s="2" t="s">
        <v>312</v>
      </c>
      <c r="E199" s="66" t="s">
        <v>1078</v>
      </c>
      <c r="F199" s="65">
        <v>45884</v>
      </c>
      <c r="G199" s="26" t="s">
        <v>119</v>
      </c>
      <c r="H199" s="67" t="s">
        <v>1080</v>
      </c>
      <c r="I199" s="26" t="s">
        <v>1630</v>
      </c>
      <c r="J199" s="2" t="s">
        <v>1081</v>
      </c>
      <c r="K199" s="88">
        <v>90060000</v>
      </c>
      <c r="L199" s="84">
        <v>17111400</v>
      </c>
      <c r="M199" s="85">
        <v>107171400</v>
      </c>
      <c r="N199" s="69" t="s">
        <v>302</v>
      </c>
      <c r="O199" s="3"/>
      <c r="P199" s="28">
        <f>+Tabla1513[[#This Row],[VALOR TOTAL DEL CONTRATO
(en pesos)
CON IVA
(inicial)]]+Tabla1513[[#This Row],[VALOR DE LAS ADICIONES
(en pesos)
CON IVA]]</f>
        <v>107171400</v>
      </c>
      <c r="Q199" s="37">
        <v>124</v>
      </c>
      <c r="R199" s="23" t="s">
        <v>302</v>
      </c>
      <c r="S199" s="4"/>
      <c r="T199" s="23" t="s">
        <v>302</v>
      </c>
      <c r="U199" s="23"/>
      <c r="V199" s="65">
        <v>45898</v>
      </c>
      <c r="W199" s="65">
        <v>46022</v>
      </c>
      <c r="X199" s="65">
        <v>46022</v>
      </c>
      <c r="Y199" s="64" t="s">
        <v>325</v>
      </c>
      <c r="Z199" s="71"/>
      <c r="AA199" s="75" t="s">
        <v>321</v>
      </c>
      <c r="AB199" s="61">
        <v>0.94</v>
      </c>
      <c r="AC199" s="61">
        <v>0.75</v>
      </c>
      <c r="AD199" s="62">
        <v>80378550</v>
      </c>
      <c r="AE199" s="32" t="s">
        <v>1172</v>
      </c>
      <c r="AG199" s="2"/>
    </row>
    <row r="200" spans="1:33" ht="29" x14ac:dyDescent="0.35">
      <c r="A200" s="43" t="s">
        <v>306</v>
      </c>
      <c r="B200" s="2" t="s">
        <v>11</v>
      </c>
      <c r="C200" s="26" t="s">
        <v>19</v>
      </c>
      <c r="D200" s="2" t="s">
        <v>365</v>
      </c>
      <c r="E200" s="66" t="s">
        <v>1079</v>
      </c>
      <c r="F200" s="65">
        <v>45883</v>
      </c>
      <c r="G200" s="26" t="s">
        <v>113</v>
      </c>
      <c r="H200" s="67" t="s">
        <v>1082</v>
      </c>
      <c r="I200" s="26" t="s">
        <v>1631</v>
      </c>
      <c r="J200" s="2" t="s">
        <v>1083</v>
      </c>
      <c r="K200" s="88">
        <v>902000</v>
      </c>
      <c r="L200" s="84">
        <v>0</v>
      </c>
      <c r="M200" s="85">
        <v>902000</v>
      </c>
      <c r="N200" s="69" t="s">
        <v>302</v>
      </c>
      <c r="O200" s="3"/>
      <c r="P200" s="28">
        <f>+Tabla1513[[#This Row],[VALOR TOTAL DEL CONTRATO
(en pesos)
CON IVA
(inicial)]]+Tabla1513[[#This Row],[VALOR DE LAS ADICIONES
(en pesos)
CON IVA]]</f>
        <v>902000</v>
      </c>
      <c r="Q200" s="37">
        <v>30</v>
      </c>
      <c r="R200" s="23" t="s">
        <v>302</v>
      </c>
      <c r="S200" s="4"/>
      <c r="T200" s="23" t="s">
        <v>302</v>
      </c>
      <c r="U200" s="23"/>
      <c r="V200" s="65">
        <v>45883</v>
      </c>
      <c r="W200" s="65">
        <v>45913</v>
      </c>
      <c r="X200" s="65">
        <v>45913</v>
      </c>
      <c r="Y200" s="64" t="s">
        <v>320</v>
      </c>
      <c r="Z200" s="71"/>
      <c r="AA200" s="71" t="s">
        <v>321</v>
      </c>
      <c r="AB200" s="30">
        <v>1</v>
      </c>
      <c r="AC200" s="30">
        <v>1</v>
      </c>
      <c r="AD200" s="31">
        <v>902000</v>
      </c>
      <c r="AE200" s="32" t="s">
        <v>1173</v>
      </c>
      <c r="AG200" s="2"/>
    </row>
    <row r="201" spans="1:33" ht="58" x14ac:dyDescent="0.35">
      <c r="A201" s="43" t="s">
        <v>306</v>
      </c>
      <c r="B201" s="2" t="s">
        <v>31</v>
      </c>
      <c r="C201" s="26" t="s">
        <v>37</v>
      </c>
      <c r="D201" s="2" t="s">
        <v>300</v>
      </c>
      <c r="E201" s="74" t="s">
        <v>1040</v>
      </c>
      <c r="F201" s="65">
        <v>45890</v>
      </c>
      <c r="G201" s="26" t="s">
        <v>150</v>
      </c>
      <c r="H201" s="67" t="s">
        <v>1050</v>
      </c>
      <c r="I201" s="26" t="s">
        <v>1632</v>
      </c>
      <c r="J201" s="2" t="s">
        <v>1051</v>
      </c>
      <c r="K201" s="88">
        <v>34000000</v>
      </c>
      <c r="L201" s="84">
        <v>0</v>
      </c>
      <c r="M201" s="85">
        <v>34000000</v>
      </c>
      <c r="N201" s="69" t="s">
        <v>302</v>
      </c>
      <c r="O201" s="3"/>
      <c r="P201" s="28">
        <f>+Tabla1513[[#This Row],[VALOR TOTAL DEL CONTRATO
(en pesos)
CON IVA
(inicial)]]+Tabla1513[[#This Row],[VALOR DE LAS ADICIONES
(en pesos)
CON IVA]]</f>
        <v>34000000</v>
      </c>
      <c r="Q201" s="37">
        <v>122</v>
      </c>
      <c r="R201" s="23" t="s">
        <v>302</v>
      </c>
      <c r="S201" s="4"/>
      <c r="T201" s="23" t="s">
        <v>302</v>
      </c>
      <c r="U201" s="23"/>
      <c r="V201" s="65">
        <v>45898</v>
      </c>
      <c r="W201" s="65">
        <v>46020</v>
      </c>
      <c r="X201" s="65">
        <v>46020</v>
      </c>
      <c r="Y201" s="64" t="s">
        <v>325</v>
      </c>
      <c r="Z201" s="71"/>
      <c r="AA201" s="75" t="s">
        <v>321</v>
      </c>
      <c r="AB201" s="30">
        <v>0.91600000000000004</v>
      </c>
      <c r="AC201" s="30">
        <v>1</v>
      </c>
      <c r="AD201" s="31">
        <v>34000000</v>
      </c>
      <c r="AE201" s="32" t="s">
        <v>1185</v>
      </c>
      <c r="AG201" s="2"/>
    </row>
    <row r="202" spans="1:33" ht="43.5" x14ac:dyDescent="0.35">
      <c r="A202" s="43" t="s">
        <v>306</v>
      </c>
      <c r="B202" s="2" t="s">
        <v>298</v>
      </c>
      <c r="C202" s="26" t="s">
        <v>27</v>
      </c>
      <c r="D202" s="2" t="s">
        <v>312</v>
      </c>
      <c r="E202" s="66" t="s">
        <v>1084</v>
      </c>
      <c r="F202" s="65">
        <v>45894</v>
      </c>
      <c r="G202" s="26" t="s">
        <v>150</v>
      </c>
      <c r="H202" s="67" t="s">
        <v>1086</v>
      </c>
      <c r="I202" s="26" t="s">
        <v>1633</v>
      </c>
      <c r="J202" s="2" t="s">
        <v>1087</v>
      </c>
      <c r="K202" s="88">
        <v>580000000</v>
      </c>
      <c r="L202" s="84">
        <v>110200000</v>
      </c>
      <c r="M202" s="85">
        <v>690200000</v>
      </c>
      <c r="N202" s="69" t="s">
        <v>302</v>
      </c>
      <c r="O202" s="3"/>
      <c r="P202" s="28">
        <f>+Tabla1513[[#This Row],[VALOR TOTAL DEL CONTRATO
(en pesos)
CON IVA
(inicial)]]+Tabla1513[[#This Row],[VALOR DE LAS ADICIONES
(en pesos)
CON IVA]]</f>
        <v>690200000</v>
      </c>
      <c r="Q202" s="37">
        <v>482</v>
      </c>
      <c r="R202" s="23" t="s">
        <v>302</v>
      </c>
      <c r="S202" s="4"/>
      <c r="T202" s="23" t="s">
        <v>302</v>
      </c>
      <c r="U202" s="23"/>
      <c r="V202" s="65">
        <v>45905</v>
      </c>
      <c r="W202" s="65">
        <v>46387</v>
      </c>
      <c r="X202" s="65">
        <v>46387</v>
      </c>
      <c r="Y202" s="64" t="s">
        <v>303</v>
      </c>
      <c r="Z202" s="71"/>
      <c r="AA202" s="75"/>
      <c r="AB202" s="61">
        <v>0.3891</v>
      </c>
      <c r="AC202" s="61">
        <v>0.39</v>
      </c>
      <c r="AD202" s="62">
        <v>269184894.86000001</v>
      </c>
      <c r="AE202" s="32" t="s">
        <v>1174</v>
      </c>
      <c r="AG202" s="2"/>
    </row>
    <row r="203" spans="1:33" ht="43.5" x14ac:dyDescent="0.35">
      <c r="A203" s="43" t="s">
        <v>306</v>
      </c>
      <c r="B203" s="2" t="s">
        <v>11</v>
      </c>
      <c r="C203" s="26" t="s">
        <v>20</v>
      </c>
      <c r="D203" s="2" t="s">
        <v>365</v>
      </c>
      <c r="E203" s="66" t="s">
        <v>1085</v>
      </c>
      <c r="F203" s="65">
        <v>45891</v>
      </c>
      <c r="G203" s="26" t="s">
        <v>150</v>
      </c>
      <c r="H203" s="67" t="s">
        <v>1088</v>
      </c>
      <c r="I203" s="26" t="s">
        <v>1588</v>
      </c>
      <c r="J203" s="2" t="s">
        <v>405</v>
      </c>
      <c r="K203" s="88">
        <v>4000000</v>
      </c>
      <c r="L203" s="84">
        <v>760000</v>
      </c>
      <c r="M203" s="85">
        <v>4760000</v>
      </c>
      <c r="N203" s="69" t="s">
        <v>302</v>
      </c>
      <c r="O203" s="3"/>
      <c r="P203" s="28">
        <f>+Tabla1513[[#This Row],[VALOR TOTAL DEL CONTRATO
(en pesos)
CON IVA
(inicial)]]+Tabla1513[[#This Row],[VALOR DE LAS ADICIONES
(en pesos)
CON IVA]]</f>
        <v>4760000</v>
      </c>
      <c r="Q203" s="37">
        <v>2</v>
      </c>
      <c r="R203" s="23" t="s">
        <v>302</v>
      </c>
      <c r="S203" s="4"/>
      <c r="T203" s="23" t="s">
        <v>302</v>
      </c>
      <c r="U203" s="23"/>
      <c r="V203" s="65">
        <v>45896</v>
      </c>
      <c r="W203" s="65">
        <v>45898</v>
      </c>
      <c r="X203" s="65">
        <v>45898</v>
      </c>
      <c r="Y203" s="64" t="s">
        <v>320</v>
      </c>
      <c r="Z203" s="71"/>
      <c r="AA203" s="71" t="s">
        <v>321</v>
      </c>
      <c r="AB203" s="30">
        <v>1</v>
      </c>
      <c r="AC203" s="30">
        <v>1</v>
      </c>
      <c r="AD203" s="31">
        <v>4760000</v>
      </c>
      <c r="AE203" s="32" t="s">
        <v>1175</v>
      </c>
      <c r="AG203" s="2"/>
    </row>
    <row r="204" spans="1:33" ht="43.5" x14ac:dyDescent="0.35">
      <c r="A204" s="43" t="s">
        <v>306</v>
      </c>
      <c r="B204" s="2" t="s">
        <v>327</v>
      </c>
      <c r="C204" s="26" t="s">
        <v>46</v>
      </c>
      <c r="D204" s="2" t="s">
        <v>300</v>
      </c>
      <c r="E204" s="66" t="s">
        <v>1089</v>
      </c>
      <c r="F204" s="65">
        <v>45898</v>
      </c>
      <c r="G204" s="26" t="s">
        <v>150</v>
      </c>
      <c r="H204" s="67" t="s">
        <v>1091</v>
      </c>
      <c r="I204" s="26" t="s">
        <v>1634</v>
      </c>
      <c r="J204" s="2" t="s">
        <v>1092</v>
      </c>
      <c r="K204" s="88">
        <v>54000000</v>
      </c>
      <c r="L204" s="84">
        <v>10260000</v>
      </c>
      <c r="M204" s="85">
        <v>64260000</v>
      </c>
      <c r="N204" s="69" t="s">
        <v>302</v>
      </c>
      <c r="O204" s="3"/>
      <c r="P204" s="28">
        <f>+Tabla1513[[#This Row],[VALOR TOTAL DEL CONTRATO
(en pesos)
CON IVA
(inicial)]]+Tabla1513[[#This Row],[VALOR DE LAS ADICIONES
(en pesos)
CON IVA]]</f>
        <v>64260000</v>
      </c>
      <c r="Q204" s="37">
        <v>364</v>
      </c>
      <c r="R204" s="23" t="s">
        <v>302</v>
      </c>
      <c r="S204" s="4"/>
      <c r="T204" s="23" t="s">
        <v>302</v>
      </c>
      <c r="U204" s="23"/>
      <c r="V204" s="65">
        <v>45901</v>
      </c>
      <c r="W204" s="65">
        <v>46265</v>
      </c>
      <c r="X204" s="65">
        <v>46265</v>
      </c>
      <c r="Y204" s="64" t="s">
        <v>303</v>
      </c>
      <c r="Z204" s="71"/>
      <c r="AA204" s="75"/>
      <c r="AB204" s="61">
        <v>0.33333333333333298</v>
      </c>
      <c r="AC204" s="61">
        <v>1</v>
      </c>
      <c r="AD204" s="62">
        <v>64260000</v>
      </c>
      <c r="AE204" s="32" t="s">
        <v>1186</v>
      </c>
      <c r="AG204" s="2"/>
    </row>
    <row r="205" spans="1:33" ht="29" x14ac:dyDescent="0.35">
      <c r="A205" s="43" t="s">
        <v>306</v>
      </c>
      <c r="B205" s="2" t="s">
        <v>11</v>
      </c>
      <c r="C205" s="26" t="s">
        <v>19</v>
      </c>
      <c r="D205" s="2" t="s">
        <v>365</v>
      </c>
      <c r="E205" s="66" t="s">
        <v>1090</v>
      </c>
      <c r="F205" s="65">
        <v>45884</v>
      </c>
      <c r="G205" s="26" t="s">
        <v>113</v>
      </c>
      <c r="H205" s="67" t="s">
        <v>1093</v>
      </c>
      <c r="I205" s="26" t="s">
        <v>1635</v>
      </c>
      <c r="J205" s="2" t="s">
        <v>1094</v>
      </c>
      <c r="K205" s="88">
        <v>2845168</v>
      </c>
      <c r="L205" s="84">
        <v>540581</v>
      </c>
      <c r="M205" s="85">
        <v>3385749</v>
      </c>
      <c r="N205" s="69" t="s">
        <v>302</v>
      </c>
      <c r="O205" s="3"/>
      <c r="P205" s="28">
        <f>+Tabla1513[[#This Row],[VALOR TOTAL DEL CONTRATO
(en pesos)
CON IVA
(inicial)]]+Tabla1513[[#This Row],[VALOR DE LAS ADICIONES
(en pesos)
CON IVA]]</f>
        <v>3385749</v>
      </c>
      <c r="Q205" s="37">
        <v>30</v>
      </c>
      <c r="R205" s="23" t="s">
        <v>302</v>
      </c>
      <c r="S205" s="4"/>
      <c r="T205" s="23" t="s">
        <v>302</v>
      </c>
      <c r="U205" s="23"/>
      <c r="V205" s="65">
        <v>45884</v>
      </c>
      <c r="W205" s="65">
        <v>45914</v>
      </c>
      <c r="X205" s="65">
        <v>45914</v>
      </c>
      <c r="Y205" s="64" t="s">
        <v>320</v>
      </c>
      <c r="Z205" s="71"/>
      <c r="AA205" s="71" t="s">
        <v>321</v>
      </c>
      <c r="AB205" s="30">
        <v>1</v>
      </c>
      <c r="AC205" s="30">
        <v>1</v>
      </c>
      <c r="AD205" s="31">
        <v>3385749</v>
      </c>
      <c r="AE205" s="32" t="s">
        <v>1176</v>
      </c>
      <c r="AG205" s="2"/>
    </row>
    <row r="206" spans="1:33" ht="29" x14ac:dyDescent="0.35">
      <c r="A206" s="43" t="s">
        <v>306</v>
      </c>
      <c r="B206" s="2" t="s">
        <v>11</v>
      </c>
      <c r="C206" s="26" t="s">
        <v>19</v>
      </c>
      <c r="D206" s="2" t="s">
        <v>365</v>
      </c>
      <c r="E206" s="66" t="s">
        <v>1096</v>
      </c>
      <c r="F206" s="65">
        <v>45897</v>
      </c>
      <c r="G206" s="26" t="s">
        <v>113</v>
      </c>
      <c r="H206" s="67" t="s">
        <v>1099</v>
      </c>
      <c r="I206" s="26" t="s">
        <v>1636</v>
      </c>
      <c r="J206" s="2" t="s">
        <v>1100</v>
      </c>
      <c r="K206" s="88">
        <v>1785000</v>
      </c>
      <c r="L206" s="84">
        <v>339150</v>
      </c>
      <c r="M206" s="85">
        <v>2124150</v>
      </c>
      <c r="N206" s="69" t="s">
        <v>302</v>
      </c>
      <c r="O206" s="3"/>
      <c r="P206" s="28">
        <f>+Tabla1513[[#This Row],[VALOR TOTAL DEL CONTRATO
(en pesos)
CON IVA
(inicial)]]+Tabla1513[[#This Row],[VALOR DE LAS ADICIONES
(en pesos)
CON IVA]]</f>
        <v>2124150</v>
      </c>
      <c r="Q206" s="37">
        <v>8</v>
      </c>
      <c r="R206" s="23" t="s">
        <v>302</v>
      </c>
      <c r="S206" s="4"/>
      <c r="T206" s="23" t="s">
        <v>302</v>
      </c>
      <c r="U206" s="23"/>
      <c r="V206" s="65">
        <v>45897</v>
      </c>
      <c r="W206" s="65">
        <v>45905</v>
      </c>
      <c r="X206" s="65">
        <v>45905</v>
      </c>
      <c r="Y206" s="64" t="s">
        <v>320</v>
      </c>
      <c r="Z206" s="71"/>
      <c r="AA206" s="71" t="s">
        <v>321</v>
      </c>
      <c r="AB206" s="30">
        <v>1</v>
      </c>
      <c r="AC206" s="30">
        <v>1</v>
      </c>
      <c r="AD206" s="31">
        <v>2124150</v>
      </c>
      <c r="AE206" s="32" t="s">
        <v>1187</v>
      </c>
      <c r="AG206" s="2"/>
    </row>
    <row r="207" spans="1:33" ht="29" x14ac:dyDescent="0.35">
      <c r="A207" s="43" t="s">
        <v>306</v>
      </c>
      <c r="B207" s="2" t="s">
        <v>11</v>
      </c>
      <c r="C207" s="26" t="s">
        <v>19</v>
      </c>
      <c r="D207" s="2" t="s">
        <v>365</v>
      </c>
      <c r="E207" s="66" t="s">
        <v>1095</v>
      </c>
      <c r="F207" s="65">
        <v>45896</v>
      </c>
      <c r="G207" s="26" t="s">
        <v>113</v>
      </c>
      <c r="H207" s="67" t="s">
        <v>1097</v>
      </c>
      <c r="I207" s="26" t="s">
        <v>1637</v>
      </c>
      <c r="J207" s="2" t="s">
        <v>1098</v>
      </c>
      <c r="K207" s="88">
        <v>3224186</v>
      </c>
      <c r="L207" s="84">
        <v>612595</v>
      </c>
      <c r="M207" s="85">
        <v>3836782</v>
      </c>
      <c r="N207" s="69" t="s">
        <v>302</v>
      </c>
      <c r="O207" s="3"/>
      <c r="P207" s="28">
        <f>+Tabla1513[[#This Row],[VALOR TOTAL DEL CONTRATO
(en pesos)
CON IVA
(inicial)]]+Tabla1513[[#This Row],[VALOR DE LAS ADICIONES
(en pesos)
CON IVA]]</f>
        <v>3836782</v>
      </c>
      <c r="Q207" s="37">
        <v>5</v>
      </c>
      <c r="R207" s="23" t="s">
        <v>302</v>
      </c>
      <c r="S207" s="4"/>
      <c r="T207" s="23" t="s">
        <v>302</v>
      </c>
      <c r="U207" s="23"/>
      <c r="V207" s="65">
        <v>45896</v>
      </c>
      <c r="W207" s="65">
        <v>45901</v>
      </c>
      <c r="X207" s="65">
        <v>45901</v>
      </c>
      <c r="Y207" s="64" t="s">
        <v>320</v>
      </c>
      <c r="Z207" s="71"/>
      <c r="AA207" s="71" t="s">
        <v>321</v>
      </c>
      <c r="AB207" s="30">
        <v>1</v>
      </c>
      <c r="AC207" s="30">
        <v>1</v>
      </c>
      <c r="AD207" s="31">
        <v>3836782</v>
      </c>
      <c r="AE207" s="32" t="s">
        <v>1177</v>
      </c>
      <c r="AG207" s="2"/>
    </row>
    <row r="208" spans="1:33" ht="58" x14ac:dyDescent="0.35">
      <c r="A208" s="43" t="s">
        <v>306</v>
      </c>
      <c r="B208" s="2" t="s">
        <v>31</v>
      </c>
      <c r="C208" s="26" t="s">
        <v>37</v>
      </c>
      <c r="D208" s="2" t="s">
        <v>324</v>
      </c>
      <c r="E208" s="74" t="s">
        <v>1107</v>
      </c>
      <c r="F208" s="65">
        <v>45903</v>
      </c>
      <c r="G208" s="26" t="s">
        <v>150</v>
      </c>
      <c r="H208" s="67" t="s">
        <v>1374</v>
      </c>
      <c r="I208" s="26" t="s">
        <v>1638</v>
      </c>
      <c r="J208" s="2" t="s">
        <v>1110</v>
      </c>
      <c r="K208" s="88">
        <v>531969954</v>
      </c>
      <c r="L208" s="84">
        <v>69815345</v>
      </c>
      <c r="M208" s="85">
        <v>601785299</v>
      </c>
      <c r="N208" s="69" t="s">
        <v>302</v>
      </c>
      <c r="O208" s="3"/>
      <c r="P208" s="28">
        <f>+Tabla1513[[#This Row],[VALOR TOTAL DEL CONTRATO
(en pesos)
CON IVA
(inicial)]]+Tabla1513[[#This Row],[VALOR DE LAS ADICIONES
(en pesos)
CON IVA]]</f>
        <v>601785299</v>
      </c>
      <c r="Q208" s="37">
        <v>487</v>
      </c>
      <c r="R208" s="23" t="s">
        <v>302</v>
      </c>
      <c r="S208" s="4"/>
      <c r="T208" s="23" t="s">
        <v>302</v>
      </c>
      <c r="U208" s="23"/>
      <c r="V208" s="65">
        <v>45916</v>
      </c>
      <c r="W208" s="65">
        <v>46403</v>
      </c>
      <c r="X208" s="65">
        <v>46403</v>
      </c>
      <c r="Y208" s="64" t="s">
        <v>303</v>
      </c>
      <c r="Z208" s="71"/>
      <c r="AA208" s="71"/>
      <c r="AB208" s="30">
        <v>0.1875</v>
      </c>
      <c r="AC208" s="30">
        <v>0.1638</v>
      </c>
      <c r="AD208" s="31">
        <v>98583792</v>
      </c>
      <c r="AE208" s="32" t="s">
        <v>1188</v>
      </c>
      <c r="AG208" s="2"/>
    </row>
    <row r="209" spans="1:33" ht="87" x14ac:dyDescent="0.35">
      <c r="A209" s="43" t="s">
        <v>306</v>
      </c>
      <c r="B209" s="2" t="s">
        <v>31</v>
      </c>
      <c r="C209" s="26" t="s">
        <v>1282</v>
      </c>
      <c r="D209" s="2" t="s">
        <v>300</v>
      </c>
      <c r="E209" s="74" t="s">
        <v>1108</v>
      </c>
      <c r="F209" s="65">
        <v>45903</v>
      </c>
      <c r="G209" s="26" t="s">
        <v>150</v>
      </c>
      <c r="H209" s="67" t="s">
        <v>1111</v>
      </c>
      <c r="I209" s="26" t="s">
        <v>1639</v>
      </c>
      <c r="J209" s="2" t="s">
        <v>1112</v>
      </c>
      <c r="K209" s="88">
        <v>50969939</v>
      </c>
      <c r="L209" s="84">
        <v>9684288</v>
      </c>
      <c r="M209" s="85">
        <v>60654228</v>
      </c>
      <c r="N209" s="69" t="s">
        <v>302</v>
      </c>
      <c r="O209" s="3"/>
      <c r="P209" s="28">
        <f>+Tabla1513[[#This Row],[VALOR TOTAL DEL CONTRATO
(en pesos)
CON IVA
(inicial)]]+Tabla1513[[#This Row],[VALOR DE LAS ADICIONES
(en pesos)
CON IVA]]</f>
        <v>60654228</v>
      </c>
      <c r="Q209" s="37">
        <v>364</v>
      </c>
      <c r="R209" s="23" t="s">
        <v>302</v>
      </c>
      <c r="S209" s="4"/>
      <c r="T209" s="23" t="s">
        <v>302</v>
      </c>
      <c r="U209" s="23"/>
      <c r="V209" s="65">
        <v>45928</v>
      </c>
      <c r="W209" s="65">
        <v>46292</v>
      </c>
      <c r="X209" s="65">
        <v>46292</v>
      </c>
      <c r="Y209" s="64" t="s">
        <v>303</v>
      </c>
      <c r="Z209" s="71"/>
      <c r="AA209" s="71"/>
      <c r="AB209" s="77">
        <v>0.26</v>
      </c>
      <c r="AC209" s="77">
        <v>0.79115238281492928</v>
      </c>
      <c r="AD209" s="78">
        <v>47986737.010000005</v>
      </c>
      <c r="AE209" s="32" t="s">
        <v>1178</v>
      </c>
      <c r="AG209" s="2"/>
    </row>
    <row r="210" spans="1:33" ht="43.5" x14ac:dyDescent="0.35">
      <c r="A210" s="43" t="s">
        <v>306</v>
      </c>
      <c r="B210" s="2" t="s">
        <v>11</v>
      </c>
      <c r="C210" s="26" t="s">
        <v>20</v>
      </c>
      <c r="D210" s="2" t="s">
        <v>365</v>
      </c>
      <c r="E210" s="66" t="s">
        <v>1109</v>
      </c>
      <c r="F210" s="65">
        <v>45904</v>
      </c>
      <c r="G210" s="26" t="s">
        <v>150</v>
      </c>
      <c r="H210" s="67" t="s">
        <v>1113</v>
      </c>
      <c r="I210" s="26" t="s">
        <v>1640</v>
      </c>
      <c r="J210" s="2" t="s">
        <v>1114</v>
      </c>
      <c r="K210" s="88">
        <v>2100000</v>
      </c>
      <c r="L210" s="84">
        <v>399000</v>
      </c>
      <c r="M210" s="85">
        <v>2499000</v>
      </c>
      <c r="N210" s="69" t="s">
        <v>302</v>
      </c>
      <c r="O210" s="3"/>
      <c r="P210" s="28">
        <f>+Tabla1513[[#This Row],[VALOR TOTAL DEL CONTRATO
(en pesos)
CON IVA
(inicial)]]+Tabla1513[[#This Row],[VALOR DE LAS ADICIONES
(en pesos)
CON IVA]]</f>
        <v>2499000</v>
      </c>
      <c r="Q210" s="37">
        <v>1</v>
      </c>
      <c r="R210" s="23" t="s">
        <v>302</v>
      </c>
      <c r="S210" s="4"/>
      <c r="T210" s="23" t="s">
        <v>302</v>
      </c>
      <c r="U210" s="23"/>
      <c r="V210" s="65">
        <v>45911</v>
      </c>
      <c r="W210" s="65">
        <v>45912</v>
      </c>
      <c r="X210" s="65">
        <v>45912</v>
      </c>
      <c r="Y210" s="64" t="s">
        <v>320</v>
      </c>
      <c r="Z210" s="71"/>
      <c r="AA210" s="70" t="s">
        <v>321</v>
      </c>
      <c r="AB210" s="30">
        <v>1</v>
      </c>
      <c r="AC210" s="30">
        <v>1</v>
      </c>
      <c r="AD210" s="31">
        <v>2499000</v>
      </c>
      <c r="AE210" s="32" t="s">
        <v>1189</v>
      </c>
      <c r="AG210" s="2"/>
    </row>
    <row r="211" spans="1:33" ht="29" x14ac:dyDescent="0.35">
      <c r="A211" s="43" t="s">
        <v>306</v>
      </c>
      <c r="B211" s="2" t="s">
        <v>11</v>
      </c>
      <c r="C211" s="26" t="s">
        <v>19</v>
      </c>
      <c r="D211" s="2" t="s">
        <v>365</v>
      </c>
      <c r="E211" s="66" t="s">
        <v>1115</v>
      </c>
      <c r="F211" s="65">
        <v>45898</v>
      </c>
      <c r="G211" s="26" t="s">
        <v>113</v>
      </c>
      <c r="H211" s="67" t="s">
        <v>1118</v>
      </c>
      <c r="I211" s="26" t="s">
        <v>1637</v>
      </c>
      <c r="J211" s="2" t="s">
        <v>1098</v>
      </c>
      <c r="K211" s="88">
        <v>907497</v>
      </c>
      <c r="L211" s="84">
        <v>172424</v>
      </c>
      <c r="M211" s="85">
        <v>1079921</v>
      </c>
      <c r="N211" s="69" t="s">
        <v>302</v>
      </c>
      <c r="O211" s="3"/>
      <c r="P211" s="28">
        <f>+Tabla1513[[#This Row],[VALOR TOTAL DEL CONTRATO
(en pesos)
CON IVA
(inicial)]]+Tabla1513[[#This Row],[VALOR DE LAS ADICIONES
(en pesos)
CON IVA]]</f>
        <v>1079921</v>
      </c>
      <c r="Q211" s="37">
        <v>5</v>
      </c>
      <c r="R211" s="23" t="s">
        <v>302</v>
      </c>
      <c r="S211" s="4"/>
      <c r="T211" s="23" t="s">
        <v>302</v>
      </c>
      <c r="U211" s="23"/>
      <c r="V211" s="65">
        <v>45898</v>
      </c>
      <c r="W211" s="65">
        <v>45903</v>
      </c>
      <c r="X211" s="65">
        <v>45903</v>
      </c>
      <c r="Y211" s="64" t="s">
        <v>320</v>
      </c>
      <c r="Z211" s="71"/>
      <c r="AA211" s="70" t="s">
        <v>321</v>
      </c>
      <c r="AB211" s="30">
        <v>1</v>
      </c>
      <c r="AC211" s="30">
        <v>1</v>
      </c>
      <c r="AD211" s="31">
        <v>1079921</v>
      </c>
      <c r="AE211" s="32" t="s">
        <v>1179</v>
      </c>
      <c r="AG211" s="2"/>
    </row>
    <row r="212" spans="1:33" ht="29" x14ac:dyDescent="0.35">
      <c r="A212" s="43" t="s">
        <v>306</v>
      </c>
      <c r="B212" s="2" t="s">
        <v>11</v>
      </c>
      <c r="C212" s="26" t="s">
        <v>19</v>
      </c>
      <c r="D212" s="2" t="s">
        <v>365</v>
      </c>
      <c r="E212" s="66" t="s">
        <v>1116</v>
      </c>
      <c r="F212" s="65">
        <v>45905</v>
      </c>
      <c r="G212" s="26" t="s">
        <v>150</v>
      </c>
      <c r="H212" s="67" t="s">
        <v>1119</v>
      </c>
      <c r="I212" s="26" t="s">
        <v>1641</v>
      </c>
      <c r="J212" s="2" t="s">
        <v>1120</v>
      </c>
      <c r="K212" s="88">
        <v>1540000</v>
      </c>
      <c r="L212" s="84">
        <v>292600</v>
      </c>
      <c r="M212" s="85">
        <v>1832600</v>
      </c>
      <c r="N212" s="69" t="s">
        <v>302</v>
      </c>
      <c r="O212" s="3"/>
      <c r="P212" s="28">
        <f>+Tabla1513[[#This Row],[VALOR TOTAL DEL CONTRATO
(en pesos)
CON IVA
(inicial)]]+Tabla1513[[#This Row],[VALOR DE LAS ADICIONES
(en pesos)
CON IVA]]</f>
        <v>1832600</v>
      </c>
      <c r="Q212" s="37">
        <v>90</v>
      </c>
      <c r="R212" s="23" t="s">
        <v>302</v>
      </c>
      <c r="S212" s="4"/>
      <c r="T212" s="23" t="s">
        <v>302</v>
      </c>
      <c r="U212" s="23"/>
      <c r="V212" s="65">
        <v>45905</v>
      </c>
      <c r="W212" s="65">
        <v>45995</v>
      </c>
      <c r="X212" s="65">
        <v>45995</v>
      </c>
      <c r="Y212" s="64" t="s">
        <v>320</v>
      </c>
      <c r="Z212" s="71"/>
      <c r="AA212" s="71" t="s">
        <v>321</v>
      </c>
      <c r="AB212" s="30">
        <v>1</v>
      </c>
      <c r="AC212" s="30">
        <v>1</v>
      </c>
      <c r="AD212" s="31">
        <v>1832600</v>
      </c>
      <c r="AE212" s="32" t="s">
        <v>1190</v>
      </c>
      <c r="AG212" s="2"/>
    </row>
    <row r="213" spans="1:33" ht="43.5" x14ac:dyDescent="0.35">
      <c r="A213" s="43" t="s">
        <v>306</v>
      </c>
      <c r="B213" s="2" t="s">
        <v>11</v>
      </c>
      <c r="C213" s="26" t="s">
        <v>19</v>
      </c>
      <c r="D213" s="2" t="s">
        <v>365</v>
      </c>
      <c r="E213" s="66" t="s">
        <v>1117</v>
      </c>
      <c r="F213" s="65">
        <v>45902</v>
      </c>
      <c r="G213" s="26" t="s">
        <v>142</v>
      </c>
      <c r="H213" s="67" t="s">
        <v>1121</v>
      </c>
      <c r="I213" s="26" t="s">
        <v>1642</v>
      </c>
      <c r="J213" s="2" t="s">
        <v>1122</v>
      </c>
      <c r="K213" s="88">
        <v>2000000</v>
      </c>
      <c r="L213" s="84">
        <v>380000</v>
      </c>
      <c r="M213" s="85">
        <v>2380000</v>
      </c>
      <c r="N213" s="69" t="s">
        <v>302</v>
      </c>
      <c r="O213" s="3"/>
      <c r="P213" s="28">
        <f>+Tabla1513[[#This Row],[VALOR TOTAL DEL CONTRATO
(en pesos)
CON IVA
(inicial)]]+Tabla1513[[#This Row],[VALOR DE LAS ADICIONES
(en pesos)
CON IVA]]</f>
        <v>2380000</v>
      </c>
      <c r="Q213" s="37">
        <v>30</v>
      </c>
      <c r="R213" s="23" t="s">
        <v>302</v>
      </c>
      <c r="S213" s="4"/>
      <c r="T213" s="23" t="s">
        <v>302</v>
      </c>
      <c r="U213" s="23"/>
      <c r="V213" s="65">
        <v>45902</v>
      </c>
      <c r="W213" s="65">
        <v>45932</v>
      </c>
      <c r="X213" s="65">
        <v>45932</v>
      </c>
      <c r="Y213" s="64" t="s">
        <v>320</v>
      </c>
      <c r="Z213" s="71"/>
      <c r="AA213" s="70" t="s">
        <v>321</v>
      </c>
      <c r="AB213" s="30">
        <v>1</v>
      </c>
      <c r="AC213" s="30">
        <v>1</v>
      </c>
      <c r="AD213" s="31">
        <v>2380000</v>
      </c>
      <c r="AE213" s="32" t="s">
        <v>1191</v>
      </c>
      <c r="AG213" s="2"/>
    </row>
    <row r="214" spans="1:33" ht="29" x14ac:dyDescent="0.35">
      <c r="A214" s="43" t="s">
        <v>306</v>
      </c>
      <c r="B214" s="2" t="s">
        <v>11</v>
      </c>
      <c r="C214" s="26" t="s">
        <v>19</v>
      </c>
      <c r="D214" s="2" t="s">
        <v>300</v>
      </c>
      <c r="E214" s="66" t="s">
        <v>1123</v>
      </c>
      <c r="F214" s="65">
        <v>45909</v>
      </c>
      <c r="G214" s="26" t="s">
        <v>150</v>
      </c>
      <c r="H214" s="67" t="s">
        <v>1124</v>
      </c>
      <c r="I214" s="26" t="s">
        <v>1635</v>
      </c>
      <c r="J214" s="2" t="s">
        <v>1094</v>
      </c>
      <c r="K214" s="88">
        <v>7410000</v>
      </c>
      <c r="L214" s="84">
        <v>1407900</v>
      </c>
      <c r="M214" s="85">
        <v>8817900</v>
      </c>
      <c r="N214" s="69" t="s">
        <v>302</v>
      </c>
      <c r="O214" s="3"/>
      <c r="P214" s="28">
        <f>+Tabla1513[[#This Row],[VALOR TOTAL DEL CONTRATO
(en pesos)
CON IVA
(inicial)]]+Tabla1513[[#This Row],[VALOR DE LAS ADICIONES
(en pesos)
CON IVA]]</f>
        <v>8817900</v>
      </c>
      <c r="Q214" s="37">
        <v>30</v>
      </c>
      <c r="R214" s="23" t="s">
        <v>302</v>
      </c>
      <c r="S214" s="4"/>
      <c r="T214" s="23" t="s">
        <v>302</v>
      </c>
      <c r="U214" s="23"/>
      <c r="V214" s="65">
        <v>45926</v>
      </c>
      <c r="W214" s="65">
        <v>45956</v>
      </c>
      <c r="X214" s="65">
        <v>45956</v>
      </c>
      <c r="Y214" s="64" t="s">
        <v>320</v>
      </c>
      <c r="Z214" s="71"/>
      <c r="AA214" s="71" t="s">
        <v>321</v>
      </c>
      <c r="AB214" s="30">
        <v>1</v>
      </c>
      <c r="AC214" s="30">
        <v>1</v>
      </c>
      <c r="AD214" s="31">
        <v>8817900</v>
      </c>
      <c r="AE214" s="32" t="s">
        <v>1192</v>
      </c>
      <c r="AG214" s="2"/>
    </row>
    <row r="215" spans="1:33" ht="29" x14ac:dyDescent="0.35">
      <c r="A215" s="43" t="s">
        <v>306</v>
      </c>
      <c r="B215" s="2" t="s">
        <v>11</v>
      </c>
      <c r="C215" s="26" t="s">
        <v>19</v>
      </c>
      <c r="D215" s="2" t="s">
        <v>300</v>
      </c>
      <c r="E215" s="66" t="s">
        <v>1125</v>
      </c>
      <c r="F215" s="65">
        <v>45910</v>
      </c>
      <c r="G215" s="26" t="s">
        <v>150</v>
      </c>
      <c r="H215" s="67" t="s">
        <v>1126</v>
      </c>
      <c r="I215" s="26" t="s">
        <v>1643</v>
      </c>
      <c r="J215" s="2" t="s">
        <v>1127</v>
      </c>
      <c r="K215" s="88">
        <v>22000000</v>
      </c>
      <c r="L215" s="84">
        <v>4180000</v>
      </c>
      <c r="M215" s="85">
        <v>26180000</v>
      </c>
      <c r="N215" s="69" t="s">
        <v>302</v>
      </c>
      <c r="O215" s="3"/>
      <c r="P215" s="28">
        <f>+Tabla1513[[#This Row],[VALOR TOTAL DEL CONTRATO
(en pesos)
CON IVA
(inicial)]]+Tabla1513[[#This Row],[VALOR DE LAS ADICIONES
(en pesos)
CON IVA]]</f>
        <v>26180000</v>
      </c>
      <c r="Q215" s="37">
        <v>60</v>
      </c>
      <c r="R215" s="23" t="s">
        <v>302</v>
      </c>
      <c r="S215" s="4"/>
      <c r="T215" s="23" t="s">
        <v>302</v>
      </c>
      <c r="U215" s="23"/>
      <c r="V215" s="65">
        <v>45917</v>
      </c>
      <c r="W215" s="65">
        <v>45977</v>
      </c>
      <c r="X215" s="65">
        <v>45977</v>
      </c>
      <c r="Y215" s="64" t="s">
        <v>320</v>
      </c>
      <c r="Z215" s="71"/>
      <c r="AA215" s="71" t="s">
        <v>321</v>
      </c>
      <c r="AB215" s="30">
        <v>1</v>
      </c>
      <c r="AC215" s="30">
        <v>1</v>
      </c>
      <c r="AD215" s="31">
        <v>26180000</v>
      </c>
      <c r="AE215" s="32" t="s">
        <v>1193</v>
      </c>
      <c r="AG215" s="2"/>
    </row>
    <row r="216" spans="1:33" ht="29" x14ac:dyDescent="0.35">
      <c r="A216" s="43" t="s">
        <v>306</v>
      </c>
      <c r="B216" s="2" t="s">
        <v>327</v>
      </c>
      <c r="C216" s="26" t="s">
        <v>43</v>
      </c>
      <c r="D216" s="2" t="s">
        <v>300</v>
      </c>
      <c r="E216" s="66" t="s">
        <v>1128</v>
      </c>
      <c r="F216" s="65">
        <v>45909</v>
      </c>
      <c r="G216" s="26" t="s">
        <v>150</v>
      </c>
      <c r="H216" s="67" t="s">
        <v>1202</v>
      </c>
      <c r="I216" s="26" t="s">
        <v>1494</v>
      </c>
      <c r="J216" s="2" t="s">
        <v>377</v>
      </c>
      <c r="K216" s="88">
        <v>32000000</v>
      </c>
      <c r="L216" s="84">
        <v>0</v>
      </c>
      <c r="M216" s="85">
        <v>32000000</v>
      </c>
      <c r="N216" s="69" t="s">
        <v>302</v>
      </c>
      <c r="O216" s="3"/>
      <c r="P216" s="28">
        <f>+Tabla1513[[#This Row],[VALOR TOTAL DEL CONTRATO
(en pesos)
CON IVA
(inicial)]]+Tabla1513[[#This Row],[VALOR DE LAS ADICIONES
(en pesos)
CON IVA]]</f>
        <v>32000000</v>
      </c>
      <c r="Q216" s="37">
        <v>110</v>
      </c>
      <c r="R216" s="23" t="s">
        <v>302</v>
      </c>
      <c r="S216" s="4"/>
      <c r="T216" s="23" t="s">
        <v>302</v>
      </c>
      <c r="U216" s="23"/>
      <c r="V216" s="65">
        <v>45912</v>
      </c>
      <c r="W216" s="65">
        <v>46022</v>
      </c>
      <c r="X216" s="65">
        <v>46022</v>
      </c>
      <c r="Y216" s="64" t="s">
        <v>325</v>
      </c>
      <c r="Z216" s="71"/>
      <c r="AA216" s="71" t="s">
        <v>321</v>
      </c>
      <c r="AB216" s="61">
        <v>1</v>
      </c>
      <c r="AC216" s="61">
        <v>0.81630000000000003</v>
      </c>
      <c r="AD216" s="62">
        <v>24000000</v>
      </c>
      <c r="AE216" s="32" t="s">
        <v>1194</v>
      </c>
      <c r="AG216" s="2"/>
    </row>
    <row r="217" spans="1:33" ht="43.5" x14ac:dyDescent="0.35">
      <c r="A217" s="43" t="s">
        <v>306</v>
      </c>
      <c r="B217" s="2" t="s">
        <v>11</v>
      </c>
      <c r="C217" s="26" t="s">
        <v>19</v>
      </c>
      <c r="D217" s="2" t="s">
        <v>300</v>
      </c>
      <c r="E217" s="66" t="s">
        <v>1129</v>
      </c>
      <c r="F217" s="65">
        <v>45911</v>
      </c>
      <c r="G217" s="26" t="s">
        <v>142</v>
      </c>
      <c r="H217" s="67" t="s">
        <v>1130</v>
      </c>
      <c r="I217" s="26" t="s">
        <v>1644</v>
      </c>
      <c r="J217" s="2" t="s">
        <v>1131</v>
      </c>
      <c r="K217" s="88">
        <v>53713533</v>
      </c>
      <c r="L217" s="84">
        <v>351916</v>
      </c>
      <c r="M217" s="85">
        <v>54065449</v>
      </c>
      <c r="N217" s="69" t="s">
        <v>302</v>
      </c>
      <c r="O217" s="3"/>
      <c r="P217" s="28">
        <f>+Tabla1513[[#This Row],[VALOR TOTAL DEL CONTRATO
(en pesos)
CON IVA
(inicial)]]+Tabla1513[[#This Row],[VALOR DE LAS ADICIONES
(en pesos)
CON IVA]]</f>
        <v>54065449</v>
      </c>
      <c r="Q217" s="37">
        <v>96</v>
      </c>
      <c r="R217" s="23" t="s">
        <v>302</v>
      </c>
      <c r="S217" s="4"/>
      <c r="T217" s="23" t="s">
        <v>302</v>
      </c>
      <c r="U217" s="23"/>
      <c r="V217" s="65">
        <v>45926</v>
      </c>
      <c r="W217" s="65">
        <v>46022</v>
      </c>
      <c r="X217" s="65">
        <v>46022</v>
      </c>
      <c r="Y217" s="64" t="s">
        <v>325</v>
      </c>
      <c r="Z217" s="71"/>
      <c r="AA217" s="71" t="s">
        <v>321</v>
      </c>
      <c r="AB217" s="30">
        <v>1</v>
      </c>
      <c r="AC217" s="30">
        <v>1</v>
      </c>
      <c r="AD217" s="31">
        <v>54065449</v>
      </c>
      <c r="AE217" s="32" t="s">
        <v>1195</v>
      </c>
      <c r="AG217" s="2"/>
    </row>
    <row r="218" spans="1:33" ht="29" x14ac:dyDescent="0.35">
      <c r="A218" s="43" t="s">
        <v>306</v>
      </c>
      <c r="B218" s="2" t="s">
        <v>4</v>
      </c>
      <c r="C218" s="26" t="s">
        <v>352</v>
      </c>
      <c r="D218" s="2" t="s">
        <v>312</v>
      </c>
      <c r="E218" s="66" t="s">
        <v>1132</v>
      </c>
      <c r="F218" s="65">
        <v>45911</v>
      </c>
      <c r="G218" s="26" t="s">
        <v>150</v>
      </c>
      <c r="H218" s="67" t="s">
        <v>1134</v>
      </c>
      <c r="I218" s="26" t="s">
        <v>1645</v>
      </c>
      <c r="J218" s="2" t="s">
        <v>1135</v>
      </c>
      <c r="K218" s="88">
        <v>236359223</v>
      </c>
      <c r="L218" s="84">
        <v>44908252</v>
      </c>
      <c r="M218" s="85">
        <v>281267475</v>
      </c>
      <c r="N218" s="69" t="s">
        <v>302</v>
      </c>
      <c r="O218" s="3"/>
      <c r="P218" s="28">
        <f>+Tabla1513[[#This Row],[VALOR TOTAL DEL CONTRATO
(en pesos)
CON IVA
(inicial)]]+Tabla1513[[#This Row],[VALOR DE LAS ADICIONES
(en pesos)
CON IVA]]</f>
        <v>281267475</v>
      </c>
      <c r="Q218" s="37">
        <v>729</v>
      </c>
      <c r="R218" s="23" t="s">
        <v>302</v>
      </c>
      <c r="S218" s="4"/>
      <c r="T218" s="23" t="s">
        <v>302</v>
      </c>
      <c r="U218" s="23"/>
      <c r="V218" s="65">
        <v>45931</v>
      </c>
      <c r="W218" s="65">
        <v>46660</v>
      </c>
      <c r="X218" s="65">
        <v>46660</v>
      </c>
      <c r="Y218" s="64" t="s">
        <v>303</v>
      </c>
      <c r="Z218" s="71"/>
      <c r="AA218" s="71"/>
      <c r="AB218" s="61">
        <v>0.11</v>
      </c>
      <c r="AC218" s="61">
        <v>0.08</v>
      </c>
      <c r="AD218" s="62">
        <v>23438955</v>
      </c>
      <c r="AE218" s="32" t="s">
        <v>1196</v>
      </c>
      <c r="AG218" s="2"/>
    </row>
    <row r="219" spans="1:33" ht="43.5" x14ac:dyDescent="0.35">
      <c r="A219" s="43" t="s">
        <v>306</v>
      </c>
      <c r="B219" s="2" t="s">
        <v>298</v>
      </c>
      <c r="C219" s="26" t="s">
        <v>27</v>
      </c>
      <c r="D219" s="2" t="s">
        <v>300</v>
      </c>
      <c r="E219" s="66" t="s">
        <v>1133</v>
      </c>
      <c r="F219" s="65">
        <v>45916</v>
      </c>
      <c r="G219" s="26" t="s">
        <v>113</v>
      </c>
      <c r="H219" s="67" t="s">
        <v>1136</v>
      </c>
      <c r="I219" s="26" t="s">
        <v>1531</v>
      </c>
      <c r="J219" s="2" t="s">
        <v>373</v>
      </c>
      <c r="K219" s="88">
        <v>46179792</v>
      </c>
      <c r="L219" s="84">
        <v>8774160</v>
      </c>
      <c r="M219" s="85">
        <v>54953952</v>
      </c>
      <c r="N219" s="69" t="s">
        <v>302</v>
      </c>
      <c r="O219" s="3"/>
      <c r="P219" s="28">
        <f>+Tabla1513[[#This Row],[VALOR TOTAL DEL CONTRATO
(en pesos)
CON IVA
(inicial)]]+Tabla1513[[#This Row],[VALOR DE LAS ADICIONES
(en pesos)
CON IVA]]</f>
        <v>54953952</v>
      </c>
      <c r="Q219" s="37">
        <v>14</v>
      </c>
      <c r="R219" s="23" t="s">
        <v>302</v>
      </c>
      <c r="S219" s="4"/>
      <c r="T219" s="23" t="s">
        <v>302</v>
      </c>
      <c r="U219" s="23"/>
      <c r="V219" s="65">
        <v>45916</v>
      </c>
      <c r="W219" s="65">
        <v>45930</v>
      </c>
      <c r="X219" s="65">
        <v>45930</v>
      </c>
      <c r="Y219" s="64" t="s">
        <v>320</v>
      </c>
      <c r="Z219" s="71"/>
      <c r="AA219" s="70" t="s">
        <v>321</v>
      </c>
      <c r="AB219" s="61">
        <v>1</v>
      </c>
      <c r="AC219" s="61">
        <v>1</v>
      </c>
      <c r="AD219" s="62">
        <v>54953952.004000001</v>
      </c>
      <c r="AE219" s="32" t="s">
        <v>1197</v>
      </c>
      <c r="AG219" s="2"/>
    </row>
    <row r="220" spans="1:33" ht="43.5" x14ac:dyDescent="0.35">
      <c r="A220" s="43" t="s">
        <v>306</v>
      </c>
      <c r="B220" s="2" t="s">
        <v>31</v>
      </c>
      <c r="C220" s="26" t="s">
        <v>424</v>
      </c>
      <c r="D220" s="2" t="s">
        <v>324</v>
      </c>
      <c r="E220" s="74" t="s">
        <v>1137</v>
      </c>
      <c r="F220" s="65">
        <v>45916</v>
      </c>
      <c r="G220" s="26" t="s">
        <v>150</v>
      </c>
      <c r="H220" s="67" t="s">
        <v>1138</v>
      </c>
      <c r="I220" s="26" t="s">
        <v>1646</v>
      </c>
      <c r="J220" s="2" t="s">
        <v>1139</v>
      </c>
      <c r="K220" s="88">
        <v>25833626721.84874</v>
      </c>
      <c r="L220" s="84">
        <v>4908389077.1512604</v>
      </c>
      <c r="M220" s="85">
        <v>30742015799</v>
      </c>
      <c r="N220" s="69" t="s">
        <v>302</v>
      </c>
      <c r="O220" s="3"/>
      <c r="P220" s="28">
        <f>+Tabla1513[[#This Row],[VALOR TOTAL DEL CONTRATO
(en pesos)
CON IVA
(inicial)]]+Tabla1513[[#This Row],[VALOR DE LAS ADICIONES
(en pesos)
CON IVA]]</f>
        <v>30742015799</v>
      </c>
      <c r="Q220" s="37">
        <v>1156</v>
      </c>
      <c r="R220" s="23" t="s">
        <v>302</v>
      </c>
      <c r="S220" s="4"/>
      <c r="T220" s="23" t="s">
        <v>302</v>
      </c>
      <c r="U220" s="23"/>
      <c r="V220" s="65">
        <v>45931</v>
      </c>
      <c r="W220" s="65">
        <v>47087</v>
      </c>
      <c r="X220" s="65">
        <v>47087</v>
      </c>
      <c r="Y220" s="64" t="s">
        <v>303</v>
      </c>
      <c r="Z220" s="71"/>
      <c r="AA220" s="71"/>
      <c r="AB220" s="30">
        <v>7.8899999999999998E-2</v>
      </c>
      <c r="AC220" s="30">
        <v>2.3300000000000001E-2</v>
      </c>
      <c r="AD220" s="31">
        <v>715963515</v>
      </c>
      <c r="AE220" s="32" t="s">
        <v>1198</v>
      </c>
      <c r="AG220" s="2"/>
    </row>
    <row r="221" spans="1:33" ht="43.5" x14ac:dyDescent="0.35">
      <c r="A221" s="43" t="s">
        <v>306</v>
      </c>
      <c r="B221" s="2" t="s">
        <v>11</v>
      </c>
      <c r="C221" s="26" t="s">
        <v>20</v>
      </c>
      <c r="D221" s="2" t="s">
        <v>300</v>
      </c>
      <c r="E221" s="66" t="s">
        <v>1141</v>
      </c>
      <c r="F221" s="65">
        <v>45925</v>
      </c>
      <c r="G221" s="26" t="s">
        <v>150</v>
      </c>
      <c r="H221" s="67" t="s">
        <v>1280</v>
      </c>
      <c r="I221" s="26" t="s">
        <v>1647</v>
      </c>
      <c r="J221" s="2" t="s">
        <v>1142</v>
      </c>
      <c r="K221" s="88">
        <v>7033613</v>
      </c>
      <c r="L221" s="84">
        <v>1336387</v>
      </c>
      <c r="M221" s="85">
        <v>8370000</v>
      </c>
      <c r="N221" s="69" t="s">
        <v>302</v>
      </c>
      <c r="O221" s="3"/>
      <c r="P221" s="28">
        <f>+Tabla1513[[#This Row],[VALOR TOTAL DEL CONTRATO
(en pesos)
CON IVA
(inicial)]]+Tabla1513[[#This Row],[VALOR DE LAS ADICIONES
(en pesos)
CON IVA]]</f>
        <v>8370000</v>
      </c>
      <c r="Q221" s="37">
        <v>1</v>
      </c>
      <c r="R221" s="23" t="s">
        <v>302</v>
      </c>
      <c r="S221" s="4"/>
      <c r="T221" s="23" t="s">
        <v>302</v>
      </c>
      <c r="U221" s="23"/>
      <c r="V221" s="65">
        <v>45926</v>
      </c>
      <c r="W221" s="65">
        <v>45927</v>
      </c>
      <c r="X221" s="65">
        <v>45927</v>
      </c>
      <c r="Y221" s="64" t="s">
        <v>320</v>
      </c>
      <c r="Z221" s="71"/>
      <c r="AA221" s="71" t="s">
        <v>321</v>
      </c>
      <c r="AB221" s="30">
        <v>1</v>
      </c>
      <c r="AC221" s="30">
        <v>1</v>
      </c>
      <c r="AD221" s="31">
        <v>8370000</v>
      </c>
      <c r="AE221" s="32" t="s">
        <v>1199</v>
      </c>
      <c r="AG221" s="2"/>
    </row>
    <row r="222" spans="1:33" ht="33" customHeight="1" x14ac:dyDescent="0.35">
      <c r="A222" s="43" t="s">
        <v>306</v>
      </c>
      <c r="B222" s="2" t="s">
        <v>4</v>
      </c>
      <c r="C222" s="26" t="s">
        <v>7</v>
      </c>
      <c r="D222" s="2" t="s">
        <v>324</v>
      </c>
      <c r="E222" s="66" t="s">
        <v>1143</v>
      </c>
      <c r="F222" s="65">
        <v>45926</v>
      </c>
      <c r="G222" s="26" t="s">
        <v>150</v>
      </c>
      <c r="H222" s="67" t="s">
        <v>1144</v>
      </c>
      <c r="I222" s="26" t="s">
        <v>1622</v>
      </c>
      <c r="J222" s="2" t="s">
        <v>1071</v>
      </c>
      <c r="K222" s="88">
        <v>6021143486</v>
      </c>
      <c r="L222" s="84">
        <v>1144017262</v>
      </c>
      <c r="M222" s="85">
        <v>7165160749</v>
      </c>
      <c r="N222" s="69" t="s">
        <v>302</v>
      </c>
      <c r="O222" s="3"/>
      <c r="P222" s="28">
        <f>+Tabla1513[[#This Row],[VALOR TOTAL DEL CONTRATO
(en pesos)
CON IVA
(inicial)]]+Tabla1513[[#This Row],[VALOR DE LAS ADICIONES
(en pesos)
CON IVA]]</f>
        <v>7165160749</v>
      </c>
      <c r="Q222" s="37">
        <v>1095</v>
      </c>
      <c r="R222" s="23" t="s">
        <v>302</v>
      </c>
      <c r="S222" s="4"/>
      <c r="T222" s="23" t="s">
        <v>302</v>
      </c>
      <c r="U222" s="23"/>
      <c r="V222" s="65">
        <v>45931</v>
      </c>
      <c r="W222" s="65">
        <v>47026</v>
      </c>
      <c r="X222" s="65">
        <v>47026</v>
      </c>
      <c r="Y222" s="64" t="s">
        <v>303</v>
      </c>
      <c r="Z222" s="71"/>
      <c r="AA222" s="71"/>
      <c r="AB222" s="30">
        <v>0.09</v>
      </c>
      <c r="AC222" s="30">
        <v>0.09</v>
      </c>
      <c r="AD222" s="31">
        <v>485908475.99000001</v>
      </c>
      <c r="AE222" s="32" t="s">
        <v>1200</v>
      </c>
      <c r="AG222" s="2"/>
    </row>
    <row r="223" spans="1:33" ht="29" x14ac:dyDescent="0.35">
      <c r="A223" s="43" t="s">
        <v>306</v>
      </c>
      <c r="B223" s="2" t="s">
        <v>333</v>
      </c>
      <c r="C223" s="26" t="s">
        <v>62</v>
      </c>
      <c r="D223" s="2" t="s">
        <v>300</v>
      </c>
      <c r="E223" s="66" t="s">
        <v>1205</v>
      </c>
      <c r="F223" s="65">
        <v>45931</v>
      </c>
      <c r="G223" s="26" t="s">
        <v>150</v>
      </c>
      <c r="H223" s="67" t="s">
        <v>1241</v>
      </c>
      <c r="I223" s="26" t="s">
        <v>1457</v>
      </c>
      <c r="J223" s="2" t="s">
        <v>413</v>
      </c>
      <c r="K223" s="88">
        <v>33613445</v>
      </c>
      <c r="L223" s="84">
        <v>6386555</v>
      </c>
      <c r="M223" s="85">
        <v>40000000</v>
      </c>
      <c r="N223" s="69" t="s">
        <v>302</v>
      </c>
      <c r="O223" s="3"/>
      <c r="P223" s="28">
        <f>+Tabla1513[[#This Row],[VALOR TOTAL DEL CONTRATO
(en pesos)
CON IVA
(inicial)]]+Tabla1513[[#This Row],[VALOR DE LAS ADICIONES
(en pesos)
CON IVA]]</f>
        <v>40000000</v>
      </c>
      <c r="Q223" s="37">
        <v>60</v>
      </c>
      <c r="R223" s="23" t="s">
        <v>302</v>
      </c>
      <c r="S223" s="4"/>
      <c r="T223" s="23" t="s">
        <v>302</v>
      </c>
      <c r="U223" s="23"/>
      <c r="V223" s="65">
        <v>45931</v>
      </c>
      <c r="W223" s="65">
        <v>45991</v>
      </c>
      <c r="X223" s="65">
        <v>45991</v>
      </c>
      <c r="Y223" s="64" t="s">
        <v>342</v>
      </c>
      <c r="Z223" s="71"/>
      <c r="AA223" s="71" t="s">
        <v>321</v>
      </c>
      <c r="AB223" s="30">
        <v>1</v>
      </c>
      <c r="AC223" s="30">
        <v>1</v>
      </c>
      <c r="AD223" s="31">
        <v>40000000</v>
      </c>
      <c r="AE223" s="32" t="s">
        <v>1242</v>
      </c>
      <c r="AG223" s="2"/>
    </row>
    <row r="224" spans="1:33" ht="29" x14ac:dyDescent="0.35">
      <c r="A224" s="43" t="s">
        <v>306</v>
      </c>
      <c r="B224" s="2" t="s">
        <v>31</v>
      </c>
      <c r="C224" s="26" t="s">
        <v>34</v>
      </c>
      <c r="D224" s="2" t="s">
        <v>300</v>
      </c>
      <c r="E224" s="74" t="s">
        <v>1209</v>
      </c>
      <c r="F224" s="65">
        <v>45937</v>
      </c>
      <c r="G224" s="26" t="s">
        <v>150</v>
      </c>
      <c r="H224" s="67" t="s">
        <v>1225</v>
      </c>
      <c r="I224" s="26" t="s">
        <v>1648</v>
      </c>
      <c r="J224" s="2" t="s">
        <v>420</v>
      </c>
      <c r="K224" s="88">
        <v>45000000</v>
      </c>
      <c r="L224" s="84">
        <v>8550000</v>
      </c>
      <c r="M224" s="85">
        <v>53550000</v>
      </c>
      <c r="N224" s="69" t="s">
        <v>302</v>
      </c>
      <c r="O224" s="3"/>
      <c r="P224" s="28">
        <f>+Tabla1513[[#This Row],[VALOR TOTAL DEL CONTRATO
(en pesos)
CON IVA
(inicial)]]+Tabla1513[[#This Row],[VALOR DE LAS ADICIONES
(en pesos)
CON IVA]]</f>
        <v>53550000</v>
      </c>
      <c r="Q224" s="37">
        <v>61</v>
      </c>
      <c r="R224" s="23" t="s">
        <v>302</v>
      </c>
      <c r="S224" s="4"/>
      <c r="T224" s="23" t="s">
        <v>302</v>
      </c>
      <c r="U224" s="23"/>
      <c r="V224" s="65">
        <v>45940</v>
      </c>
      <c r="W224" s="65">
        <v>46001</v>
      </c>
      <c r="X224" s="65">
        <v>46001</v>
      </c>
      <c r="Y224" s="64" t="s">
        <v>320</v>
      </c>
      <c r="Z224" s="71"/>
      <c r="AA224" s="71" t="s">
        <v>321</v>
      </c>
      <c r="AB224" s="30">
        <v>1</v>
      </c>
      <c r="AC224" s="30">
        <v>1</v>
      </c>
      <c r="AD224" s="31">
        <v>45000000</v>
      </c>
      <c r="AE224" s="32" t="s">
        <v>1243</v>
      </c>
      <c r="AG224" s="2"/>
    </row>
    <row r="225" spans="1:33" ht="43.5" x14ac:dyDescent="0.35">
      <c r="A225" s="43" t="s">
        <v>306</v>
      </c>
      <c r="B225" s="2" t="s">
        <v>31</v>
      </c>
      <c r="C225" s="26" t="s">
        <v>35</v>
      </c>
      <c r="D225" s="2" t="s">
        <v>365</v>
      </c>
      <c r="E225" s="74" t="s">
        <v>1206</v>
      </c>
      <c r="F225" s="65">
        <v>45933</v>
      </c>
      <c r="G225" s="26" t="s">
        <v>113</v>
      </c>
      <c r="H225" s="67" t="s">
        <v>1221</v>
      </c>
      <c r="I225" s="26" t="s">
        <v>1649</v>
      </c>
      <c r="J225" s="2" t="s">
        <v>1222</v>
      </c>
      <c r="K225" s="88">
        <v>5516303</v>
      </c>
      <c r="L225" s="84">
        <v>143697</v>
      </c>
      <c r="M225" s="85">
        <v>5660000</v>
      </c>
      <c r="N225" s="69" t="s">
        <v>302</v>
      </c>
      <c r="O225" s="3"/>
      <c r="P225" s="28">
        <f>+Tabla1513[[#This Row],[VALOR TOTAL DEL CONTRATO
(en pesos)
CON IVA
(inicial)]]+Tabla1513[[#This Row],[VALOR DE LAS ADICIONES
(en pesos)
CON IVA]]</f>
        <v>5660000</v>
      </c>
      <c r="Q225" s="37">
        <v>1096</v>
      </c>
      <c r="R225" s="23" t="s">
        <v>302</v>
      </c>
      <c r="S225" s="4"/>
      <c r="T225" s="23" t="s">
        <v>302</v>
      </c>
      <c r="U225" s="23"/>
      <c r="V225" s="65">
        <v>45933</v>
      </c>
      <c r="W225" s="65">
        <v>47029</v>
      </c>
      <c r="X225" s="65">
        <v>47029</v>
      </c>
      <c r="Y225" s="64" t="s">
        <v>303</v>
      </c>
      <c r="Z225" s="71"/>
      <c r="AA225" s="71"/>
      <c r="AB225" s="30">
        <v>8.3299999999999999E-2</v>
      </c>
      <c r="AC225" s="30">
        <v>1</v>
      </c>
      <c r="AD225" s="31">
        <v>5660000</v>
      </c>
      <c r="AE225" s="32" t="s">
        <v>1244</v>
      </c>
      <c r="AG225" s="2"/>
    </row>
    <row r="226" spans="1:33" ht="29" x14ac:dyDescent="0.35">
      <c r="A226" s="43" t="s">
        <v>306</v>
      </c>
      <c r="B226" s="2" t="s">
        <v>4</v>
      </c>
      <c r="C226" s="26" t="s">
        <v>352</v>
      </c>
      <c r="D226" s="2" t="s">
        <v>300</v>
      </c>
      <c r="E226" s="66" t="s">
        <v>1207</v>
      </c>
      <c r="F226" s="65">
        <v>45946</v>
      </c>
      <c r="G226" s="26" t="s">
        <v>150</v>
      </c>
      <c r="H226" s="67" t="s">
        <v>1223</v>
      </c>
      <c r="I226" s="26" t="s">
        <v>1650</v>
      </c>
      <c r="J226" s="2" t="s">
        <v>1224</v>
      </c>
      <c r="K226" s="88">
        <v>56089537</v>
      </c>
      <c r="L226" s="84">
        <v>10657012</v>
      </c>
      <c r="M226" s="85">
        <v>66746549</v>
      </c>
      <c r="N226" s="69" t="s">
        <v>302</v>
      </c>
      <c r="O226" s="3"/>
      <c r="P226" s="28">
        <f>+Tabla1513[[#This Row],[VALOR TOTAL DEL CONTRATO
(en pesos)
CON IVA
(inicial)]]+Tabla1513[[#This Row],[VALOR DE LAS ADICIONES
(en pesos)
CON IVA]]</f>
        <v>66746549</v>
      </c>
      <c r="Q226" s="37">
        <v>364</v>
      </c>
      <c r="R226" s="23" t="s">
        <v>302</v>
      </c>
      <c r="S226" s="4"/>
      <c r="T226" s="23" t="s">
        <v>302</v>
      </c>
      <c r="U226" s="23"/>
      <c r="V226" s="65">
        <v>45958</v>
      </c>
      <c r="W226" s="65">
        <v>46322</v>
      </c>
      <c r="X226" s="65">
        <v>46322</v>
      </c>
      <c r="Y226" s="64" t="s">
        <v>303</v>
      </c>
      <c r="Z226" s="71"/>
      <c r="AA226" s="71"/>
      <c r="AB226" s="61">
        <v>0.15</v>
      </c>
      <c r="AC226" s="61">
        <v>1</v>
      </c>
      <c r="AD226" s="73">
        <v>66746549</v>
      </c>
      <c r="AE226" s="32" t="s">
        <v>1383</v>
      </c>
      <c r="AG226" s="2"/>
    </row>
    <row r="227" spans="1:33" ht="43.5" x14ac:dyDescent="0.35">
      <c r="A227" s="43" t="s">
        <v>306</v>
      </c>
      <c r="B227" s="2" t="s">
        <v>11</v>
      </c>
      <c r="C227" s="26" t="s">
        <v>18</v>
      </c>
      <c r="D227" s="2" t="s">
        <v>300</v>
      </c>
      <c r="E227" s="66" t="s">
        <v>1210</v>
      </c>
      <c r="F227" s="65">
        <v>45946</v>
      </c>
      <c r="G227" s="26" t="s">
        <v>113</v>
      </c>
      <c r="H227" s="67" t="s">
        <v>1226</v>
      </c>
      <c r="I227" s="26" t="s">
        <v>1651</v>
      </c>
      <c r="J227" s="2" t="s">
        <v>422</v>
      </c>
      <c r="K227" s="88">
        <v>29990000</v>
      </c>
      <c r="L227" s="84">
        <v>5700480</v>
      </c>
      <c r="M227" s="85">
        <v>35690480</v>
      </c>
      <c r="N227" s="69" t="s">
        <v>302</v>
      </c>
      <c r="O227" s="3"/>
      <c r="P227" s="28">
        <f>+Tabla1513[[#This Row],[VALOR TOTAL DEL CONTRATO
(en pesos)
CON IVA
(inicial)]]+Tabla1513[[#This Row],[VALOR DE LAS ADICIONES
(en pesos)
CON IVA]]</f>
        <v>35690480</v>
      </c>
      <c r="Q227" s="37">
        <v>61</v>
      </c>
      <c r="R227" s="23" t="s">
        <v>302</v>
      </c>
      <c r="S227" s="4"/>
      <c r="T227" s="23" t="s">
        <v>302</v>
      </c>
      <c r="U227" s="23"/>
      <c r="V227" s="65">
        <v>45946</v>
      </c>
      <c r="W227" s="65">
        <v>46007</v>
      </c>
      <c r="X227" s="65">
        <v>46007</v>
      </c>
      <c r="Y227" s="64" t="s">
        <v>320</v>
      </c>
      <c r="Z227" s="71"/>
      <c r="AA227" s="71" t="s">
        <v>321</v>
      </c>
      <c r="AB227" s="30">
        <v>1</v>
      </c>
      <c r="AC227" s="30">
        <v>1</v>
      </c>
      <c r="AD227" s="31">
        <v>35690480</v>
      </c>
      <c r="AE227" s="32" t="s">
        <v>1382</v>
      </c>
      <c r="AG227" s="2"/>
    </row>
    <row r="228" spans="1:33" ht="29" x14ac:dyDescent="0.35">
      <c r="A228" s="43" t="s">
        <v>306</v>
      </c>
      <c r="B228" s="2" t="s">
        <v>11</v>
      </c>
      <c r="C228" s="26" t="s">
        <v>335</v>
      </c>
      <c r="D228" s="2" t="s">
        <v>300</v>
      </c>
      <c r="E228" s="66" t="s">
        <v>1211</v>
      </c>
      <c r="F228" s="65">
        <v>45950</v>
      </c>
      <c r="G228" s="26" t="s">
        <v>150</v>
      </c>
      <c r="H228" s="67" t="s">
        <v>1279</v>
      </c>
      <c r="I228" s="26" t="s">
        <v>1652</v>
      </c>
      <c r="J228" s="2" t="s">
        <v>1227</v>
      </c>
      <c r="K228" s="88">
        <v>120000000</v>
      </c>
      <c r="L228" s="84">
        <v>0</v>
      </c>
      <c r="M228" s="85">
        <v>120000000</v>
      </c>
      <c r="N228" s="69" t="s">
        <v>302</v>
      </c>
      <c r="O228" s="3"/>
      <c r="P228" s="28">
        <f>+Tabla1513[[#This Row],[VALOR TOTAL DEL CONTRATO
(en pesos)
CON IVA
(inicial)]]+Tabla1513[[#This Row],[VALOR DE LAS ADICIONES
(en pesos)
CON IVA]]</f>
        <v>120000000</v>
      </c>
      <c r="Q228" s="37">
        <v>364</v>
      </c>
      <c r="R228" s="23" t="s">
        <v>302</v>
      </c>
      <c r="S228" s="4"/>
      <c r="T228" s="23" t="s">
        <v>302</v>
      </c>
      <c r="U228" s="23"/>
      <c r="V228" s="65">
        <v>45957</v>
      </c>
      <c r="W228" s="65">
        <v>46321</v>
      </c>
      <c r="X228" s="65">
        <v>46321</v>
      </c>
      <c r="Y228" s="64" t="s">
        <v>303</v>
      </c>
      <c r="Z228" s="71"/>
      <c r="AA228" s="71"/>
      <c r="AB228" s="30">
        <v>0.16</v>
      </c>
      <c r="AC228" s="30">
        <v>0.16</v>
      </c>
      <c r="AD228" s="31">
        <v>20000000</v>
      </c>
      <c r="AE228" s="32" t="s">
        <v>1384</v>
      </c>
      <c r="AG228" s="2"/>
    </row>
    <row r="229" spans="1:33" ht="43.5" x14ac:dyDescent="0.35">
      <c r="A229" s="43" t="s">
        <v>306</v>
      </c>
      <c r="B229" s="2" t="s">
        <v>11</v>
      </c>
      <c r="C229" s="26" t="s">
        <v>20</v>
      </c>
      <c r="D229" s="2" t="s">
        <v>300</v>
      </c>
      <c r="E229" s="66" t="s">
        <v>1216</v>
      </c>
      <c r="F229" s="65">
        <v>45950</v>
      </c>
      <c r="G229" s="26" t="s">
        <v>150</v>
      </c>
      <c r="H229" s="67" t="s">
        <v>1234</v>
      </c>
      <c r="I229" s="26" t="s">
        <v>1653</v>
      </c>
      <c r="J229" s="2" t="s">
        <v>1235</v>
      </c>
      <c r="K229" s="88">
        <v>2352941</v>
      </c>
      <c r="L229" s="84">
        <v>447059</v>
      </c>
      <c r="M229" s="85">
        <v>2800000</v>
      </c>
      <c r="N229" s="69" t="s">
        <v>302</v>
      </c>
      <c r="O229" s="3"/>
      <c r="P229" s="28">
        <f>+Tabla1513[[#This Row],[VALOR TOTAL DEL CONTRATO
(en pesos)
CON IVA
(inicial)]]+Tabla1513[[#This Row],[VALOR DE LAS ADICIONES
(en pesos)
CON IVA]]</f>
        <v>2800000</v>
      </c>
      <c r="Q229" s="37">
        <v>33</v>
      </c>
      <c r="R229" s="23" t="s">
        <v>302</v>
      </c>
      <c r="S229" s="4"/>
      <c r="T229" s="23" t="s">
        <v>302</v>
      </c>
      <c r="U229" s="23"/>
      <c r="V229" s="65">
        <v>45951</v>
      </c>
      <c r="W229" s="65">
        <v>45984</v>
      </c>
      <c r="X229" s="65">
        <v>45984</v>
      </c>
      <c r="Y229" s="64" t="s">
        <v>320</v>
      </c>
      <c r="Z229" s="71"/>
      <c r="AA229" s="71" t="s">
        <v>321</v>
      </c>
      <c r="AB229" s="30">
        <v>1</v>
      </c>
      <c r="AC229" s="30">
        <v>1</v>
      </c>
      <c r="AD229" s="31">
        <v>2800000</v>
      </c>
      <c r="AE229" s="32" t="s">
        <v>1385</v>
      </c>
      <c r="AG229" s="2"/>
    </row>
    <row r="230" spans="1:33" ht="29" x14ac:dyDescent="0.35">
      <c r="A230" s="43" t="s">
        <v>306</v>
      </c>
      <c r="B230" s="2" t="s">
        <v>11</v>
      </c>
      <c r="C230" s="26" t="s">
        <v>19</v>
      </c>
      <c r="D230" s="2" t="s">
        <v>365</v>
      </c>
      <c r="E230" s="66" t="s">
        <v>1215</v>
      </c>
      <c r="F230" s="65">
        <v>45944</v>
      </c>
      <c r="G230" s="26" t="s">
        <v>113</v>
      </c>
      <c r="H230" s="67" t="s">
        <v>1232</v>
      </c>
      <c r="I230" s="26" t="s">
        <v>1654</v>
      </c>
      <c r="J230" s="2" t="s">
        <v>1233</v>
      </c>
      <c r="K230" s="88">
        <v>1400000</v>
      </c>
      <c r="L230" s="84">
        <v>266000</v>
      </c>
      <c r="M230" s="85">
        <v>1666000</v>
      </c>
      <c r="N230" s="69" t="s">
        <v>302</v>
      </c>
      <c r="O230" s="3"/>
      <c r="P230" s="28">
        <f>+Tabla1513[[#This Row],[VALOR TOTAL DEL CONTRATO
(en pesos)
CON IVA
(inicial)]]+Tabla1513[[#This Row],[VALOR DE LAS ADICIONES
(en pesos)
CON IVA]]</f>
        <v>1666000</v>
      </c>
      <c r="Q230" s="37">
        <v>45</v>
      </c>
      <c r="R230" s="23" t="s">
        <v>302</v>
      </c>
      <c r="S230" s="4"/>
      <c r="T230" s="23" t="s">
        <v>302</v>
      </c>
      <c r="U230" s="23"/>
      <c r="V230" s="65">
        <v>45944</v>
      </c>
      <c r="W230" s="65">
        <v>45989</v>
      </c>
      <c r="X230" s="65">
        <v>45989</v>
      </c>
      <c r="Y230" s="64" t="s">
        <v>320</v>
      </c>
      <c r="Z230" s="71"/>
      <c r="AA230" s="71" t="s">
        <v>321</v>
      </c>
      <c r="AB230" s="30">
        <v>1</v>
      </c>
      <c r="AC230" s="30">
        <v>1</v>
      </c>
      <c r="AD230" s="31">
        <v>1666000</v>
      </c>
      <c r="AE230" s="32" t="s">
        <v>1386</v>
      </c>
      <c r="AG230" s="2"/>
    </row>
    <row r="231" spans="1:33" ht="29" x14ac:dyDescent="0.35">
      <c r="A231" s="43" t="s">
        <v>306</v>
      </c>
      <c r="B231" s="2" t="s">
        <v>333</v>
      </c>
      <c r="C231" s="26" t="s">
        <v>63</v>
      </c>
      <c r="D231" s="2" t="s">
        <v>300</v>
      </c>
      <c r="E231" s="66" t="s">
        <v>1214</v>
      </c>
      <c r="F231" s="65">
        <v>45951</v>
      </c>
      <c r="G231" s="26" t="s">
        <v>150</v>
      </c>
      <c r="H231" s="67" t="s">
        <v>1231</v>
      </c>
      <c r="I231" s="26" t="s">
        <v>1655</v>
      </c>
      <c r="J231" s="2" t="s">
        <v>421</v>
      </c>
      <c r="K231" s="88">
        <v>400000000</v>
      </c>
      <c r="L231" s="84">
        <v>76000000</v>
      </c>
      <c r="M231" s="85">
        <v>476000000</v>
      </c>
      <c r="N231" s="69" t="s">
        <v>302</v>
      </c>
      <c r="O231" s="3"/>
      <c r="P231" s="28">
        <f>+Tabla1513[[#This Row],[VALOR TOTAL DEL CONTRATO
(en pesos)
CON IVA
(inicial)]]+Tabla1513[[#This Row],[VALOR DE LAS ADICIONES
(en pesos)
CON IVA]]</f>
        <v>476000000</v>
      </c>
      <c r="Q231" s="37">
        <v>364</v>
      </c>
      <c r="R231" s="23" t="s">
        <v>302</v>
      </c>
      <c r="S231" s="4"/>
      <c r="T231" s="23" t="s">
        <v>302</v>
      </c>
      <c r="U231" s="23"/>
      <c r="V231" s="65">
        <v>45957</v>
      </c>
      <c r="W231" s="65">
        <v>46321</v>
      </c>
      <c r="X231" s="65">
        <v>46321</v>
      </c>
      <c r="Y231" s="64" t="s">
        <v>303</v>
      </c>
      <c r="Z231" s="71"/>
      <c r="AA231" s="71"/>
      <c r="AB231" s="30">
        <v>0.24199999999999999</v>
      </c>
      <c r="AC231" s="30">
        <v>0.24199999999999999</v>
      </c>
      <c r="AD231" s="31">
        <v>114192000</v>
      </c>
      <c r="AE231" s="32" t="s">
        <v>1387</v>
      </c>
      <c r="AG231" s="2"/>
    </row>
    <row r="232" spans="1:33" ht="29" x14ac:dyDescent="0.35">
      <c r="A232" s="43" t="s">
        <v>306</v>
      </c>
      <c r="B232" s="2" t="s">
        <v>11</v>
      </c>
      <c r="C232" s="26" t="s">
        <v>335</v>
      </c>
      <c r="D232" s="2" t="s">
        <v>300</v>
      </c>
      <c r="E232" s="66" t="s">
        <v>1208</v>
      </c>
      <c r="F232" s="65">
        <v>45951</v>
      </c>
      <c r="G232" s="26" t="s">
        <v>150</v>
      </c>
      <c r="H232" s="67" t="s">
        <v>1277</v>
      </c>
      <c r="I232" s="26" t="s">
        <v>1592</v>
      </c>
      <c r="J232" s="2" t="s">
        <v>887</v>
      </c>
      <c r="K232" s="88">
        <v>148294944</v>
      </c>
      <c r="L232" s="84">
        <v>0</v>
      </c>
      <c r="M232" s="85">
        <v>148294944</v>
      </c>
      <c r="N232" s="69" t="s">
        <v>302</v>
      </c>
      <c r="O232" s="3"/>
      <c r="P232" s="28">
        <f>+Tabla1513[[#This Row],[VALOR TOTAL DEL CONTRATO
(en pesos)
CON IVA
(inicial)]]+Tabla1513[[#This Row],[VALOR DE LAS ADICIONES
(en pesos)
CON IVA]]</f>
        <v>148294944</v>
      </c>
      <c r="Q232" s="37">
        <v>364</v>
      </c>
      <c r="R232" s="23" t="s">
        <v>302</v>
      </c>
      <c r="S232" s="4"/>
      <c r="T232" s="23" t="s">
        <v>302</v>
      </c>
      <c r="U232" s="23"/>
      <c r="V232" s="65">
        <v>45957</v>
      </c>
      <c r="W232" s="65">
        <v>46321</v>
      </c>
      <c r="X232" s="65">
        <v>46321</v>
      </c>
      <c r="Y232" s="64" t="s">
        <v>303</v>
      </c>
      <c r="Z232" s="71"/>
      <c r="AA232" s="71"/>
      <c r="AB232" s="30">
        <v>0.1</v>
      </c>
      <c r="AC232" s="30">
        <v>0.1605</v>
      </c>
      <c r="AD232" s="31">
        <v>23800000</v>
      </c>
      <c r="AE232" s="32" t="s">
        <v>1388</v>
      </c>
      <c r="AG232" s="2"/>
    </row>
    <row r="233" spans="1:33" ht="43.5" x14ac:dyDescent="0.35">
      <c r="A233" s="43" t="s">
        <v>306</v>
      </c>
      <c r="B233" s="2" t="s">
        <v>329</v>
      </c>
      <c r="C233" s="26" t="s">
        <v>406</v>
      </c>
      <c r="D233" s="2" t="s">
        <v>300</v>
      </c>
      <c r="E233" s="74" t="s">
        <v>1213</v>
      </c>
      <c r="F233" s="65">
        <v>45951</v>
      </c>
      <c r="G233" s="26" t="s">
        <v>150</v>
      </c>
      <c r="H233" s="67" t="s">
        <v>1278</v>
      </c>
      <c r="I233" s="26" t="s">
        <v>1656</v>
      </c>
      <c r="J233" s="2" t="s">
        <v>1230</v>
      </c>
      <c r="K233" s="88">
        <v>16247274</v>
      </c>
      <c r="L233" s="84">
        <v>0</v>
      </c>
      <c r="M233" s="85">
        <v>16247274</v>
      </c>
      <c r="N233" s="69" t="s">
        <v>302</v>
      </c>
      <c r="O233" s="3"/>
      <c r="P233" s="28">
        <f>+Tabla1513[[#This Row],[VALOR TOTAL DEL CONTRATO
(en pesos)
CON IVA
(inicial)]]+Tabla1513[[#This Row],[VALOR DE LAS ADICIONES
(en pesos)
CON IVA]]</f>
        <v>16247274</v>
      </c>
      <c r="Q233" s="37">
        <v>47</v>
      </c>
      <c r="R233" s="23" t="s">
        <v>302</v>
      </c>
      <c r="S233" s="4"/>
      <c r="T233" s="23" t="s">
        <v>302</v>
      </c>
      <c r="U233" s="23"/>
      <c r="V233" s="65">
        <v>45975</v>
      </c>
      <c r="W233" s="65">
        <v>46022</v>
      </c>
      <c r="X233" s="65">
        <v>46022</v>
      </c>
      <c r="Y233" s="64" t="s">
        <v>320</v>
      </c>
      <c r="Z233" s="71"/>
      <c r="AA233" s="71" t="s">
        <v>321</v>
      </c>
      <c r="AB233" s="30">
        <v>0.35420000000000001</v>
      </c>
      <c r="AC233" s="30">
        <v>0.19120000000000001</v>
      </c>
      <c r="AD233" s="31">
        <v>3106974</v>
      </c>
      <c r="AE233" s="32" t="s">
        <v>1389</v>
      </c>
      <c r="AG233" s="2"/>
    </row>
    <row r="234" spans="1:33" ht="58" x14ac:dyDescent="0.35">
      <c r="A234" s="43" t="s">
        <v>306</v>
      </c>
      <c r="B234" s="2" t="s">
        <v>11</v>
      </c>
      <c r="C234" s="26" t="s">
        <v>20</v>
      </c>
      <c r="D234" s="2" t="s">
        <v>300</v>
      </c>
      <c r="E234" s="66" t="s">
        <v>1219</v>
      </c>
      <c r="F234" s="65">
        <v>45952</v>
      </c>
      <c r="G234" s="26" t="s">
        <v>150</v>
      </c>
      <c r="H234" s="67" t="s">
        <v>1238</v>
      </c>
      <c r="I234" s="26" t="s">
        <v>1657</v>
      </c>
      <c r="J234" s="2" t="s">
        <v>428</v>
      </c>
      <c r="K234" s="88">
        <v>17470500</v>
      </c>
      <c r="L234" s="84">
        <v>3319395</v>
      </c>
      <c r="M234" s="85">
        <v>20789895</v>
      </c>
      <c r="N234" s="69" t="s">
        <v>302</v>
      </c>
      <c r="O234" s="3"/>
      <c r="P234" s="28">
        <f>+Tabla1513[[#This Row],[VALOR TOTAL DEL CONTRATO
(en pesos)
CON IVA
(inicial)]]+Tabla1513[[#This Row],[VALOR DE LAS ADICIONES
(en pesos)
CON IVA]]</f>
        <v>20789895</v>
      </c>
      <c r="Q234" s="37">
        <v>2</v>
      </c>
      <c r="R234" s="23" t="s">
        <v>302</v>
      </c>
      <c r="S234" s="4"/>
      <c r="T234" s="23" t="s">
        <v>302</v>
      </c>
      <c r="U234" s="23"/>
      <c r="V234" s="65">
        <v>45966</v>
      </c>
      <c r="W234" s="65">
        <v>45968</v>
      </c>
      <c r="X234" s="65">
        <v>45968</v>
      </c>
      <c r="Y234" s="64" t="s">
        <v>320</v>
      </c>
      <c r="Z234" s="71"/>
      <c r="AA234" s="71" t="s">
        <v>321</v>
      </c>
      <c r="AB234" s="30">
        <v>1</v>
      </c>
      <c r="AC234" s="30">
        <v>0.67</v>
      </c>
      <c r="AD234" s="31">
        <v>13860000.0196</v>
      </c>
      <c r="AE234" s="32" t="s">
        <v>1390</v>
      </c>
      <c r="AG234" s="2"/>
    </row>
    <row r="235" spans="1:33" ht="29" x14ac:dyDescent="0.35">
      <c r="A235" s="43" t="s">
        <v>306</v>
      </c>
      <c r="B235" s="2" t="s">
        <v>11</v>
      </c>
      <c r="C235" s="26" t="s">
        <v>335</v>
      </c>
      <c r="D235" s="2" t="s">
        <v>300</v>
      </c>
      <c r="E235" s="66" t="s">
        <v>1217</v>
      </c>
      <c r="F235" s="65">
        <v>45954</v>
      </c>
      <c r="G235" s="26" t="s">
        <v>150</v>
      </c>
      <c r="H235" s="67" t="s">
        <v>1276</v>
      </c>
      <c r="I235" s="26" t="s">
        <v>1658</v>
      </c>
      <c r="J235" s="2" t="s">
        <v>1236</v>
      </c>
      <c r="K235" s="88">
        <v>15500000</v>
      </c>
      <c r="L235" s="84">
        <v>0</v>
      </c>
      <c r="M235" s="85">
        <v>15500000</v>
      </c>
      <c r="N235" s="69" t="s">
        <v>302</v>
      </c>
      <c r="O235" s="3"/>
      <c r="P235" s="28">
        <f>+Tabla1513[[#This Row],[VALOR TOTAL DEL CONTRATO
(en pesos)
CON IVA
(inicial)]]+Tabla1513[[#This Row],[VALOR DE LAS ADICIONES
(en pesos)
CON IVA]]</f>
        <v>15500000</v>
      </c>
      <c r="Q235" s="37">
        <v>54</v>
      </c>
      <c r="R235" s="23" t="s">
        <v>302</v>
      </c>
      <c r="S235" s="4"/>
      <c r="T235" s="23" t="s">
        <v>302</v>
      </c>
      <c r="U235" s="23"/>
      <c r="V235" s="65">
        <v>45968</v>
      </c>
      <c r="W235" s="65">
        <v>46022</v>
      </c>
      <c r="X235" s="65">
        <v>46022</v>
      </c>
      <c r="Y235" s="64" t="s">
        <v>325</v>
      </c>
      <c r="Z235" s="71"/>
      <c r="AA235" s="71" t="s">
        <v>321</v>
      </c>
      <c r="AB235" s="30">
        <v>1</v>
      </c>
      <c r="AC235" s="30">
        <v>1</v>
      </c>
      <c r="AD235" s="31">
        <v>15500000</v>
      </c>
      <c r="AE235" s="32" t="s">
        <v>1391</v>
      </c>
      <c r="AG235" s="2"/>
    </row>
    <row r="236" spans="1:33" ht="29" x14ac:dyDescent="0.35">
      <c r="A236" s="43" t="s">
        <v>306</v>
      </c>
      <c r="B236" s="2" t="s">
        <v>11</v>
      </c>
      <c r="C236" s="26" t="s">
        <v>335</v>
      </c>
      <c r="D236" s="2" t="s">
        <v>300</v>
      </c>
      <c r="E236" s="66" t="s">
        <v>1218</v>
      </c>
      <c r="F236" s="65">
        <v>45957</v>
      </c>
      <c r="G236" s="26" t="s">
        <v>150</v>
      </c>
      <c r="H236" s="67" t="s">
        <v>1275</v>
      </c>
      <c r="I236" s="26" t="s">
        <v>1659</v>
      </c>
      <c r="J236" s="2" t="s">
        <v>1237</v>
      </c>
      <c r="K236" s="88">
        <v>20000000</v>
      </c>
      <c r="L236" s="84">
        <v>0</v>
      </c>
      <c r="M236" s="85">
        <v>20000000</v>
      </c>
      <c r="N236" s="69" t="s">
        <v>302</v>
      </c>
      <c r="O236" s="3"/>
      <c r="P236" s="28">
        <f>+Tabla1513[[#This Row],[VALOR TOTAL DEL CONTRATO
(en pesos)
CON IVA
(inicial)]]+Tabla1513[[#This Row],[VALOR DE LAS ADICIONES
(en pesos)
CON IVA]]</f>
        <v>20000000</v>
      </c>
      <c r="Q236" s="37">
        <v>54</v>
      </c>
      <c r="R236" s="23" t="s">
        <v>302</v>
      </c>
      <c r="S236" s="4"/>
      <c r="T236" s="23" t="s">
        <v>302</v>
      </c>
      <c r="U236" s="23"/>
      <c r="V236" s="65">
        <v>45968</v>
      </c>
      <c r="W236" s="65">
        <v>46022</v>
      </c>
      <c r="X236" s="65">
        <v>46022</v>
      </c>
      <c r="Y236" s="64" t="s">
        <v>325</v>
      </c>
      <c r="Z236" s="71"/>
      <c r="AA236" s="71" t="s">
        <v>321</v>
      </c>
      <c r="AB236" s="30">
        <v>1</v>
      </c>
      <c r="AC236" s="30">
        <v>1</v>
      </c>
      <c r="AD236" s="31">
        <v>20000000</v>
      </c>
      <c r="AE236" s="32" t="s">
        <v>1392</v>
      </c>
      <c r="AG236" s="2"/>
    </row>
    <row r="237" spans="1:33" ht="29" x14ac:dyDescent="0.35">
      <c r="A237" s="43" t="s">
        <v>306</v>
      </c>
      <c r="B237" s="2" t="s">
        <v>4</v>
      </c>
      <c r="C237" s="26" t="s">
        <v>352</v>
      </c>
      <c r="D237" s="2" t="s">
        <v>300</v>
      </c>
      <c r="E237" s="66" t="s">
        <v>1212</v>
      </c>
      <c r="F237" s="65">
        <v>45958</v>
      </c>
      <c r="G237" s="26" t="s">
        <v>150</v>
      </c>
      <c r="H237" s="67" t="s">
        <v>1228</v>
      </c>
      <c r="I237" s="26" t="s">
        <v>1660</v>
      </c>
      <c r="J237" s="2" t="s">
        <v>1229</v>
      </c>
      <c r="K237" s="88">
        <v>28715613</v>
      </c>
      <c r="L237" s="84">
        <v>5455966</v>
      </c>
      <c r="M237" s="85">
        <v>34171579</v>
      </c>
      <c r="N237" s="69" t="s">
        <v>302</v>
      </c>
      <c r="O237" s="3"/>
      <c r="P237" s="28">
        <f>+Tabla1513[[#This Row],[VALOR TOTAL DEL CONTRATO
(en pesos)
CON IVA
(inicial)]]+Tabla1513[[#This Row],[VALOR DE LAS ADICIONES
(en pesos)
CON IVA]]</f>
        <v>34171579</v>
      </c>
      <c r="Q237" s="37">
        <v>364</v>
      </c>
      <c r="R237" s="23" t="s">
        <v>302</v>
      </c>
      <c r="S237" s="4"/>
      <c r="T237" s="23" t="s">
        <v>302</v>
      </c>
      <c r="U237" s="23"/>
      <c r="V237" s="65">
        <v>45973</v>
      </c>
      <c r="W237" s="65">
        <v>46337</v>
      </c>
      <c r="X237" s="65">
        <v>46337</v>
      </c>
      <c r="Y237" s="64" t="s">
        <v>303</v>
      </c>
      <c r="Z237" s="71"/>
      <c r="AA237" s="71"/>
      <c r="AB237" s="61">
        <v>0.11</v>
      </c>
      <c r="AC237" s="61">
        <v>0.46</v>
      </c>
      <c r="AD237" s="62">
        <v>17023303.190000001</v>
      </c>
      <c r="AE237" s="32" t="s">
        <v>1393</v>
      </c>
      <c r="AG237" s="2"/>
    </row>
    <row r="238" spans="1:33" ht="43.5" x14ac:dyDescent="0.35">
      <c r="A238" s="43" t="s">
        <v>306</v>
      </c>
      <c r="B238" s="2" t="s">
        <v>11</v>
      </c>
      <c r="C238" s="26" t="s">
        <v>20</v>
      </c>
      <c r="D238" s="2" t="s">
        <v>300</v>
      </c>
      <c r="E238" s="66" t="s">
        <v>1220</v>
      </c>
      <c r="F238" s="65">
        <v>45958</v>
      </c>
      <c r="G238" s="26" t="s">
        <v>150</v>
      </c>
      <c r="H238" s="67" t="s">
        <v>1239</v>
      </c>
      <c r="I238" s="26" t="s">
        <v>1661</v>
      </c>
      <c r="J238" s="2" t="s">
        <v>372</v>
      </c>
      <c r="K238" s="88">
        <v>13000000</v>
      </c>
      <c r="L238" s="84">
        <v>0</v>
      </c>
      <c r="M238" s="85">
        <v>13000000</v>
      </c>
      <c r="N238" s="69" t="s">
        <v>302</v>
      </c>
      <c r="O238" s="3"/>
      <c r="P238" s="28">
        <f>+Tabla1513[[#This Row],[VALOR TOTAL DEL CONTRATO
(en pesos)
CON IVA
(inicial)]]+Tabla1513[[#This Row],[VALOR DE LAS ADICIONES
(en pesos)
CON IVA]]</f>
        <v>13000000</v>
      </c>
      <c r="Q238" s="37">
        <v>2</v>
      </c>
      <c r="R238" s="23" t="s">
        <v>302</v>
      </c>
      <c r="S238" s="4"/>
      <c r="T238" s="23" t="s">
        <v>302</v>
      </c>
      <c r="U238" s="23"/>
      <c r="V238" s="65">
        <v>45959</v>
      </c>
      <c r="W238" s="65">
        <v>45961</v>
      </c>
      <c r="X238" s="65">
        <v>45961</v>
      </c>
      <c r="Y238" s="64" t="s">
        <v>320</v>
      </c>
      <c r="Z238" s="71"/>
      <c r="AA238" s="71" t="s">
        <v>321</v>
      </c>
      <c r="AB238" s="30">
        <v>1</v>
      </c>
      <c r="AC238" s="30">
        <v>1</v>
      </c>
      <c r="AD238" s="31">
        <v>13000000</v>
      </c>
      <c r="AE238" s="32" t="s">
        <v>1269</v>
      </c>
      <c r="AG238" s="2"/>
    </row>
    <row r="239" spans="1:33" ht="43.5" x14ac:dyDescent="0.35">
      <c r="A239" s="43" t="s">
        <v>306</v>
      </c>
      <c r="B239" s="2" t="s">
        <v>327</v>
      </c>
      <c r="C239" s="26" t="s">
        <v>1257</v>
      </c>
      <c r="D239" s="2" t="s">
        <v>300</v>
      </c>
      <c r="E239" s="66" t="s">
        <v>1246</v>
      </c>
      <c r="F239" s="65">
        <v>45958</v>
      </c>
      <c r="G239" s="26" t="s">
        <v>150</v>
      </c>
      <c r="H239" s="67" t="s">
        <v>1274</v>
      </c>
      <c r="I239" s="26" t="s">
        <v>1662</v>
      </c>
      <c r="J239" s="2" t="s">
        <v>343</v>
      </c>
      <c r="K239" s="88">
        <v>195737163</v>
      </c>
      <c r="L239" s="84">
        <v>37190061</v>
      </c>
      <c r="M239" s="85">
        <v>232927224</v>
      </c>
      <c r="N239" s="69" t="s">
        <v>302</v>
      </c>
      <c r="O239" s="3"/>
      <c r="P239" s="28">
        <f>+Tabla1513[[#This Row],[VALOR TOTAL DEL CONTRATO
(en pesos)
CON IVA
(inicial)]]+Tabla1513[[#This Row],[VALOR DE LAS ADICIONES
(en pesos)
CON IVA]]</f>
        <v>232927224</v>
      </c>
      <c r="Q239" s="37">
        <v>1095</v>
      </c>
      <c r="R239" s="23" t="s">
        <v>302</v>
      </c>
      <c r="S239" s="4"/>
      <c r="T239" s="23" t="s">
        <v>302</v>
      </c>
      <c r="U239" s="23"/>
      <c r="V239" s="65">
        <v>46023</v>
      </c>
      <c r="W239" s="65">
        <v>47118</v>
      </c>
      <c r="X239" s="65">
        <v>47118</v>
      </c>
      <c r="Y239" s="64" t="s">
        <v>303</v>
      </c>
      <c r="Z239" s="71"/>
      <c r="AA239" s="71"/>
      <c r="AB239" s="61">
        <v>0</v>
      </c>
      <c r="AC239" s="61">
        <v>0</v>
      </c>
      <c r="AD239" s="62">
        <v>0</v>
      </c>
      <c r="AE239" s="32" t="s">
        <v>1405</v>
      </c>
      <c r="AG239" s="2"/>
    </row>
    <row r="240" spans="1:33" ht="29" x14ac:dyDescent="0.35">
      <c r="A240" s="43" t="s">
        <v>306</v>
      </c>
      <c r="B240" s="2" t="s">
        <v>322</v>
      </c>
      <c r="C240" s="26" t="s">
        <v>68</v>
      </c>
      <c r="D240" s="2" t="s">
        <v>324</v>
      </c>
      <c r="E240" s="66" t="s">
        <v>1247</v>
      </c>
      <c r="F240" s="65">
        <v>45961</v>
      </c>
      <c r="G240" s="26" t="s">
        <v>150</v>
      </c>
      <c r="H240" s="67" t="s">
        <v>1273</v>
      </c>
      <c r="I240" s="26" t="s">
        <v>1663</v>
      </c>
      <c r="J240" s="2" t="s">
        <v>1263</v>
      </c>
      <c r="K240" s="88">
        <v>1675802881</v>
      </c>
      <c r="L240" s="84">
        <v>318402548</v>
      </c>
      <c r="M240" s="85">
        <v>1994205429</v>
      </c>
      <c r="N240" s="69" t="s">
        <v>302</v>
      </c>
      <c r="O240" s="3"/>
      <c r="P240" s="28">
        <f>+Tabla1513[[#This Row],[VALOR TOTAL DEL CONTRATO
(en pesos)
CON IVA
(inicial)]]+Tabla1513[[#This Row],[VALOR DE LAS ADICIONES
(en pesos)
CON IVA]]</f>
        <v>1994205429</v>
      </c>
      <c r="Q240" s="37">
        <v>730</v>
      </c>
      <c r="R240" s="23" t="s">
        <v>302</v>
      </c>
      <c r="S240" s="4"/>
      <c r="T240" s="23" t="s">
        <v>302</v>
      </c>
      <c r="U240" s="23"/>
      <c r="V240" s="65">
        <v>45962</v>
      </c>
      <c r="W240" s="65">
        <v>46691</v>
      </c>
      <c r="X240" s="65">
        <v>46691</v>
      </c>
      <c r="Y240" s="64" t="s">
        <v>303</v>
      </c>
      <c r="Z240" s="71"/>
      <c r="AA240" s="71"/>
      <c r="AB240" s="30">
        <v>0.08</v>
      </c>
      <c r="AC240" s="30">
        <v>0.04</v>
      </c>
      <c r="AD240" s="31">
        <v>72657141</v>
      </c>
      <c r="AE240" s="32" t="s">
        <v>1406</v>
      </c>
      <c r="AG240" s="2"/>
    </row>
    <row r="241" spans="1:33" ht="29" x14ac:dyDescent="0.35">
      <c r="A241" s="43" t="s">
        <v>306</v>
      </c>
      <c r="B241" s="2" t="s">
        <v>11</v>
      </c>
      <c r="C241" s="26" t="s">
        <v>335</v>
      </c>
      <c r="D241" s="2" t="s">
        <v>300</v>
      </c>
      <c r="E241" s="66" t="s">
        <v>1248</v>
      </c>
      <c r="F241" s="65">
        <v>45965</v>
      </c>
      <c r="G241" s="26" t="s">
        <v>150</v>
      </c>
      <c r="H241" s="67" t="s">
        <v>1259</v>
      </c>
      <c r="I241" s="26" t="s">
        <v>1664</v>
      </c>
      <c r="J241" s="2" t="s">
        <v>1264</v>
      </c>
      <c r="K241" s="88">
        <v>87040000</v>
      </c>
      <c r="L241" s="84">
        <v>16537600</v>
      </c>
      <c r="M241" s="85">
        <v>103577600</v>
      </c>
      <c r="N241" s="69" t="s">
        <v>302</v>
      </c>
      <c r="O241" s="3"/>
      <c r="P241" s="28">
        <f>+Tabla1513[[#This Row],[VALOR TOTAL DEL CONTRATO
(en pesos)
CON IVA
(inicial)]]+Tabla1513[[#This Row],[VALOR DE LAS ADICIONES
(en pesos)
CON IVA]]</f>
        <v>103577600</v>
      </c>
      <c r="Q241" s="37">
        <v>49</v>
      </c>
      <c r="R241" s="23" t="s">
        <v>302</v>
      </c>
      <c r="S241" s="4"/>
      <c r="T241" s="23" t="s">
        <v>302</v>
      </c>
      <c r="U241" s="23"/>
      <c r="V241" s="65">
        <v>45973</v>
      </c>
      <c r="W241" s="65">
        <v>46022</v>
      </c>
      <c r="X241" s="65">
        <v>46022</v>
      </c>
      <c r="Y241" s="64" t="s">
        <v>325</v>
      </c>
      <c r="Z241" s="71"/>
      <c r="AA241" s="71" t="s">
        <v>321</v>
      </c>
      <c r="AB241" s="30">
        <v>1</v>
      </c>
      <c r="AC241" s="30">
        <v>10</v>
      </c>
      <c r="AD241" s="31">
        <v>103577600</v>
      </c>
      <c r="AE241" s="32" t="s">
        <v>1270</v>
      </c>
      <c r="AG241" s="2"/>
    </row>
    <row r="242" spans="1:33" ht="29" x14ac:dyDescent="0.35">
      <c r="A242" s="43" t="s">
        <v>306</v>
      </c>
      <c r="B242" s="2" t="s">
        <v>298</v>
      </c>
      <c r="C242" s="26" t="s">
        <v>25</v>
      </c>
      <c r="D242" s="2" t="s">
        <v>365</v>
      </c>
      <c r="E242" s="66" t="s">
        <v>1254</v>
      </c>
      <c r="F242" s="65">
        <v>45966</v>
      </c>
      <c r="G242" s="26" t="s">
        <v>150</v>
      </c>
      <c r="H242" s="67" t="s">
        <v>1262</v>
      </c>
      <c r="I242" s="26" t="s">
        <v>1665</v>
      </c>
      <c r="J242" s="2" t="s">
        <v>401</v>
      </c>
      <c r="K242" s="88">
        <v>3880000</v>
      </c>
      <c r="L242" s="84">
        <v>737200</v>
      </c>
      <c r="M242" s="85">
        <v>4617200</v>
      </c>
      <c r="N242" s="69" t="s">
        <v>302</v>
      </c>
      <c r="O242" s="3"/>
      <c r="P242" s="28">
        <f>+Tabla1513[[#This Row],[VALOR TOTAL DEL CONTRATO
(en pesos)
CON IVA
(inicial)]]+Tabla1513[[#This Row],[VALOR DE LAS ADICIONES
(en pesos)
CON IVA]]</f>
        <v>4617200</v>
      </c>
      <c r="Q242" s="37">
        <v>1</v>
      </c>
      <c r="R242" s="23" t="s">
        <v>302</v>
      </c>
      <c r="S242" s="4"/>
      <c r="T242" s="23" t="s">
        <v>302</v>
      </c>
      <c r="U242" s="23"/>
      <c r="V242" s="65">
        <v>45966</v>
      </c>
      <c r="W242" s="65">
        <v>45967</v>
      </c>
      <c r="X242" s="65">
        <v>45967</v>
      </c>
      <c r="Y242" s="64" t="s">
        <v>320</v>
      </c>
      <c r="Z242" s="71"/>
      <c r="AA242" s="71" t="s">
        <v>321</v>
      </c>
      <c r="AB242" s="61">
        <v>1</v>
      </c>
      <c r="AC242" s="61">
        <v>1</v>
      </c>
      <c r="AD242" s="62">
        <v>4617200</v>
      </c>
      <c r="AE242" s="32" t="s">
        <v>1281</v>
      </c>
      <c r="AG242" s="2"/>
    </row>
    <row r="243" spans="1:33" ht="29" x14ac:dyDescent="0.35">
      <c r="A243" s="43" t="s">
        <v>306</v>
      </c>
      <c r="B243" s="2" t="s">
        <v>11</v>
      </c>
      <c r="C243" s="26" t="s">
        <v>19</v>
      </c>
      <c r="D243" s="2" t="s">
        <v>300</v>
      </c>
      <c r="E243" s="66" t="s">
        <v>1252</v>
      </c>
      <c r="F243" s="65">
        <v>45967</v>
      </c>
      <c r="G243" s="26" t="s">
        <v>150</v>
      </c>
      <c r="H243" s="67" t="s">
        <v>1260</v>
      </c>
      <c r="I243" s="26" t="s">
        <v>1666</v>
      </c>
      <c r="J243" s="2" t="s">
        <v>427</v>
      </c>
      <c r="K243" s="88">
        <v>51619994</v>
      </c>
      <c r="L243" s="84">
        <v>9807799</v>
      </c>
      <c r="M243" s="85">
        <v>61427793</v>
      </c>
      <c r="N243" s="69" t="s">
        <v>302</v>
      </c>
      <c r="O243" s="3"/>
      <c r="P243" s="28">
        <f>+Tabla1513[[#This Row],[VALOR TOTAL DEL CONTRATO
(en pesos)
CON IVA
(inicial)]]+Tabla1513[[#This Row],[VALOR DE LAS ADICIONES
(en pesos)
CON IVA]]</f>
        <v>61427793</v>
      </c>
      <c r="Q243" s="37">
        <v>42</v>
      </c>
      <c r="R243" s="23" t="s">
        <v>302</v>
      </c>
      <c r="S243" s="4"/>
      <c r="T243" s="23" t="s">
        <v>302</v>
      </c>
      <c r="U243" s="23"/>
      <c r="V243" s="65">
        <v>45980</v>
      </c>
      <c r="W243" s="65">
        <v>46022</v>
      </c>
      <c r="X243" s="65">
        <v>46022</v>
      </c>
      <c r="Y243" s="64" t="s">
        <v>320</v>
      </c>
      <c r="Z243" s="71"/>
      <c r="AA243" s="71" t="s">
        <v>321</v>
      </c>
      <c r="AB243" s="30">
        <v>1</v>
      </c>
      <c r="AC243" s="30">
        <v>1</v>
      </c>
      <c r="AD243" s="31">
        <v>61427793</v>
      </c>
      <c r="AE243" s="32" t="s">
        <v>1394</v>
      </c>
      <c r="AG243" s="2"/>
    </row>
    <row r="244" spans="1:33" ht="43.5" x14ac:dyDescent="0.35">
      <c r="A244" s="43" t="s">
        <v>306</v>
      </c>
      <c r="B244" s="2" t="s">
        <v>31</v>
      </c>
      <c r="C244" s="26" t="s">
        <v>424</v>
      </c>
      <c r="D244" s="2" t="s">
        <v>300</v>
      </c>
      <c r="E244" s="74" t="s">
        <v>1245</v>
      </c>
      <c r="F244" s="65">
        <v>45967</v>
      </c>
      <c r="G244" s="26" t="s">
        <v>150</v>
      </c>
      <c r="H244" s="67" t="s">
        <v>1258</v>
      </c>
      <c r="I244" s="26" t="s">
        <v>1667</v>
      </c>
      <c r="J244" s="2" t="s">
        <v>425</v>
      </c>
      <c r="K244" s="88">
        <v>1357458468</v>
      </c>
      <c r="L244" s="84">
        <v>19918651</v>
      </c>
      <c r="M244" s="85">
        <v>1377377119</v>
      </c>
      <c r="N244" s="69" t="s">
        <v>302</v>
      </c>
      <c r="O244" s="3"/>
      <c r="P244" s="28">
        <f>+Tabla1513[[#This Row],[VALOR TOTAL DEL CONTRATO
(en pesos)
CON IVA
(inicial)]]+Tabla1513[[#This Row],[VALOR DE LAS ADICIONES
(en pesos)
CON IVA]]</f>
        <v>1377377119</v>
      </c>
      <c r="Q244" s="37">
        <v>1096</v>
      </c>
      <c r="R244" s="23" t="s">
        <v>302</v>
      </c>
      <c r="S244" s="4"/>
      <c r="T244" s="23" t="s">
        <v>302</v>
      </c>
      <c r="U244" s="23"/>
      <c r="V244" s="65">
        <v>45971</v>
      </c>
      <c r="W244" s="65">
        <v>47067</v>
      </c>
      <c r="X244" s="65">
        <v>47067</v>
      </c>
      <c r="Y244" s="64" t="s">
        <v>303</v>
      </c>
      <c r="Z244" s="71"/>
      <c r="AA244" s="71"/>
      <c r="AB244" s="30">
        <v>2.7799999999999998E-2</v>
      </c>
      <c r="AC244" s="30">
        <v>0.28000000000000003</v>
      </c>
      <c r="AD244" s="31">
        <v>386843820</v>
      </c>
      <c r="AE244" s="32" t="s">
        <v>1271</v>
      </c>
      <c r="AG244" s="2"/>
    </row>
    <row r="245" spans="1:33" ht="29" x14ac:dyDescent="0.35">
      <c r="A245" s="43" t="s">
        <v>306</v>
      </c>
      <c r="B245" s="2" t="s">
        <v>4</v>
      </c>
      <c r="C245" s="26" t="s">
        <v>7</v>
      </c>
      <c r="D245" s="2" t="s">
        <v>300</v>
      </c>
      <c r="E245" s="66" t="s">
        <v>1251</v>
      </c>
      <c r="F245" s="65">
        <v>45971</v>
      </c>
      <c r="G245" s="26" t="s">
        <v>150</v>
      </c>
      <c r="H245" s="67" t="s">
        <v>1373</v>
      </c>
      <c r="I245" s="26" t="s">
        <v>1586</v>
      </c>
      <c r="J245" s="2" t="s">
        <v>419</v>
      </c>
      <c r="K245" s="88">
        <v>115773500</v>
      </c>
      <c r="L245" s="84">
        <v>21996965</v>
      </c>
      <c r="M245" s="85">
        <v>137770465</v>
      </c>
      <c r="N245" s="69" t="s">
        <v>302</v>
      </c>
      <c r="O245" s="3"/>
      <c r="P245" s="28">
        <f>+Tabla1513[[#This Row],[VALOR TOTAL DEL CONTRATO
(en pesos)
CON IVA
(inicial)]]+Tabla1513[[#This Row],[VALOR DE LAS ADICIONES
(en pesos)
CON IVA]]</f>
        <v>137770465</v>
      </c>
      <c r="Q245" s="37">
        <v>41</v>
      </c>
      <c r="R245" s="23" t="s">
        <v>302</v>
      </c>
      <c r="S245" s="4"/>
      <c r="T245" s="23" t="s">
        <v>301</v>
      </c>
      <c r="U245" s="23">
        <f>+Tabla1513[[#This Row],[FECHA TERMINACIÓN DEL CONTRATO
(inicial + prórrogas)]]-Tabla1513[[#This Row],[FECHA TERMINACIÓN CONTRATO
(inicial)]]</f>
        <v>131</v>
      </c>
      <c r="V245" s="65">
        <v>45981</v>
      </c>
      <c r="W245" s="65">
        <v>46022</v>
      </c>
      <c r="X245" s="65">
        <v>46153</v>
      </c>
      <c r="Y245" s="64" t="s">
        <v>303</v>
      </c>
      <c r="Z245" s="71"/>
      <c r="AA245" s="71"/>
      <c r="AB245" s="30">
        <v>0.25</v>
      </c>
      <c r="AC245" s="30">
        <v>0.25</v>
      </c>
      <c r="AD245" s="31">
        <v>68885232.5</v>
      </c>
      <c r="AE245" s="32" t="s">
        <v>1395</v>
      </c>
      <c r="AG245" s="2"/>
    </row>
    <row r="246" spans="1:33" ht="29" x14ac:dyDescent="0.35">
      <c r="A246" s="43" t="s">
        <v>306</v>
      </c>
      <c r="B246" s="2" t="s">
        <v>333</v>
      </c>
      <c r="C246" s="26" t="s">
        <v>63</v>
      </c>
      <c r="D246" s="2" t="s">
        <v>300</v>
      </c>
      <c r="E246" s="66" t="s">
        <v>1253</v>
      </c>
      <c r="F246" s="65">
        <v>45973</v>
      </c>
      <c r="G246" s="26" t="s">
        <v>150</v>
      </c>
      <c r="H246" s="67" t="s">
        <v>1261</v>
      </c>
      <c r="I246" s="26" t="s">
        <v>1668</v>
      </c>
      <c r="J246" s="2" t="s">
        <v>1267</v>
      </c>
      <c r="K246" s="88">
        <v>150000000</v>
      </c>
      <c r="L246" s="84">
        <v>28500000</v>
      </c>
      <c r="M246" s="85">
        <v>178500000</v>
      </c>
      <c r="N246" s="69" t="s">
        <v>302</v>
      </c>
      <c r="O246" s="3"/>
      <c r="P246" s="28">
        <f>+Tabla1513[[#This Row],[VALOR TOTAL DEL CONTRATO
(en pesos)
CON IVA
(inicial)]]+Tabla1513[[#This Row],[VALOR DE LAS ADICIONES
(en pesos)
CON IVA]]</f>
        <v>178500000</v>
      </c>
      <c r="Q246" s="37">
        <v>364</v>
      </c>
      <c r="R246" s="23" t="s">
        <v>302</v>
      </c>
      <c r="S246" s="4"/>
      <c r="T246" s="23" t="s">
        <v>302</v>
      </c>
      <c r="U246" s="23"/>
      <c r="V246" s="65">
        <v>45973</v>
      </c>
      <c r="W246" s="65">
        <v>46337</v>
      </c>
      <c r="X246" s="65">
        <v>46337</v>
      </c>
      <c r="Y246" s="64" t="s">
        <v>303</v>
      </c>
      <c r="Z246" s="71"/>
      <c r="AA246" s="71"/>
      <c r="AB246" s="30">
        <v>0.1709</v>
      </c>
      <c r="AC246" s="30">
        <v>0.1709</v>
      </c>
      <c r="AD246" s="31">
        <v>30511410</v>
      </c>
      <c r="AE246" s="32" t="s">
        <v>1396</v>
      </c>
      <c r="AG246" s="2"/>
    </row>
    <row r="247" spans="1:33" ht="29" x14ac:dyDescent="0.35">
      <c r="A247" s="43" t="s">
        <v>306</v>
      </c>
      <c r="B247" s="2" t="s">
        <v>333</v>
      </c>
      <c r="C247" s="26" t="s">
        <v>63</v>
      </c>
      <c r="D247" s="2" t="s">
        <v>300</v>
      </c>
      <c r="E247" s="66" t="s">
        <v>1250</v>
      </c>
      <c r="F247" s="65">
        <v>45975</v>
      </c>
      <c r="G247" s="26" t="s">
        <v>150</v>
      </c>
      <c r="H247" s="67" t="s">
        <v>1372</v>
      </c>
      <c r="I247" s="26" t="s">
        <v>1669</v>
      </c>
      <c r="J247" s="2" t="s">
        <v>1266</v>
      </c>
      <c r="K247" s="88">
        <v>150000000</v>
      </c>
      <c r="L247" s="84">
        <v>28500000</v>
      </c>
      <c r="M247" s="85">
        <v>178500000</v>
      </c>
      <c r="N247" s="69" t="s">
        <v>302</v>
      </c>
      <c r="O247" s="3"/>
      <c r="P247" s="28">
        <f>+Tabla1513[[#This Row],[VALOR TOTAL DEL CONTRATO
(en pesos)
CON IVA
(inicial)]]+Tabla1513[[#This Row],[VALOR DE LAS ADICIONES
(en pesos)
CON IVA]]</f>
        <v>178500000</v>
      </c>
      <c r="Q247" s="37">
        <v>364</v>
      </c>
      <c r="R247" s="23" t="s">
        <v>302</v>
      </c>
      <c r="S247" s="4"/>
      <c r="T247" s="23" t="s">
        <v>302</v>
      </c>
      <c r="U247" s="23"/>
      <c r="V247" s="65">
        <v>45975</v>
      </c>
      <c r="W247" s="65">
        <v>46339</v>
      </c>
      <c r="X247" s="65">
        <v>46339</v>
      </c>
      <c r="Y247" s="64" t="s">
        <v>303</v>
      </c>
      <c r="Z247" s="71"/>
      <c r="AA247" s="71"/>
      <c r="AB247" s="30">
        <v>0.88290000000000002</v>
      </c>
      <c r="AC247" s="30">
        <v>0.88290000000000002</v>
      </c>
      <c r="AD247" s="31">
        <v>157604366</v>
      </c>
      <c r="AE247" s="32" t="s">
        <v>1397</v>
      </c>
      <c r="AG247" s="2"/>
    </row>
    <row r="248" spans="1:33" ht="29" x14ac:dyDescent="0.35">
      <c r="A248" s="43" t="s">
        <v>306</v>
      </c>
      <c r="B248" s="2" t="s">
        <v>333</v>
      </c>
      <c r="C248" s="26" t="s">
        <v>63</v>
      </c>
      <c r="D248" s="2" t="s">
        <v>300</v>
      </c>
      <c r="E248" s="66" t="s">
        <v>1249</v>
      </c>
      <c r="F248" s="65">
        <v>45975</v>
      </c>
      <c r="G248" s="26" t="s">
        <v>150</v>
      </c>
      <c r="H248" s="67" t="s">
        <v>1371</v>
      </c>
      <c r="I248" s="26" t="s">
        <v>1670</v>
      </c>
      <c r="J248" s="2" t="s">
        <v>1265</v>
      </c>
      <c r="K248" s="88">
        <v>150000000</v>
      </c>
      <c r="L248" s="84">
        <v>28500000</v>
      </c>
      <c r="M248" s="85">
        <v>178500000</v>
      </c>
      <c r="N248" s="69" t="s">
        <v>302</v>
      </c>
      <c r="O248" s="3"/>
      <c r="P248" s="28">
        <f>+Tabla1513[[#This Row],[VALOR TOTAL DEL CONTRATO
(en pesos)
CON IVA
(inicial)]]+Tabla1513[[#This Row],[VALOR DE LAS ADICIONES
(en pesos)
CON IVA]]</f>
        <v>178500000</v>
      </c>
      <c r="Q248" s="37">
        <v>364</v>
      </c>
      <c r="R248" s="23" t="s">
        <v>302</v>
      </c>
      <c r="S248" s="4"/>
      <c r="T248" s="23" t="s">
        <v>302</v>
      </c>
      <c r="U248" s="23"/>
      <c r="V248" s="65">
        <v>45975</v>
      </c>
      <c r="W248" s="65">
        <v>46339</v>
      </c>
      <c r="X248" s="65">
        <v>46339</v>
      </c>
      <c r="Y248" s="64" t="s">
        <v>303</v>
      </c>
      <c r="Z248" s="71"/>
      <c r="AA248" s="71"/>
      <c r="AB248" s="30">
        <v>1.6769000000000001</v>
      </c>
      <c r="AC248" s="30">
        <v>1.6769000000000001</v>
      </c>
      <c r="AD248" s="31">
        <v>299320700</v>
      </c>
      <c r="AE248" s="32" t="s">
        <v>1398</v>
      </c>
      <c r="AG248" s="2"/>
    </row>
    <row r="249" spans="1:33" ht="29" x14ac:dyDescent="0.35">
      <c r="A249" s="43" t="s">
        <v>306</v>
      </c>
      <c r="B249" s="2" t="s">
        <v>11</v>
      </c>
      <c r="C249" s="26" t="s">
        <v>19</v>
      </c>
      <c r="D249" s="2" t="s">
        <v>365</v>
      </c>
      <c r="E249" s="66" t="s">
        <v>1255</v>
      </c>
      <c r="F249" s="65">
        <v>45981</v>
      </c>
      <c r="G249" s="26" t="s">
        <v>150</v>
      </c>
      <c r="H249" s="67" t="s">
        <v>1370</v>
      </c>
      <c r="I249" s="26" t="s">
        <v>1671</v>
      </c>
      <c r="J249" s="2" t="s">
        <v>1268</v>
      </c>
      <c r="K249" s="88">
        <v>6644375</v>
      </c>
      <c r="L249" s="84">
        <v>0</v>
      </c>
      <c r="M249" s="85">
        <v>6644375</v>
      </c>
      <c r="N249" s="69" t="s">
        <v>302</v>
      </c>
      <c r="O249" s="3"/>
      <c r="P249" s="28">
        <f>+Tabla1513[[#This Row],[VALOR TOTAL DEL CONTRATO
(en pesos)
CON IVA
(inicial)]]+Tabla1513[[#This Row],[VALOR DE LAS ADICIONES
(en pesos)
CON IVA]]</f>
        <v>6644375</v>
      </c>
      <c r="Q249" s="37">
        <v>0</v>
      </c>
      <c r="R249" s="23" t="s">
        <v>302</v>
      </c>
      <c r="S249" s="4"/>
      <c r="T249" s="23" t="s">
        <v>302</v>
      </c>
      <c r="U249" s="23"/>
      <c r="V249" s="65">
        <v>45982</v>
      </c>
      <c r="W249" s="65">
        <v>45982</v>
      </c>
      <c r="X249" s="65">
        <v>45982</v>
      </c>
      <c r="Y249" s="64" t="s">
        <v>320</v>
      </c>
      <c r="Z249" s="71"/>
      <c r="AA249" s="71" t="s">
        <v>321</v>
      </c>
      <c r="AB249" s="30">
        <v>1</v>
      </c>
      <c r="AC249" s="30" t="s">
        <v>1377</v>
      </c>
      <c r="AD249" s="31">
        <v>6644375</v>
      </c>
      <c r="AE249" s="32" t="s">
        <v>1399</v>
      </c>
      <c r="AG249" s="2"/>
    </row>
    <row r="250" spans="1:33" ht="29" x14ac:dyDescent="0.35">
      <c r="A250" s="43" t="s">
        <v>306</v>
      </c>
      <c r="B250" s="2" t="s">
        <v>11</v>
      </c>
      <c r="C250" s="26" t="s">
        <v>19</v>
      </c>
      <c r="D250" s="2" t="s">
        <v>300</v>
      </c>
      <c r="E250" s="66" t="s">
        <v>1283</v>
      </c>
      <c r="F250" s="65">
        <v>45981</v>
      </c>
      <c r="G250" s="26" t="s">
        <v>150</v>
      </c>
      <c r="H250" s="67" t="s">
        <v>1284</v>
      </c>
      <c r="I250" s="26" t="s">
        <v>1672</v>
      </c>
      <c r="J250" s="2" t="s">
        <v>426</v>
      </c>
      <c r="K250" s="88">
        <v>115847064</v>
      </c>
      <c r="L250" s="84">
        <v>22010942</v>
      </c>
      <c r="M250" s="85">
        <v>137858006</v>
      </c>
      <c r="N250" s="69" t="s">
        <v>302</v>
      </c>
      <c r="O250" s="3"/>
      <c r="P250" s="28">
        <f>+Tabla1513[[#This Row],[VALOR TOTAL DEL CONTRATO
(en pesos)
CON IVA
(inicial)]]+Tabla1513[[#This Row],[VALOR DE LAS ADICIONES
(en pesos)
CON IVA]]</f>
        <v>137858006</v>
      </c>
      <c r="Q250" s="37">
        <v>729</v>
      </c>
      <c r="R250" s="23" t="s">
        <v>302</v>
      </c>
      <c r="S250" s="4"/>
      <c r="T250" s="23" t="s">
        <v>302</v>
      </c>
      <c r="U250" s="23"/>
      <c r="V250" s="65">
        <v>45982</v>
      </c>
      <c r="W250" s="65">
        <v>46711</v>
      </c>
      <c r="X250" s="65">
        <v>46711</v>
      </c>
      <c r="Y250" s="64" t="s">
        <v>303</v>
      </c>
      <c r="Z250" s="71"/>
      <c r="AA250" s="71"/>
      <c r="AB250" s="30">
        <v>3.6999999999999998E-2</v>
      </c>
      <c r="AC250" s="30">
        <v>0.7419</v>
      </c>
      <c r="AD250" s="31">
        <v>102283356</v>
      </c>
      <c r="AE250" s="32" t="s">
        <v>1407</v>
      </c>
      <c r="AG250" s="2"/>
    </row>
    <row r="251" spans="1:33" ht="43.5" x14ac:dyDescent="0.35">
      <c r="A251" s="43" t="s">
        <v>306</v>
      </c>
      <c r="B251" s="2" t="s">
        <v>31</v>
      </c>
      <c r="C251" s="26" t="s">
        <v>39</v>
      </c>
      <c r="D251" s="2" t="s">
        <v>300</v>
      </c>
      <c r="E251" s="74" t="s">
        <v>1285</v>
      </c>
      <c r="F251" s="65">
        <v>45987</v>
      </c>
      <c r="G251" s="26" t="s">
        <v>150</v>
      </c>
      <c r="H251" s="67" t="s">
        <v>1288</v>
      </c>
      <c r="I251" s="26" t="s">
        <v>1673</v>
      </c>
      <c r="J251" s="2" t="s">
        <v>361</v>
      </c>
      <c r="K251" s="88">
        <v>1497337709</v>
      </c>
      <c r="L251" s="84">
        <v>284494165</v>
      </c>
      <c r="M251" s="85">
        <v>1781831874</v>
      </c>
      <c r="N251" s="69" t="s">
        <v>302</v>
      </c>
      <c r="O251" s="3"/>
      <c r="P251" s="28">
        <f>+Tabla1513[[#This Row],[VALOR TOTAL DEL CONTRATO
(en pesos)
CON IVA
(inicial)]]+Tabla1513[[#This Row],[VALOR DE LAS ADICIONES
(en pesos)
CON IVA]]</f>
        <v>1781831874</v>
      </c>
      <c r="Q251" s="37">
        <v>730</v>
      </c>
      <c r="R251" s="23" t="s">
        <v>302</v>
      </c>
      <c r="S251" s="4"/>
      <c r="T251" s="23" t="s">
        <v>302</v>
      </c>
      <c r="U251" s="23"/>
      <c r="V251" s="65">
        <v>46023</v>
      </c>
      <c r="W251" s="65">
        <v>46753</v>
      </c>
      <c r="X251" s="65">
        <v>46753</v>
      </c>
      <c r="Y251" s="64" t="s">
        <v>303</v>
      </c>
      <c r="Z251" s="71"/>
      <c r="AA251" s="71"/>
      <c r="AB251" s="30">
        <v>4.1599999999999998E-2</v>
      </c>
      <c r="AC251" s="30">
        <v>0</v>
      </c>
      <c r="AD251" s="31">
        <v>0</v>
      </c>
      <c r="AE251" s="32" t="s">
        <v>1408</v>
      </c>
      <c r="AG251" s="2"/>
    </row>
    <row r="252" spans="1:33" ht="101.5" x14ac:dyDescent="0.35">
      <c r="A252" s="43" t="s">
        <v>306</v>
      </c>
      <c r="B252" s="2" t="s">
        <v>31</v>
      </c>
      <c r="C252" s="26" t="s">
        <v>1287</v>
      </c>
      <c r="D252" s="2" t="s">
        <v>300</v>
      </c>
      <c r="E252" s="74" t="s">
        <v>1286</v>
      </c>
      <c r="F252" s="65">
        <v>45987</v>
      </c>
      <c r="G252" s="26" t="s">
        <v>150</v>
      </c>
      <c r="H252" s="67" t="s">
        <v>1369</v>
      </c>
      <c r="I252" s="26" t="s">
        <v>1585</v>
      </c>
      <c r="J252" s="2" t="s">
        <v>330</v>
      </c>
      <c r="K252" s="88">
        <v>58000000</v>
      </c>
      <c r="L252" s="84">
        <v>11020000</v>
      </c>
      <c r="M252" s="85">
        <v>69020000</v>
      </c>
      <c r="N252" s="69" t="s">
        <v>302</v>
      </c>
      <c r="O252" s="3"/>
      <c r="P252" s="28">
        <f>+Tabla1513[[#This Row],[VALOR TOTAL DEL CONTRATO
(en pesos)
CON IVA
(inicial)]]+Tabla1513[[#This Row],[VALOR DE LAS ADICIONES
(en pesos)
CON IVA]]</f>
        <v>69020000</v>
      </c>
      <c r="Q252" s="37">
        <v>730</v>
      </c>
      <c r="R252" s="23" t="s">
        <v>302</v>
      </c>
      <c r="S252" s="4"/>
      <c r="T252" s="23" t="s">
        <v>302</v>
      </c>
      <c r="U252" s="23"/>
      <c r="V252" s="65">
        <v>46024</v>
      </c>
      <c r="W252" s="65">
        <v>46754</v>
      </c>
      <c r="X252" s="65">
        <v>46754</v>
      </c>
      <c r="Y252" s="64" t="s">
        <v>303</v>
      </c>
      <c r="Z252" s="71"/>
      <c r="AA252" s="71"/>
      <c r="AB252" s="30">
        <v>0</v>
      </c>
      <c r="AC252" s="30">
        <v>0</v>
      </c>
      <c r="AD252" s="31">
        <v>0</v>
      </c>
      <c r="AE252" s="32" t="s">
        <v>1409</v>
      </c>
      <c r="AG252" s="2"/>
    </row>
    <row r="253" spans="1:33" ht="43.5" x14ac:dyDescent="0.35">
      <c r="A253" s="43" t="s">
        <v>306</v>
      </c>
      <c r="B253" s="2" t="s">
        <v>11</v>
      </c>
      <c r="C253" s="26" t="s">
        <v>20</v>
      </c>
      <c r="D253" s="2" t="s">
        <v>300</v>
      </c>
      <c r="E253" s="66" t="s">
        <v>1256</v>
      </c>
      <c r="F253" s="65">
        <v>45987</v>
      </c>
      <c r="G253" s="26" t="s">
        <v>150</v>
      </c>
      <c r="H253" s="67" t="s">
        <v>1272</v>
      </c>
      <c r="I253" s="26" t="s">
        <v>1606</v>
      </c>
      <c r="J253" s="2" t="s">
        <v>1057</v>
      </c>
      <c r="K253" s="88">
        <v>6000000</v>
      </c>
      <c r="L253" s="84">
        <v>1140000</v>
      </c>
      <c r="M253" s="85">
        <v>7140000</v>
      </c>
      <c r="N253" s="69" t="s">
        <v>302</v>
      </c>
      <c r="O253" s="3"/>
      <c r="P253" s="28">
        <f>+Tabla1513[[#This Row],[VALOR TOTAL DEL CONTRATO
(en pesos)
CON IVA
(inicial)]]+Tabla1513[[#This Row],[VALOR DE LAS ADICIONES
(en pesos)
CON IVA]]</f>
        <v>7140000</v>
      </c>
      <c r="Q253" s="37">
        <v>2</v>
      </c>
      <c r="R253" s="23" t="s">
        <v>302</v>
      </c>
      <c r="S253" s="4"/>
      <c r="T253" s="23" t="s">
        <v>302</v>
      </c>
      <c r="U253" s="23"/>
      <c r="V253" s="65">
        <v>45987</v>
      </c>
      <c r="W253" s="65">
        <v>45989</v>
      </c>
      <c r="X253" s="65">
        <v>45989</v>
      </c>
      <c r="Y253" s="64" t="s">
        <v>320</v>
      </c>
      <c r="Z253" s="71"/>
      <c r="AA253" s="71" t="s">
        <v>321</v>
      </c>
      <c r="AB253" s="30">
        <v>1</v>
      </c>
      <c r="AC253" s="30">
        <v>1</v>
      </c>
      <c r="AD253" s="31">
        <v>7140000</v>
      </c>
      <c r="AE253" s="32" t="s">
        <v>1400</v>
      </c>
      <c r="AG253" s="2"/>
    </row>
    <row r="254" spans="1:33" ht="44" thickBot="1" x14ac:dyDescent="0.4">
      <c r="A254" s="43" t="s">
        <v>306</v>
      </c>
      <c r="B254" s="2" t="s">
        <v>31</v>
      </c>
      <c r="C254" s="26" t="s">
        <v>35</v>
      </c>
      <c r="D254" s="2" t="s">
        <v>300</v>
      </c>
      <c r="E254" s="74" t="s">
        <v>1289</v>
      </c>
      <c r="F254" s="65">
        <v>45988</v>
      </c>
      <c r="G254" s="26" t="s">
        <v>150</v>
      </c>
      <c r="H254" s="67" t="s">
        <v>1290</v>
      </c>
      <c r="I254" s="26" t="s">
        <v>1567</v>
      </c>
      <c r="J254" s="2" t="s">
        <v>340</v>
      </c>
      <c r="K254" s="88">
        <v>2598444463</v>
      </c>
      <c r="L254" s="84">
        <v>47718908</v>
      </c>
      <c r="M254" s="85">
        <v>2646163371</v>
      </c>
      <c r="N254" s="69" t="s">
        <v>302</v>
      </c>
      <c r="O254" s="3"/>
      <c r="P254" s="28">
        <f>+Tabla1513[[#This Row],[VALOR TOTAL DEL CONTRATO
(en pesos)
CON IVA
(inicial)]]+Tabla1513[[#This Row],[VALOR DE LAS ADICIONES
(en pesos)
CON IVA]]</f>
        <v>2646163371</v>
      </c>
      <c r="Q254" s="37">
        <v>365</v>
      </c>
      <c r="R254" s="23" t="s">
        <v>302</v>
      </c>
      <c r="S254" s="4"/>
      <c r="T254" s="23" t="s">
        <v>302</v>
      </c>
      <c r="U254" s="23"/>
      <c r="V254" s="65">
        <v>45988</v>
      </c>
      <c r="W254" s="65">
        <v>46353</v>
      </c>
      <c r="X254" s="65">
        <v>46353</v>
      </c>
      <c r="Y254" s="64" t="s">
        <v>303</v>
      </c>
      <c r="Z254" s="71"/>
      <c r="AA254" s="71"/>
      <c r="AB254" s="30">
        <v>8.3299999999999999E-2</v>
      </c>
      <c r="AC254" s="30">
        <v>0.82620000000000005</v>
      </c>
      <c r="AD254" s="82">
        <v>2186375904.5799999</v>
      </c>
      <c r="AE254" s="32" t="s">
        <v>1401</v>
      </c>
      <c r="AG254" s="2"/>
    </row>
    <row r="255" spans="1:33" ht="44" thickBot="1" x14ac:dyDescent="0.4">
      <c r="A255" s="43" t="s">
        <v>306</v>
      </c>
      <c r="B255" s="2" t="s">
        <v>31</v>
      </c>
      <c r="C255" s="26" t="s">
        <v>424</v>
      </c>
      <c r="D255" s="2" t="s">
        <v>324</v>
      </c>
      <c r="E255" s="74" t="s">
        <v>1291</v>
      </c>
      <c r="F255" s="65">
        <v>45989</v>
      </c>
      <c r="G255" s="26" t="s">
        <v>150</v>
      </c>
      <c r="H255" s="67" t="s">
        <v>1293</v>
      </c>
      <c r="I255" s="26" t="s">
        <v>1674</v>
      </c>
      <c r="J255" s="2" t="s">
        <v>1295</v>
      </c>
      <c r="K255" s="88">
        <v>92226000</v>
      </c>
      <c r="L255" s="84">
        <v>0</v>
      </c>
      <c r="M255" s="85">
        <v>92226000</v>
      </c>
      <c r="N255" s="69" t="s">
        <v>302</v>
      </c>
      <c r="O255" s="3"/>
      <c r="P255" s="28">
        <f>+Tabla1513[[#This Row],[VALOR TOTAL DEL CONTRATO
(en pesos)
CON IVA
(inicial)]]+Tabla1513[[#This Row],[VALOR DE LAS ADICIONES
(en pesos)
CON IVA]]</f>
        <v>92226000</v>
      </c>
      <c r="Q255" s="37">
        <v>151</v>
      </c>
      <c r="R255" s="23" t="s">
        <v>302</v>
      </c>
      <c r="S255" s="4"/>
      <c r="T255" s="23" t="s">
        <v>302</v>
      </c>
      <c r="U255" s="23"/>
      <c r="V255" s="65">
        <v>46014</v>
      </c>
      <c r="W255" s="65">
        <v>46165</v>
      </c>
      <c r="X255" s="65">
        <v>46165</v>
      </c>
      <c r="Y255" s="64" t="s">
        <v>303</v>
      </c>
      <c r="Z255" s="71"/>
      <c r="AA255" s="71"/>
      <c r="AB255" s="30">
        <v>0.2</v>
      </c>
      <c r="AC255" s="30">
        <v>0.5</v>
      </c>
      <c r="AD255" s="82">
        <v>46113000</v>
      </c>
      <c r="AE255" s="32" t="s">
        <v>1410</v>
      </c>
      <c r="AG255" s="2"/>
    </row>
    <row r="256" spans="1:33" ht="58" x14ac:dyDescent="0.35">
      <c r="A256" s="43" t="s">
        <v>306</v>
      </c>
      <c r="B256" s="2" t="s">
        <v>31</v>
      </c>
      <c r="C256" s="26" t="s">
        <v>37</v>
      </c>
      <c r="D256" s="2" t="s">
        <v>300</v>
      </c>
      <c r="E256" s="74" t="s">
        <v>1292</v>
      </c>
      <c r="F256" s="65">
        <v>45989</v>
      </c>
      <c r="G256" s="26" t="s">
        <v>150</v>
      </c>
      <c r="H256" s="67" t="s">
        <v>1294</v>
      </c>
      <c r="I256" s="26" t="s">
        <v>1673</v>
      </c>
      <c r="J256" s="2" t="s">
        <v>361</v>
      </c>
      <c r="K256" s="88">
        <v>2526362748</v>
      </c>
      <c r="L256" s="84">
        <v>480008922</v>
      </c>
      <c r="M256" s="85">
        <v>3006371670</v>
      </c>
      <c r="N256" s="69" t="s">
        <v>302</v>
      </c>
      <c r="O256" s="3"/>
      <c r="P256" s="28">
        <f>+Tabla1513[[#This Row],[VALOR TOTAL DEL CONTRATO
(en pesos)
CON IVA
(inicial)]]+Tabla1513[[#This Row],[VALOR DE LAS ADICIONES
(en pesos)
CON IVA]]</f>
        <v>3006371670</v>
      </c>
      <c r="Q256" s="37">
        <v>730</v>
      </c>
      <c r="R256" s="23" t="s">
        <v>302</v>
      </c>
      <c r="S256" s="4"/>
      <c r="T256" s="23" t="s">
        <v>302</v>
      </c>
      <c r="U256" s="23"/>
      <c r="V256" s="65">
        <v>46023</v>
      </c>
      <c r="W256" s="65">
        <v>46753</v>
      </c>
      <c r="X256" s="65">
        <v>46753</v>
      </c>
      <c r="Y256" s="64" t="s">
        <v>303</v>
      </c>
      <c r="Z256" s="71"/>
      <c r="AA256" s="71"/>
      <c r="AB256" s="30">
        <v>4.1599999999999998E-2</v>
      </c>
      <c r="AC256" s="30">
        <v>0</v>
      </c>
      <c r="AD256" s="31">
        <v>0</v>
      </c>
      <c r="AE256" s="32" t="s">
        <v>1411</v>
      </c>
      <c r="AG256" s="2"/>
    </row>
    <row r="257" spans="1:33" ht="29" x14ac:dyDescent="0.35">
      <c r="A257" s="43" t="s">
        <v>306</v>
      </c>
      <c r="B257" s="2" t="s">
        <v>31</v>
      </c>
      <c r="C257" s="26" t="s">
        <v>34</v>
      </c>
      <c r="D257" s="2" t="s">
        <v>300</v>
      </c>
      <c r="E257" s="74" t="s">
        <v>1296</v>
      </c>
      <c r="F257" s="65">
        <v>45993</v>
      </c>
      <c r="G257" s="26" t="s">
        <v>150</v>
      </c>
      <c r="H257" s="67" t="s">
        <v>1368</v>
      </c>
      <c r="I257" s="26" t="s">
        <v>1675</v>
      </c>
      <c r="J257" s="2" t="s">
        <v>1299</v>
      </c>
      <c r="K257" s="88">
        <v>132065043</v>
      </c>
      <c r="L257" s="84">
        <v>0</v>
      </c>
      <c r="M257" s="85">
        <v>132065043</v>
      </c>
      <c r="N257" s="69" t="s">
        <v>302</v>
      </c>
      <c r="O257" s="3"/>
      <c r="P257" s="28">
        <f>+Tabla1513[[#This Row],[VALOR TOTAL DEL CONTRATO
(en pesos)
CON IVA
(inicial)]]+Tabla1513[[#This Row],[VALOR DE LAS ADICIONES
(en pesos)
CON IVA]]</f>
        <v>132065043</v>
      </c>
      <c r="Q257" s="37">
        <v>365</v>
      </c>
      <c r="R257" s="23" t="s">
        <v>302</v>
      </c>
      <c r="S257" s="4"/>
      <c r="T257" s="23" t="s">
        <v>302</v>
      </c>
      <c r="U257" s="23"/>
      <c r="V257" s="65">
        <v>46013</v>
      </c>
      <c r="W257" s="65">
        <v>46378</v>
      </c>
      <c r="X257" s="65">
        <v>46378</v>
      </c>
      <c r="Y257" s="64" t="s">
        <v>303</v>
      </c>
      <c r="Z257" s="71"/>
      <c r="AA257" s="71"/>
      <c r="AB257" s="30">
        <v>2.1999999999999999E-2</v>
      </c>
      <c r="AC257" s="30">
        <v>0</v>
      </c>
      <c r="AD257" s="31">
        <v>0</v>
      </c>
      <c r="AE257" s="32" t="s">
        <v>1402</v>
      </c>
      <c r="AG257" s="2"/>
    </row>
    <row r="258" spans="1:33" ht="43.5" x14ac:dyDescent="0.35">
      <c r="A258" s="43" t="s">
        <v>306</v>
      </c>
      <c r="B258" s="2" t="s">
        <v>298</v>
      </c>
      <c r="C258" s="26" t="s">
        <v>418</v>
      </c>
      <c r="D258" s="2" t="s">
        <v>300</v>
      </c>
      <c r="E258" s="66" t="s">
        <v>1297</v>
      </c>
      <c r="F258" s="65">
        <v>45989</v>
      </c>
      <c r="G258" s="26" t="s">
        <v>150</v>
      </c>
      <c r="H258" s="67" t="s">
        <v>1298</v>
      </c>
      <c r="I258" s="26" t="s">
        <v>1676</v>
      </c>
      <c r="J258" s="2" t="s">
        <v>1300</v>
      </c>
      <c r="K258" s="85">
        <v>31535000</v>
      </c>
      <c r="L258" s="84"/>
      <c r="M258" s="85">
        <v>31535000</v>
      </c>
      <c r="N258" s="69" t="s">
        <v>302</v>
      </c>
      <c r="O258" s="3"/>
      <c r="P258" s="28">
        <f>+Tabla1513[[#This Row],[VALOR TOTAL DEL CONTRATO
(en pesos)
CON IVA
(inicial)]]+Tabla1513[[#This Row],[VALOR DE LAS ADICIONES
(en pesos)
CON IVA]]</f>
        <v>31535000</v>
      </c>
      <c r="Q258" s="37">
        <v>33</v>
      </c>
      <c r="R258" s="23" t="s">
        <v>302</v>
      </c>
      <c r="S258" s="4"/>
      <c r="T258" s="23" t="s">
        <v>302</v>
      </c>
      <c r="U258" s="23"/>
      <c r="V258" s="65">
        <v>45989</v>
      </c>
      <c r="W258" s="65">
        <v>46022</v>
      </c>
      <c r="X258" s="65">
        <v>46022</v>
      </c>
      <c r="Y258" s="64" t="s">
        <v>320</v>
      </c>
      <c r="Z258" s="71"/>
      <c r="AA258" s="71" t="s">
        <v>321</v>
      </c>
      <c r="AB258" s="30">
        <v>1</v>
      </c>
      <c r="AC258" s="30">
        <v>1</v>
      </c>
      <c r="AD258" s="31">
        <v>31535000</v>
      </c>
      <c r="AE258" s="32" t="s">
        <v>1412</v>
      </c>
      <c r="AG258" s="2"/>
    </row>
    <row r="259" spans="1:33" ht="29" x14ac:dyDescent="0.35">
      <c r="A259" s="43" t="s">
        <v>306</v>
      </c>
      <c r="B259" s="2" t="s">
        <v>31</v>
      </c>
      <c r="C259" s="26" t="s">
        <v>34</v>
      </c>
      <c r="D259" s="2" t="s">
        <v>300</v>
      </c>
      <c r="E259" s="74" t="s">
        <v>1301</v>
      </c>
      <c r="F259" s="65">
        <v>45993</v>
      </c>
      <c r="G259" s="26" t="s">
        <v>150</v>
      </c>
      <c r="H259" s="67" t="s">
        <v>1303</v>
      </c>
      <c r="I259" s="26" t="s">
        <v>1677</v>
      </c>
      <c r="J259" s="2" t="s">
        <v>337</v>
      </c>
      <c r="K259" s="85">
        <v>134240000</v>
      </c>
      <c r="L259" s="84"/>
      <c r="M259" s="85">
        <v>134240000</v>
      </c>
      <c r="N259" s="69" t="s">
        <v>302</v>
      </c>
      <c r="O259" s="3"/>
      <c r="P259" s="28">
        <f>+Tabla1513[[#This Row],[VALOR TOTAL DEL CONTRATO
(en pesos)
CON IVA
(inicial)]]+Tabla1513[[#This Row],[VALOR DE LAS ADICIONES
(en pesos)
CON IVA]]</f>
        <v>134240000</v>
      </c>
      <c r="Q259" s="37">
        <v>293</v>
      </c>
      <c r="R259" s="23" t="s">
        <v>302</v>
      </c>
      <c r="S259" s="4"/>
      <c r="T259" s="23" t="s">
        <v>302</v>
      </c>
      <c r="U259" s="23"/>
      <c r="V259" s="65">
        <v>46002</v>
      </c>
      <c r="W259" s="65">
        <v>46295</v>
      </c>
      <c r="X259" s="65">
        <v>46295</v>
      </c>
      <c r="Y259" s="64" t="s">
        <v>303</v>
      </c>
      <c r="Z259" s="71"/>
      <c r="AA259" s="71"/>
      <c r="AB259" s="30">
        <v>0.1</v>
      </c>
      <c r="AC259" s="30">
        <v>0.68</v>
      </c>
      <c r="AD259" s="31">
        <v>79644390</v>
      </c>
      <c r="AE259" s="32" t="s">
        <v>1413</v>
      </c>
      <c r="AG259" s="2"/>
    </row>
    <row r="260" spans="1:33" ht="43.5" x14ac:dyDescent="0.35">
      <c r="A260" s="43" t="s">
        <v>306</v>
      </c>
      <c r="B260" s="2" t="s">
        <v>11</v>
      </c>
      <c r="C260" s="26" t="s">
        <v>19</v>
      </c>
      <c r="D260" s="2" t="s">
        <v>300</v>
      </c>
      <c r="E260" s="66" t="s">
        <v>1302</v>
      </c>
      <c r="F260" s="65">
        <v>45993</v>
      </c>
      <c r="G260" s="26" t="s">
        <v>142</v>
      </c>
      <c r="H260" s="67" t="s">
        <v>1304</v>
      </c>
      <c r="I260" s="26" t="s">
        <v>1678</v>
      </c>
      <c r="J260" s="2" t="s">
        <v>339</v>
      </c>
      <c r="K260" s="88">
        <v>14727731</v>
      </c>
      <c r="L260" s="84">
        <v>2798269</v>
      </c>
      <c r="M260" s="85">
        <v>17526000</v>
      </c>
      <c r="N260" s="69" t="s">
        <v>302</v>
      </c>
      <c r="O260" s="3"/>
      <c r="P260" s="28">
        <f>+Tabla1513[[#This Row],[VALOR TOTAL DEL CONTRATO
(en pesos)
CON IVA
(inicial)]]+Tabla1513[[#This Row],[VALOR DE LAS ADICIONES
(en pesos)
CON IVA]]</f>
        <v>17526000</v>
      </c>
      <c r="Q260" s="37">
        <v>759</v>
      </c>
      <c r="R260" s="23" t="s">
        <v>302</v>
      </c>
      <c r="S260" s="4"/>
      <c r="T260" s="23" t="s">
        <v>302</v>
      </c>
      <c r="U260" s="23"/>
      <c r="V260" s="65">
        <v>45993</v>
      </c>
      <c r="W260" s="65">
        <v>46752</v>
      </c>
      <c r="X260" s="65">
        <v>46752</v>
      </c>
      <c r="Y260" s="64" t="s">
        <v>303</v>
      </c>
      <c r="Z260" s="71"/>
      <c r="AA260" s="71"/>
      <c r="AB260" s="30">
        <v>0.03</v>
      </c>
      <c r="AC260" s="30">
        <v>1</v>
      </c>
      <c r="AD260" s="31">
        <v>3572000</v>
      </c>
      <c r="AE260" s="32" t="s">
        <v>1414</v>
      </c>
      <c r="AG260" s="2"/>
    </row>
    <row r="261" spans="1:33" ht="29" x14ac:dyDescent="0.35">
      <c r="A261" s="43" t="s">
        <v>306</v>
      </c>
      <c r="B261" s="2" t="s">
        <v>11</v>
      </c>
      <c r="C261" s="26" t="s">
        <v>19</v>
      </c>
      <c r="D261" s="2" t="s">
        <v>365</v>
      </c>
      <c r="E261" s="66" t="s">
        <v>1305</v>
      </c>
      <c r="F261" s="65">
        <v>45994</v>
      </c>
      <c r="G261" s="26" t="s">
        <v>113</v>
      </c>
      <c r="H261" s="67" t="s">
        <v>1306</v>
      </c>
      <c r="I261" s="26" t="s">
        <v>1505</v>
      </c>
      <c r="J261" s="2" t="s">
        <v>612</v>
      </c>
      <c r="K261" s="88">
        <v>6094000</v>
      </c>
      <c r="L261" s="84">
        <v>859660</v>
      </c>
      <c r="M261" s="85">
        <v>6953660</v>
      </c>
      <c r="N261" s="69" t="s">
        <v>302</v>
      </c>
      <c r="O261" s="3"/>
      <c r="P261" s="28">
        <f>+Tabla1513[[#This Row],[VALOR TOTAL DEL CONTRATO
(en pesos)
CON IVA
(inicial)]]+Tabla1513[[#This Row],[VALOR DE LAS ADICIONES
(en pesos)
CON IVA]]</f>
        <v>6953660</v>
      </c>
      <c r="Q261" s="37">
        <v>1</v>
      </c>
      <c r="R261" s="23" t="s">
        <v>302</v>
      </c>
      <c r="S261" s="4"/>
      <c r="T261" s="23" t="s">
        <v>302</v>
      </c>
      <c r="U261" s="23"/>
      <c r="V261" s="65">
        <v>45994</v>
      </c>
      <c r="W261" s="65">
        <v>45995</v>
      </c>
      <c r="X261" s="65">
        <v>45995</v>
      </c>
      <c r="Y261" s="64" t="s">
        <v>320</v>
      </c>
      <c r="Z261" s="71"/>
      <c r="AA261" s="71" t="s">
        <v>321</v>
      </c>
      <c r="AB261" s="30">
        <v>1</v>
      </c>
      <c r="AC261" s="30">
        <v>1</v>
      </c>
      <c r="AD261" s="31">
        <v>6953660</v>
      </c>
      <c r="AE261" s="32" t="s">
        <v>1415</v>
      </c>
      <c r="AG261" s="2"/>
    </row>
    <row r="262" spans="1:33" ht="29" x14ac:dyDescent="0.35">
      <c r="A262" s="43" t="s">
        <v>306</v>
      </c>
      <c r="B262" s="2" t="s">
        <v>11</v>
      </c>
      <c r="C262" s="26" t="s">
        <v>19</v>
      </c>
      <c r="D262" s="2" t="s">
        <v>300</v>
      </c>
      <c r="E262" s="66" t="s">
        <v>1307</v>
      </c>
      <c r="F262" s="65">
        <v>45994</v>
      </c>
      <c r="G262" s="26" t="s">
        <v>113</v>
      </c>
      <c r="H262" s="67" t="s">
        <v>1308</v>
      </c>
      <c r="I262" s="26" t="s">
        <v>1679</v>
      </c>
      <c r="J262" s="2" t="s">
        <v>1309</v>
      </c>
      <c r="K262" s="85">
        <v>70983500</v>
      </c>
      <c r="L262" s="84"/>
      <c r="M262" s="85">
        <v>70983500</v>
      </c>
      <c r="N262" s="69" t="s">
        <v>302</v>
      </c>
      <c r="O262" s="3"/>
      <c r="P262" s="28">
        <f>+Tabla1513[[#This Row],[VALOR TOTAL DEL CONTRATO
(en pesos)
CON IVA
(inicial)]]+Tabla1513[[#This Row],[VALOR DE LAS ADICIONES
(en pesos)
CON IVA]]</f>
        <v>70983500</v>
      </c>
      <c r="Q262" s="37">
        <v>20</v>
      </c>
      <c r="R262" s="23" t="s">
        <v>302</v>
      </c>
      <c r="S262" s="4"/>
      <c r="T262" s="23" t="s">
        <v>302</v>
      </c>
      <c r="U262" s="23"/>
      <c r="V262" s="65">
        <v>46002</v>
      </c>
      <c r="W262" s="65">
        <v>46022</v>
      </c>
      <c r="X262" s="65">
        <v>46022</v>
      </c>
      <c r="Y262" s="64" t="s">
        <v>320</v>
      </c>
      <c r="Z262" s="71"/>
      <c r="AA262" s="71" t="s">
        <v>321</v>
      </c>
      <c r="AB262" s="30">
        <v>1</v>
      </c>
      <c r="AC262" s="30">
        <v>1</v>
      </c>
      <c r="AD262" s="31">
        <v>70983500</v>
      </c>
      <c r="AE262" s="32" t="s">
        <v>1416</v>
      </c>
      <c r="AG262" s="2"/>
    </row>
    <row r="263" spans="1:33" ht="43.5" x14ac:dyDescent="0.35">
      <c r="A263" s="43" t="s">
        <v>306</v>
      </c>
      <c r="B263" s="2" t="s">
        <v>327</v>
      </c>
      <c r="C263" s="26" t="s">
        <v>43</v>
      </c>
      <c r="D263" s="2" t="s">
        <v>300</v>
      </c>
      <c r="E263" s="66" t="s">
        <v>1310</v>
      </c>
      <c r="F263" s="65">
        <v>46001</v>
      </c>
      <c r="G263" s="26" t="s">
        <v>119</v>
      </c>
      <c r="H263" s="67" t="s">
        <v>1367</v>
      </c>
      <c r="I263" s="26" t="s">
        <v>1680</v>
      </c>
      <c r="J263" s="2" t="s">
        <v>1375</v>
      </c>
      <c r="K263" s="88">
        <v>254811980</v>
      </c>
      <c r="L263" s="84">
        <v>48414276</v>
      </c>
      <c r="M263" s="85">
        <v>303226256</v>
      </c>
      <c r="N263" s="69" t="s">
        <v>302</v>
      </c>
      <c r="O263" s="3"/>
      <c r="P263" s="28">
        <f>+Tabla1513[[#This Row],[VALOR TOTAL DEL CONTRATO
(en pesos)
CON IVA
(inicial)]]+Tabla1513[[#This Row],[VALOR DE LAS ADICIONES
(en pesos)
CON IVA]]</f>
        <v>303226256</v>
      </c>
      <c r="Q263" s="37">
        <v>729</v>
      </c>
      <c r="R263" s="23" t="s">
        <v>302</v>
      </c>
      <c r="S263" s="4"/>
      <c r="T263" s="23" t="s">
        <v>302</v>
      </c>
      <c r="U263" s="23"/>
      <c r="V263" s="65">
        <v>46010</v>
      </c>
      <c r="W263" s="65">
        <v>46739</v>
      </c>
      <c r="X263" s="65">
        <v>46739</v>
      </c>
      <c r="Y263" s="64" t="s">
        <v>303</v>
      </c>
      <c r="Z263" s="71"/>
      <c r="AA263" s="71"/>
      <c r="AB263" s="30">
        <v>1.6500000000000001E-2</v>
      </c>
      <c r="AC263" s="30">
        <v>1.55E-2</v>
      </c>
      <c r="AD263" s="31">
        <v>0</v>
      </c>
      <c r="AE263" s="32" t="s">
        <v>1417</v>
      </c>
      <c r="AG263" s="2"/>
    </row>
    <row r="264" spans="1:33" ht="29" x14ac:dyDescent="0.35">
      <c r="A264" s="43" t="s">
        <v>306</v>
      </c>
      <c r="B264" s="2" t="s">
        <v>11</v>
      </c>
      <c r="C264" s="26" t="s">
        <v>19</v>
      </c>
      <c r="D264" s="2" t="s">
        <v>300</v>
      </c>
      <c r="E264" s="66" t="s">
        <v>1311</v>
      </c>
      <c r="F264" s="65">
        <v>46001</v>
      </c>
      <c r="G264" s="26" t="s">
        <v>113</v>
      </c>
      <c r="H264" s="67" t="s">
        <v>1366</v>
      </c>
      <c r="I264" s="26" t="s">
        <v>1505</v>
      </c>
      <c r="J264" s="2" t="s">
        <v>1312</v>
      </c>
      <c r="K264" s="85">
        <v>70161924</v>
      </c>
      <c r="L264" s="84"/>
      <c r="M264" s="85">
        <v>70161924</v>
      </c>
      <c r="N264" s="69" t="s">
        <v>302</v>
      </c>
      <c r="O264" s="3"/>
      <c r="P264" s="28">
        <f>+Tabla1513[[#This Row],[VALOR TOTAL DEL CONTRATO
(en pesos)
CON IVA
(inicial)]]+Tabla1513[[#This Row],[VALOR DE LAS ADICIONES
(en pesos)
CON IVA]]</f>
        <v>70161924</v>
      </c>
      <c r="Q264" s="37">
        <v>21</v>
      </c>
      <c r="R264" s="23" t="s">
        <v>302</v>
      </c>
      <c r="S264" s="4"/>
      <c r="T264" s="23" t="s">
        <v>302</v>
      </c>
      <c r="U264" s="23"/>
      <c r="V264" s="65">
        <v>46001</v>
      </c>
      <c r="W264" s="65">
        <v>46022</v>
      </c>
      <c r="X264" s="65">
        <v>46022</v>
      </c>
      <c r="Y264" s="64" t="s">
        <v>320</v>
      </c>
      <c r="Z264" s="71"/>
      <c r="AA264" s="71" t="s">
        <v>321</v>
      </c>
      <c r="AB264" s="30">
        <v>1</v>
      </c>
      <c r="AC264" s="30">
        <v>1</v>
      </c>
      <c r="AD264" s="31">
        <v>70161924</v>
      </c>
      <c r="AE264" s="32" t="s">
        <v>1418</v>
      </c>
      <c r="AG264" s="2"/>
    </row>
    <row r="265" spans="1:33" ht="43.5" x14ac:dyDescent="0.35">
      <c r="A265" s="43" t="s">
        <v>306</v>
      </c>
      <c r="B265" s="2" t="s">
        <v>11</v>
      </c>
      <c r="C265" s="26" t="s">
        <v>12</v>
      </c>
      <c r="D265" s="2" t="s">
        <v>324</v>
      </c>
      <c r="E265" s="66" t="s">
        <v>1313</v>
      </c>
      <c r="F265" s="65">
        <v>46002</v>
      </c>
      <c r="G265" s="26" t="s">
        <v>1365</v>
      </c>
      <c r="H265" s="67" t="s">
        <v>1315</v>
      </c>
      <c r="I265" s="26" t="s">
        <v>1681</v>
      </c>
      <c r="J265" s="2" t="s">
        <v>1317</v>
      </c>
      <c r="K265" s="88">
        <v>12620959253</v>
      </c>
      <c r="L265" s="84">
        <v>339628388</v>
      </c>
      <c r="M265" s="85">
        <v>12960587641</v>
      </c>
      <c r="N265" s="69" t="s">
        <v>302</v>
      </c>
      <c r="O265" s="3"/>
      <c r="P265" s="28">
        <f>+Tabla1513[[#This Row],[VALOR TOTAL DEL CONTRATO
(en pesos)
CON IVA
(inicial)]]+Tabla1513[[#This Row],[VALOR DE LAS ADICIONES
(en pesos)
CON IVA]]</f>
        <v>12960587641</v>
      </c>
      <c r="Q265" s="37">
        <v>364</v>
      </c>
      <c r="R265" s="23" t="s">
        <v>302</v>
      </c>
      <c r="S265" s="4"/>
      <c r="T265" s="23" t="s">
        <v>302</v>
      </c>
      <c r="U265" s="23"/>
      <c r="V265" s="65">
        <v>46006</v>
      </c>
      <c r="W265" s="65">
        <v>46370</v>
      </c>
      <c r="X265" s="65">
        <v>46370</v>
      </c>
      <c r="Y265" s="64" t="s">
        <v>303</v>
      </c>
      <c r="Z265" s="71"/>
      <c r="AA265" s="71"/>
      <c r="AB265" s="30">
        <v>2.63E-2</v>
      </c>
      <c r="AC265" s="30">
        <v>3.4299999999999997E-2</v>
      </c>
      <c r="AD265" s="31">
        <v>444967796</v>
      </c>
      <c r="AE265" s="32" t="s">
        <v>1419</v>
      </c>
      <c r="AG265" s="2"/>
    </row>
    <row r="266" spans="1:33" ht="29" x14ac:dyDescent="0.35">
      <c r="A266" s="43" t="s">
        <v>306</v>
      </c>
      <c r="B266" s="2" t="s">
        <v>298</v>
      </c>
      <c r="C266" s="26" t="s">
        <v>25</v>
      </c>
      <c r="D266" s="2" t="s">
        <v>300</v>
      </c>
      <c r="E266" s="66" t="s">
        <v>1314</v>
      </c>
      <c r="F266" s="65">
        <v>46007</v>
      </c>
      <c r="G266" s="26" t="s">
        <v>150</v>
      </c>
      <c r="H266" s="67" t="s">
        <v>1316</v>
      </c>
      <c r="I266" s="26" t="s">
        <v>1682</v>
      </c>
      <c r="J266" s="2" t="s">
        <v>1318</v>
      </c>
      <c r="K266" s="88">
        <v>58996000</v>
      </c>
      <c r="L266" s="84">
        <v>11209240</v>
      </c>
      <c r="M266" s="85">
        <v>70205240</v>
      </c>
      <c r="N266" s="69" t="s">
        <v>302</v>
      </c>
      <c r="O266" s="3"/>
      <c r="P266" s="28">
        <f>+Tabla1513[[#This Row],[VALOR TOTAL DEL CONTRATO
(en pesos)
CON IVA
(inicial)]]+Tabla1513[[#This Row],[VALOR DE LAS ADICIONES
(en pesos)
CON IVA]]</f>
        <v>70205240</v>
      </c>
      <c r="Q266" s="37">
        <v>15</v>
      </c>
      <c r="R266" s="23" t="s">
        <v>302</v>
      </c>
      <c r="S266" s="4"/>
      <c r="T266" s="23" t="s">
        <v>302</v>
      </c>
      <c r="U266" s="23"/>
      <c r="V266" s="65">
        <v>46007</v>
      </c>
      <c r="W266" s="65">
        <v>46022</v>
      </c>
      <c r="X266" s="65">
        <v>46022</v>
      </c>
      <c r="Y266" s="64" t="s">
        <v>320</v>
      </c>
      <c r="Z266" s="71"/>
      <c r="AA266" s="71" t="s">
        <v>321</v>
      </c>
      <c r="AB266" s="30">
        <v>1</v>
      </c>
      <c r="AC266" s="30">
        <v>1</v>
      </c>
      <c r="AD266" s="83">
        <v>70205240</v>
      </c>
      <c r="AE266" s="32" t="s">
        <v>1420</v>
      </c>
      <c r="AG266" s="2"/>
    </row>
    <row r="267" spans="1:33" ht="43.5" x14ac:dyDescent="0.35">
      <c r="A267" s="43" t="s">
        <v>306</v>
      </c>
      <c r="B267" s="2" t="s">
        <v>11</v>
      </c>
      <c r="C267" s="26" t="s">
        <v>19</v>
      </c>
      <c r="D267" s="2" t="s">
        <v>300</v>
      </c>
      <c r="E267" s="66" t="s">
        <v>1330</v>
      </c>
      <c r="F267" s="65">
        <v>46007</v>
      </c>
      <c r="G267" s="26" t="s">
        <v>142</v>
      </c>
      <c r="H267" s="67" t="s">
        <v>1346</v>
      </c>
      <c r="I267" s="26" t="s">
        <v>1448</v>
      </c>
      <c r="J267" s="2" t="s">
        <v>484</v>
      </c>
      <c r="K267" s="88">
        <v>23189437.010000002</v>
      </c>
      <c r="L267" s="84">
        <v>4405993</v>
      </c>
      <c r="M267" s="85">
        <v>27595430</v>
      </c>
      <c r="N267" s="69" t="s">
        <v>302</v>
      </c>
      <c r="O267" s="3"/>
      <c r="P267" s="28">
        <f>+Tabla1513[[#This Row],[VALOR TOTAL DEL CONTRATO
(en pesos)
CON IVA
(inicial)]]+Tabla1513[[#This Row],[VALOR DE LAS ADICIONES
(en pesos)
CON IVA]]</f>
        <v>27595430</v>
      </c>
      <c r="Q267" s="37">
        <v>364</v>
      </c>
      <c r="R267" s="23" t="s">
        <v>302</v>
      </c>
      <c r="S267" s="4"/>
      <c r="T267" s="23" t="s">
        <v>302</v>
      </c>
      <c r="U267" s="23"/>
      <c r="V267" s="65">
        <v>46023</v>
      </c>
      <c r="W267" s="65">
        <v>46387</v>
      </c>
      <c r="X267" s="65">
        <v>46387</v>
      </c>
      <c r="Y267" s="64" t="s">
        <v>303</v>
      </c>
      <c r="Z267" s="71"/>
      <c r="AA267" s="71"/>
      <c r="AB267" s="30">
        <v>0</v>
      </c>
      <c r="AC267" s="30">
        <v>0</v>
      </c>
      <c r="AD267" s="31">
        <v>0</v>
      </c>
      <c r="AE267" s="32" t="s">
        <v>1421</v>
      </c>
      <c r="AG267" s="2"/>
    </row>
    <row r="268" spans="1:33" ht="43.5" x14ac:dyDescent="0.35">
      <c r="A268" s="43" t="s">
        <v>306</v>
      </c>
      <c r="B268" s="2" t="s">
        <v>11</v>
      </c>
      <c r="C268" s="26" t="s">
        <v>19</v>
      </c>
      <c r="D268" s="2" t="s">
        <v>300</v>
      </c>
      <c r="E268" s="66" t="s">
        <v>1326</v>
      </c>
      <c r="F268" s="65">
        <v>46007</v>
      </c>
      <c r="G268" s="26" t="s">
        <v>142</v>
      </c>
      <c r="H268" s="67" t="s">
        <v>1343</v>
      </c>
      <c r="I268" s="26" t="s">
        <v>1476</v>
      </c>
      <c r="J268" s="2" t="s">
        <v>332</v>
      </c>
      <c r="K268" s="88">
        <v>53734632.009999998</v>
      </c>
      <c r="L268" s="84">
        <v>10209580</v>
      </c>
      <c r="M268" s="85">
        <v>63944212</v>
      </c>
      <c r="N268" s="69" t="s">
        <v>302</v>
      </c>
      <c r="O268" s="3"/>
      <c r="P268" s="28">
        <f>+Tabla1513[[#This Row],[VALOR TOTAL DEL CONTRATO
(en pesos)
CON IVA
(inicial)]]+Tabla1513[[#This Row],[VALOR DE LAS ADICIONES
(en pesos)
CON IVA]]</f>
        <v>63944212</v>
      </c>
      <c r="Q268" s="37">
        <v>730</v>
      </c>
      <c r="R268" s="23" t="s">
        <v>302</v>
      </c>
      <c r="S268" s="4"/>
      <c r="T268" s="23" t="s">
        <v>302</v>
      </c>
      <c r="U268" s="23"/>
      <c r="V268" s="65">
        <v>46007</v>
      </c>
      <c r="W268" s="65">
        <v>46737</v>
      </c>
      <c r="X268" s="65">
        <v>46737</v>
      </c>
      <c r="Y268" s="64" t="s">
        <v>303</v>
      </c>
      <c r="Z268" s="71"/>
      <c r="AA268" s="71"/>
      <c r="AB268" s="30">
        <v>0</v>
      </c>
      <c r="AC268" s="30">
        <v>0</v>
      </c>
      <c r="AD268" s="31">
        <v>0</v>
      </c>
      <c r="AE268" s="32" t="s">
        <v>1422</v>
      </c>
      <c r="AG268" s="2"/>
    </row>
    <row r="269" spans="1:33" ht="29" x14ac:dyDescent="0.35">
      <c r="A269" s="43" t="s">
        <v>306</v>
      </c>
      <c r="B269" s="2" t="s">
        <v>11</v>
      </c>
      <c r="C269" s="26" t="s">
        <v>19</v>
      </c>
      <c r="D269" s="2" t="s">
        <v>300</v>
      </c>
      <c r="E269" s="66" t="s">
        <v>1328</v>
      </c>
      <c r="F269" s="65">
        <v>46007</v>
      </c>
      <c r="G269" s="26" t="s">
        <v>113</v>
      </c>
      <c r="H269" s="67" t="s">
        <v>1344</v>
      </c>
      <c r="I269" s="26" t="s">
        <v>1541</v>
      </c>
      <c r="J269" s="2" t="s">
        <v>1354</v>
      </c>
      <c r="K269" s="85">
        <v>17220742</v>
      </c>
      <c r="L269" s="84"/>
      <c r="M269" s="85">
        <v>17220742</v>
      </c>
      <c r="N269" s="69" t="s">
        <v>302</v>
      </c>
      <c r="O269" s="3"/>
      <c r="P269" s="28">
        <f>+Tabla1513[[#This Row],[VALOR TOTAL DEL CONTRATO
(en pesos)
CON IVA
(inicial)]]+Tabla1513[[#This Row],[VALOR DE LAS ADICIONES
(en pesos)
CON IVA]]</f>
        <v>17220742</v>
      </c>
      <c r="Q269" s="37">
        <v>23</v>
      </c>
      <c r="R269" s="23" t="s">
        <v>302</v>
      </c>
      <c r="S269" s="4"/>
      <c r="T269" s="23" t="s">
        <v>302</v>
      </c>
      <c r="U269" s="23"/>
      <c r="V269" s="65">
        <v>46007</v>
      </c>
      <c r="W269" s="65">
        <v>46030</v>
      </c>
      <c r="X269" s="65">
        <v>46030</v>
      </c>
      <c r="Y269" s="64" t="s">
        <v>303</v>
      </c>
      <c r="Z269" s="71"/>
      <c r="AA269" s="71"/>
      <c r="AB269" s="30">
        <v>1</v>
      </c>
      <c r="AC269" s="30">
        <v>1</v>
      </c>
      <c r="AD269" s="31">
        <v>17220742</v>
      </c>
      <c r="AE269" s="32" t="s">
        <v>1423</v>
      </c>
      <c r="AG269" s="2"/>
    </row>
    <row r="270" spans="1:33" ht="29" x14ac:dyDescent="0.35">
      <c r="A270" s="43" t="s">
        <v>306</v>
      </c>
      <c r="B270" s="2" t="s">
        <v>298</v>
      </c>
      <c r="C270" s="26" t="s">
        <v>25</v>
      </c>
      <c r="D270" s="2" t="s">
        <v>300</v>
      </c>
      <c r="E270" s="66" t="s">
        <v>1323</v>
      </c>
      <c r="F270" s="65">
        <v>46008</v>
      </c>
      <c r="G270" s="26" t="s">
        <v>113</v>
      </c>
      <c r="H270" s="67" t="s">
        <v>1340</v>
      </c>
      <c r="I270" s="26" t="s">
        <v>1683</v>
      </c>
      <c r="J270" s="2" t="s">
        <v>1352</v>
      </c>
      <c r="K270" s="88">
        <v>46000000</v>
      </c>
      <c r="L270" s="84">
        <v>8740000</v>
      </c>
      <c r="M270" s="85">
        <v>54740000</v>
      </c>
      <c r="N270" s="69" t="s">
        <v>302</v>
      </c>
      <c r="O270" s="3"/>
      <c r="P270" s="28">
        <f>+Tabla1513[[#This Row],[VALOR TOTAL DEL CONTRATO
(en pesos)
CON IVA
(inicial)]]+Tabla1513[[#This Row],[VALOR DE LAS ADICIONES
(en pesos)
CON IVA]]</f>
        <v>54740000</v>
      </c>
      <c r="Q270" s="37">
        <v>14</v>
      </c>
      <c r="R270" s="23" t="s">
        <v>302</v>
      </c>
      <c r="S270" s="4"/>
      <c r="T270" s="23" t="s">
        <v>302</v>
      </c>
      <c r="U270" s="23"/>
      <c r="V270" s="65">
        <v>46008</v>
      </c>
      <c r="W270" s="65">
        <v>46022</v>
      </c>
      <c r="X270" s="65">
        <v>46022</v>
      </c>
      <c r="Y270" s="64" t="s">
        <v>320</v>
      </c>
      <c r="Z270" s="71"/>
      <c r="AA270" s="71" t="s">
        <v>321</v>
      </c>
      <c r="AB270" s="30">
        <v>0.8</v>
      </c>
      <c r="AC270" s="30">
        <v>0.84</v>
      </c>
      <c r="AD270" s="31">
        <v>45908758</v>
      </c>
      <c r="AE270" s="32" t="s">
        <v>430</v>
      </c>
      <c r="AG270" s="2"/>
    </row>
    <row r="271" spans="1:33" ht="43.5" x14ac:dyDescent="0.35">
      <c r="A271" s="43" t="s">
        <v>306</v>
      </c>
      <c r="B271" s="2" t="s">
        <v>329</v>
      </c>
      <c r="C271" s="26" t="s">
        <v>51</v>
      </c>
      <c r="D271" s="2" t="s">
        <v>324</v>
      </c>
      <c r="E271" s="66" t="s">
        <v>1319</v>
      </c>
      <c r="F271" s="65">
        <v>46009</v>
      </c>
      <c r="G271" s="26" t="s">
        <v>150</v>
      </c>
      <c r="H271" s="67" t="s">
        <v>1338</v>
      </c>
      <c r="I271" s="26" t="s">
        <v>1684</v>
      </c>
      <c r="J271" s="2" t="s">
        <v>353</v>
      </c>
      <c r="K271" s="88">
        <v>1178635332</v>
      </c>
      <c r="L271" s="84">
        <v>223940713</v>
      </c>
      <c r="M271" s="85">
        <v>1402576045</v>
      </c>
      <c r="N271" s="69" t="s">
        <v>302</v>
      </c>
      <c r="O271" s="3"/>
      <c r="P271" s="28">
        <f>+Tabla1513[[#This Row],[VALOR TOTAL DEL CONTRATO
(en pesos)
CON IVA
(inicial)]]+Tabla1513[[#This Row],[VALOR DE LAS ADICIONES
(en pesos)
CON IVA]]</f>
        <v>1402576045</v>
      </c>
      <c r="Q271" s="37">
        <v>729</v>
      </c>
      <c r="R271" s="23" t="s">
        <v>302</v>
      </c>
      <c r="S271" s="4"/>
      <c r="T271" s="23" t="s">
        <v>302</v>
      </c>
      <c r="U271" s="23"/>
      <c r="V271" s="65">
        <v>46009</v>
      </c>
      <c r="W271" s="65">
        <v>46738</v>
      </c>
      <c r="X271" s="65">
        <v>46738</v>
      </c>
      <c r="Y271" s="64" t="s">
        <v>303</v>
      </c>
      <c r="Z271" s="71"/>
      <c r="AA271" s="71"/>
      <c r="AB271" s="30">
        <v>1.1900000000000001E-2</v>
      </c>
      <c r="AC271" s="30">
        <v>0</v>
      </c>
      <c r="AD271" s="31">
        <v>0</v>
      </c>
      <c r="AE271" s="32" t="s">
        <v>1424</v>
      </c>
      <c r="AG271" s="2"/>
    </row>
    <row r="272" spans="1:33" ht="29" x14ac:dyDescent="0.35">
      <c r="A272" s="43" t="s">
        <v>306</v>
      </c>
      <c r="B272" s="2" t="s">
        <v>4</v>
      </c>
      <c r="C272" s="26" t="s">
        <v>352</v>
      </c>
      <c r="D272" s="2" t="s">
        <v>300</v>
      </c>
      <c r="E272" s="66" t="s">
        <v>1320</v>
      </c>
      <c r="F272" s="65">
        <v>46010</v>
      </c>
      <c r="G272" s="26" t="s">
        <v>150</v>
      </c>
      <c r="H272" s="67" t="s">
        <v>1339</v>
      </c>
      <c r="I272" s="26" t="s">
        <v>1685</v>
      </c>
      <c r="J272" s="2" t="s">
        <v>1351</v>
      </c>
      <c r="K272" s="85">
        <v>15812549</v>
      </c>
      <c r="L272" s="84"/>
      <c r="M272" s="85">
        <v>15812549</v>
      </c>
      <c r="N272" s="69" t="s">
        <v>302</v>
      </c>
      <c r="O272" s="3"/>
      <c r="P272" s="28">
        <f>+Tabla1513[[#This Row],[VALOR TOTAL DEL CONTRATO
(en pesos)
CON IVA
(inicial)]]+Tabla1513[[#This Row],[VALOR DE LAS ADICIONES
(en pesos)
CON IVA]]</f>
        <v>15812549</v>
      </c>
      <c r="Q272" s="37">
        <v>365</v>
      </c>
      <c r="R272" s="23" t="s">
        <v>302</v>
      </c>
      <c r="S272" s="4"/>
      <c r="T272" s="23" t="s">
        <v>302</v>
      </c>
      <c r="U272" s="23"/>
      <c r="V272" s="65">
        <v>46010</v>
      </c>
      <c r="W272" s="65">
        <v>46375</v>
      </c>
      <c r="X272" s="65">
        <v>46375</v>
      </c>
      <c r="Y272" s="64" t="s">
        <v>303</v>
      </c>
      <c r="Z272" s="71"/>
      <c r="AA272" s="71"/>
      <c r="AB272" s="30">
        <v>0</v>
      </c>
      <c r="AC272" s="30">
        <v>0</v>
      </c>
      <c r="AD272" s="31">
        <v>0</v>
      </c>
      <c r="AE272" s="32" t="s">
        <v>431</v>
      </c>
      <c r="AG272" s="2"/>
    </row>
    <row r="273" spans="1:33" ht="43.5" x14ac:dyDescent="0.35">
      <c r="A273" s="43" t="s">
        <v>306</v>
      </c>
      <c r="B273" s="2" t="s">
        <v>11</v>
      </c>
      <c r="C273" s="26" t="s">
        <v>20</v>
      </c>
      <c r="D273" s="2" t="s">
        <v>300</v>
      </c>
      <c r="E273" s="66" t="s">
        <v>1325</v>
      </c>
      <c r="F273" s="65">
        <v>46010</v>
      </c>
      <c r="G273" s="26" t="s">
        <v>150</v>
      </c>
      <c r="H273" s="67" t="s">
        <v>1342</v>
      </c>
      <c r="I273" s="26" t="s">
        <v>1496</v>
      </c>
      <c r="J273" s="2" t="s">
        <v>1353</v>
      </c>
      <c r="K273" s="88">
        <v>215888000.00999999</v>
      </c>
      <c r="L273" s="84">
        <v>41018720</v>
      </c>
      <c r="M273" s="85">
        <v>256906720</v>
      </c>
      <c r="N273" s="69" t="s">
        <v>302</v>
      </c>
      <c r="O273" s="3"/>
      <c r="P273" s="28">
        <f>+Tabla1513[[#This Row],[VALOR TOTAL DEL CONTRATO
(en pesos)
CON IVA
(inicial)]]+Tabla1513[[#This Row],[VALOR DE LAS ADICIONES
(en pesos)
CON IVA]]</f>
        <v>256906720</v>
      </c>
      <c r="Q273" s="37">
        <v>742</v>
      </c>
      <c r="R273" s="23" t="s">
        <v>302</v>
      </c>
      <c r="S273" s="4"/>
      <c r="T273" s="23" t="s">
        <v>302</v>
      </c>
      <c r="U273" s="23"/>
      <c r="V273" s="65">
        <v>46010</v>
      </c>
      <c r="W273" s="65">
        <v>46752</v>
      </c>
      <c r="X273" s="65">
        <v>46752</v>
      </c>
      <c r="Y273" s="64" t="s">
        <v>303</v>
      </c>
      <c r="Z273" s="71"/>
      <c r="AA273" s="71"/>
      <c r="AB273" s="30">
        <v>0</v>
      </c>
      <c r="AC273" s="30">
        <v>0</v>
      </c>
      <c r="AD273" s="31">
        <v>0</v>
      </c>
      <c r="AE273" s="32" t="s">
        <v>432</v>
      </c>
      <c r="AG273" s="2"/>
    </row>
    <row r="274" spans="1:33" ht="29" x14ac:dyDescent="0.35">
      <c r="A274" s="43" t="s">
        <v>306</v>
      </c>
      <c r="B274" s="2" t="s">
        <v>11</v>
      </c>
      <c r="C274" s="26" t="s">
        <v>19</v>
      </c>
      <c r="D274" s="2" t="s">
        <v>300</v>
      </c>
      <c r="E274" s="66" t="s">
        <v>1334</v>
      </c>
      <c r="F274" s="65">
        <v>46014</v>
      </c>
      <c r="G274" s="26" t="s">
        <v>113</v>
      </c>
      <c r="H274" s="67" t="s">
        <v>1349</v>
      </c>
      <c r="I274" s="26" t="s">
        <v>1679</v>
      </c>
      <c r="J274" s="2" t="s">
        <v>1309</v>
      </c>
      <c r="K274" s="85">
        <v>50996260</v>
      </c>
      <c r="L274" s="84"/>
      <c r="M274" s="85">
        <v>50996260</v>
      </c>
      <c r="N274" s="69" t="s">
        <v>302</v>
      </c>
      <c r="O274" s="3"/>
      <c r="P274" s="28">
        <f>+Tabla1513[[#This Row],[VALOR TOTAL DEL CONTRATO
(en pesos)
CON IVA
(inicial)]]+Tabla1513[[#This Row],[VALOR DE LAS ADICIONES
(en pesos)
CON IVA]]</f>
        <v>50996260</v>
      </c>
      <c r="Q274" s="37">
        <v>8</v>
      </c>
      <c r="R274" s="23" t="s">
        <v>302</v>
      </c>
      <c r="S274" s="4"/>
      <c r="T274" s="23" t="s">
        <v>302</v>
      </c>
      <c r="U274" s="23"/>
      <c r="V274" s="65">
        <v>46014</v>
      </c>
      <c r="W274" s="65">
        <v>46022</v>
      </c>
      <c r="X274" s="65">
        <v>46022</v>
      </c>
      <c r="Y274" s="64" t="s">
        <v>320</v>
      </c>
      <c r="Z274" s="71"/>
      <c r="AA274" s="71" t="s">
        <v>321</v>
      </c>
      <c r="AB274" s="30">
        <v>1</v>
      </c>
      <c r="AC274" s="30">
        <v>1</v>
      </c>
      <c r="AD274" s="31">
        <v>50996260</v>
      </c>
      <c r="AE274" s="32" t="s">
        <v>1425</v>
      </c>
      <c r="AG274" s="2"/>
    </row>
    <row r="275" spans="1:33" ht="29" x14ac:dyDescent="0.35">
      <c r="A275" s="43" t="s">
        <v>306</v>
      </c>
      <c r="B275" s="2" t="s">
        <v>322</v>
      </c>
      <c r="C275" s="26" t="s">
        <v>68</v>
      </c>
      <c r="D275" s="2" t="s">
        <v>300</v>
      </c>
      <c r="E275" s="66" t="s">
        <v>1322</v>
      </c>
      <c r="F275" s="65">
        <v>46014</v>
      </c>
      <c r="G275" s="26" t="s">
        <v>150</v>
      </c>
      <c r="H275" s="67" t="s">
        <v>1364</v>
      </c>
      <c r="I275" s="26" t="s">
        <v>1686</v>
      </c>
      <c r="J275" s="2" t="s">
        <v>355</v>
      </c>
      <c r="K275" s="88">
        <v>55599002</v>
      </c>
      <c r="L275" s="84">
        <v>10563810</v>
      </c>
      <c r="M275" s="85">
        <v>66162812</v>
      </c>
      <c r="N275" s="69" t="s">
        <v>302</v>
      </c>
      <c r="O275" s="3"/>
      <c r="P275" s="28">
        <f>+Tabla1513[[#This Row],[VALOR TOTAL DEL CONTRATO
(en pesos)
CON IVA
(inicial)]]+Tabla1513[[#This Row],[VALOR DE LAS ADICIONES
(en pesos)
CON IVA]]</f>
        <v>66162812</v>
      </c>
      <c r="Q275" s="37">
        <v>364</v>
      </c>
      <c r="R275" s="23" t="s">
        <v>302</v>
      </c>
      <c r="S275" s="4"/>
      <c r="T275" s="23" t="s">
        <v>302</v>
      </c>
      <c r="U275" s="23"/>
      <c r="V275" s="65">
        <v>46023</v>
      </c>
      <c r="W275" s="65">
        <v>46387</v>
      </c>
      <c r="X275" s="65">
        <v>46387</v>
      </c>
      <c r="Y275" s="64" t="s">
        <v>303</v>
      </c>
      <c r="Z275" s="71"/>
      <c r="AA275" s="71"/>
      <c r="AB275" s="30">
        <v>0</v>
      </c>
      <c r="AC275" s="30">
        <v>0</v>
      </c>
      <c r="AD275" s="31">
        <v>0</v>
      </c>
      <c r="AE275" s="32" t="s">
        <v>1426</v>
      </c>
      <c r="AG275" s="2"/>
    </row>
    <row r="276" spans="1:33" ht="43.5" x14ac:dyDescent="0.35">
      <c r="A276" s="43" t="s">
        <v>306</v>
      </c>
      <c r="B276" s="2" t="s">
        <v>322</v>
      </c>
      <c r="C276" s="26" t="s">
        <v>74</v>
      </c>
      <c r="D276" s="2" t="s">
        <v>300</v>
      </c>
      <c r="E276" s="66" t="s">
        <v>1324</v>
      </c>
      <c r="F276" s="65">
        <v>46015</v>
      </c>
      <c r="G276" s="26" t="s">
        <v>150</v>
      </c>
      <c r="H276" s="67" t="s">
        <v>1341</v>
      </c>
      <c r="I276" s="26" t="s">
        <v>1487</v>
      </c>
      <c r="J276" s="2" t="s">
        <v>367</v>
      </c>
      <c r="K276" s="88">
        <v>338611800</v>
      </c>
      <c r="L276" s="84">
        <v>64336242</v>
      </c>
      <c r="M276" s="85">
        <v>402948042</v>
      </c>
      <c r="N276" s="69" t="s">
        <v>302</v>
      </c>
      <c r="O276" s="3"/>
      <c r="P276" s="28">
        <f>+Tabla1513[[#This Row],[VALOR TOTAL DEL CONTRATO
(en pesos)
CON IVA
(inicial)]]+Tabla1513[[#This Row],[VALOR DE LAS ADICIONES
(en pesos)
CON IVA]]</f>
        <v>402948042</v>
      </c>
      <c r="Q276" s="37">
        <v>345</v>
      </c>
      <c r="R276" s="23" t="s">
        <v>302</v>
      </c>
      <c r="S276" s="4"/>
      <c r="T276" s="23" t="s">
        <v>302</v>
      </c>
      <c r="U276" s="23"/>
      <c r="V276" s="65">
        <v>46042</v>
      </c>
      <c r="W276" s="65">
        <v>46387</v>
      </c>
      <c r="X276" s="65">
        <v>46387</v>
      </c>
      <c r="Y276" s="64" t="s">
        <v>303</v>
      </c>
      <c r="Z276" s="71"/>
      <c r="AA276" s="71"/>
      <c r="AB276" s="30">
        <v>0</v>
      </c>
      <c r="AC276" s="30">
        <v>0</v>
      </c>
      <c r="AD276" s="31">
        <v>0</v>
      </c>
      <c r="AE276" s="32" t="s">
        <v>1427</v>
      </c>
      <c r="AG276" s="2"/>
    </row>
    <row r="277" spans="1:33" ht="43.5" x14ac:dyDescent="0.35">
      <c r="A277" s="43" t="s">
        <v>306</v>
      </c>
      <c r="B277" s="2" t="s">
        <v>298</v>
      </c>
      <c r="C277" s="26" t="s">
        <v>418</v>
      </c>
      <c r="D277" s="2" t="s">
        <v>300</v>
      </c>
      <c r="E277" s="66" t="s">
        <v>1331</v>
      </c>
      <c r="F277" s="65">
        <v>46009</v>
      </c>
      <c r="G277" s="26" t="s">
        <v>150</v>
      </c>
      <c r="H277" s="67" t="s">
        <v>1347</v>
      </c>
      <c r="I277" s="26" t="s">
        <v>1686</v>
      </c>
      <c r="J277" s="2" t="s">
        <v>355</v>
      </c>
      <c r="K277" s="88">
        <v>11975635</v>
      </c>
      <c r="L277" s="84">
        <v>2275371</v>
      </c>
      <c r="M277" s="85">
        <v>14251006</v>
      </c>
      <c r="N277" s="69" t="s">
        <v>302</v>
      </c>
      <c r="O277" s="3"/>
      <c r="P277" s="28">
        <f>+Tabla1513[[#This Row],[VALOR TOTAL DEL CONTRATO
(en pesos)
CON IVA
(inicial)]]+Tabla1513[[#This Row],[VALOR DE LAS ADICIONES
(en pesos)
CON IVA]]</f>
        <v>14251006</v>
      </c>
      <c r="Q277" s="37">
        <v>365</v>
      </c>
      <c r="R277" s="23" t="s">
        <v>302</v>
      </c>
      <c r="S277" s="4"/>
      <c r="T277" s="23" t="s">
        <v>302</v>
      </c>
      <c r="U277" s="23"/>
      <c r="V277" s="65">
        <v>46009</v>
      </c>
      <c r="W277" s="65">
        <v>46374</v>
      </c>
      <c r="X277" s="65">
        <v>46374</v>
      </c>
      <c r="Y277" s="64" t="s">
        <v>303</v>
      </c>
      <c r="Z277" s="71"/>
      <c r="AA277" s="71"/>
      <c r="AB277" s="30">
        <v>0.1666</v>
      </c>
      <c r="AC277" s="30">
        <v>0</v>
      </c>
      <c r="AD277" s="31">
        <v>0</v>
      </c>
      <c r="AE277" s="32" t="s">
        <v>1428</v>
      </c>
      <c r="AG277" s="2"/>
    </row>
    <row r="278" spans="1:33" ht="58" x14ac:dyDescent="0.35">
      <c r="A278" s="43" t="s">
        <v>306</v>
      </c>
      <c r="B278" s="2" t="s">
        <v>31</v>
      </c>
      <c r="C278" s="26" t="s">
        <v>336</v>
      </c>
      <c r="D278" s="2" t="s">
        <v>300</v>
      </c>
      <c r="E278" s="74" t="s">
        <v>1332</v>
      </c>
      <c r="F278" s="65">
        <v>46017</v>
      </c>
      <c r="G278" s="26" t="s">
        <v>150</v>
      </c>
      <c r="H278" s="67" t="s">
        <v>1363</v>
      </c>
      <c r="I278" s="26" t="s">
        <v>1640</v>
      </c>
      <c r="J278" s="2" t="s">
        <v>1356</v>
      </c>
      <c r="K278" s="88">
        <v>17000000</v>
      </c>
      <c r="L278" s="84"/>
      <c r="M278" s="85">
        <v>17000000</v>
      </c>
      <c r="N278" s="69" t="s">
        <v>302</v>
      </c>
      <c r="O278" s="3"/>
      <c r="P278" s="28">
        <f>+Tabla1513[[#This Row],[VALOR TOTAL DEL CONTRATO
(en pesos)
CON IVA
(inicial)]]+Tabla1513[[#This Row],[VALOR DE LAS ADICIONES
(en pesos)
CON IVA]]</f>
        <v>17000000</v>
      </c>
      <c r="Q278" s="37">
        <v>365</v>
      </c>
      <c r="R278" s="23" t="s">
        <v>302</v>
      </c>
      <c r="S278" s="4"/>
      <c r="T278" s="23" t="s">
        <v>302</v>
      </c>
      <c r="U278" s="23"/>
      <c r="V278" s="65">
        <v>46019</v>
      </c>
      <c r="W278" s="65">
        <v>46384</v>
      </c>
      <c r="X278" s="65">
        <v>46384</v>
      </c>
      <c r="Y278" s="64" t="s">
        <v>303</v>
      </c>
      <c r="Z278" s="71"/>
      <c r="AA278" s="71"/>
      <c r="AB278" s="30">
        <v>0.02</v>
      </c>
      <c r="AC278" s="30">
        <v>1</v>
      </c>
      <c r="AD278" s="31">
        <v>17000000</v>
      </c>
      <c r="AE278" s="32" t="s">
        <v>1429</v>
      </c>
      <c r="AG278" s="2"/>
    </row>
    <row r="279" spans="1:33" ht="29" x14ac:dyDescent="0.35">
      <c r="A279" s="43" t="s">
        <v>306</v>
      </c>
      <c r="B279" s="2" t="s">
        <v>11</v>
      </c>
      <c r="C279" s="26" t="s">
        <v>19</v>
      </c>
      <c r="D279" s="2" t="s">
        <v>300</v>
      </c>
      <c r="E279" s="66" t="s">
        <v>1336</v>
      </c>
      <c r="F279" s="65">
        <v>46021</v>
      </c>
      <c r="G279" s="26" t="s">
        <v>113</v>
      </c>
      <c r="H279" s="67" t="s">
        <v>1350</v>
      </c>
      <c r="I279" s="26" t="s">
        <v>1687</v>
      </c>
      <c r="J279" s="2" t="s">
        <v>1357</v>
      </c>
      <c r="K279" s="85">
        <v>55977600</v>
      </c>
      <c r="L279" s="84"/>
      <c r="M279" s="85">
        <v>55977600</v>
      </c>
      <c r="N279" s="69" t="s">
        <v>302</v>
      </c>
      <c r="O279" s="3"/>
      <c r="P279" s="28">
        <f>+Tabla1513[[#This Row],[VALOR TOTAL DEL CONTRATO
(en pesos)
CON IVA
(inicial)]]+Tabla1513[[#This Row],[VALOR DE LAS ADICIONES
(en pesos)
CON IVA]]</f>
        <v>55977600</v>
      </c>
      <c r="Q279" s="37">
        <v>1</v>
      </c>
      <c r="R279" s="23" t="s">
        <v>302</v>
      </c>
      <c r="S279" s="4"/>
      <c r="T279" s="23" t="s">
        <v>302</v>
      </c>
      <c r="U279" s="23"/>
      <c r="V279" s="65">
        <v>46021</v>
      </c>
      <c r="W279" s="65">
        <v>46022</v>
      </c>
      <c r="X279" s="65">
        <v>46022</v>
      </c>
      <c r="Y279" s="64" t="s">
        <v>320</v>
      </c>
      <c r="Z279" s="71"/>
      <c r="AA279" s="71" t="s">
        <v>321</v>
      </c>
      <c r="AB279" s="30">
        <v>1</v>
      </c>
      <c r="AC279" s="30">
        <v>0</v>
      </c>
      <c r="AD279" s="31">
        <v>0</v>
      </c>
      <c r="AE279" s="32" t="s">
        <v>1430</v>
      </c>
      <c r="AG279" s="2"/>
    </row>
    <row r="280" spans="1:33" ht="43.5" x14ac:dyDescent="0.35">
      <c r="A280" s="43" t="s">
        <v>306</v>
      </c>
      <c r="B280" s="2" t="s">
        <v>11</v>
      </c>
      <c r="C280" s="26" t="s">
        <v>19</v>
      </c>
      <c r="D280" s="2" t="s">
        <v>300</v>
      </c>
      <c r="E280" s="66" t="s">
        <v>1327</v>
      </c>
      <c r="F280" s="65">
        <v>46022</v>
      </c>
      <c r="G280" s="26" t="s">
        <v>142</v>
      </c>
      <c r="H280" s="67" t="s">
        <v>1362</v>
      </c>
      <c r="I280" s="26" t="s">
        <v>1688</v>
      </c>
      <c r="J280" s="2" t="s">
        <v>399</v>
      </c>
      <c r="K280" s="85">
        <v>45937600</v>
      </c>
      <c r="L280" s="84"/>
      <c r="M280" s="85">
        <v>45937600</v>
      </c>
      <c r="N280" s="69" t="s">
        <v>302</v>
      </c>
      <c r="O280" s="3"/>
      <c r="P280" s="28">
        <f>+Tabla1513[[#This Row],[VALOR TOTAL DEL CONTRATO
(en pesos)
CON IVA
(inicial)]]+Tabla1513[[#This Row],[VALOR DE LAS ADICIONES
(en pesos)
CON IVA]]</f>
        <v>45937600</v>
      </c>
      <c r="Q280" s="37">
        <v>396</v>
      </c>
      <c r="R280" s="23" t="s">
        <v>302</v>
      </c>
      <c r="S280" s="4"/>
      <c r="T280" s="23" t="s">
        <v>302</v>
      </c>
      <c r="U280" s="23"/>
      <c r="V280" s="65">
        <v>46022</v>
      </c>
      <c r="W280" s="65">
        <v>46418</v>
      </c>
      <c r="X280" s="65">
        <v>46418</v>
      </c>
      <c r="Y280" s="64" t="s">
        <v>303</v>
      </c>
      <c r="Z280" s="71"/>
      <c r="AA280" s="71"/>
      <c r="AB280" s="30">
        <v>0</v>
      </c>
      <c r="AC280" s="30">
        <v>0</v>
      </c>
      <c r="AD280" s="31">
        <v>0</v>
      </c>
      <c r="AE280" s="32" t="s">
        <v>1427</v>
      </c>
      <c r="AG280" s="2"/>
    </row>
    <row r="281" spans="1:33" ht="29" x14ac:dyDescent="0.35">
      <c r="A281" s="43" t="s">
        <v>306</v>
      </c>
      <c r="B281" s="2" t="s">
        <v>4</v>
      </c>
      <c r="C281" s="26" t="s">
        <v>352</v>
      </c>
      <c r="D281" s="2" t="s">
        <v>300</v>
      </c>
      <c r="E281" s="66" t="s">
        <v>1321</v>
      </c>
      <c r="F281" s="65">
        <v>46022</v>
      </c>
      <c r="G281" s="26" t="s">
        <v>150</v>
      </c>
      <c r="H281" s="67" t="s">
        <v>1361</v>
      </c>
      <c r="I281" s="26" t="s">
        <v>1449</v>
      </c>
      <c r="J281" s="2" t="s">
        <v>358</v>
      </c>
      <c r="K281" s="85">
        <v>19117350</v>
      </c>
      <c r="L281" s="84"/>
      <c r="M281" s="85">
        <v>19117350</v>
      </c>
      <c r="N281" s="69" t="s">
        <v>302</v>
      </c>
      <c r="O281" s="3"/>
      <c r="P281" s="28">
        <f>+Tabla1513[[#This Row],[VALOR TOTAL DEL CONTRATO
(en pesos)
CON IVA
(inicial)]]+Tabla1513[[#This Row],[VALOR DE LAS ADICIONES
(en pesos)
CON IVA]]</f>
        <v>19117350</v>
      </c>
      <c r="Q281" s="37">
        <v>365</v>
      </c>
      <c r="R281" s="23" t="s">
        <v>302</v>
      </c>
      <c r="S281" s="4"/>
      <c r="T281" s="23" t="s">
        <v>302</v>
      </c>
      <c r="U281" s="23"/>
      <c r="V281" s="65">
        <v>46022</v>
      </c>
      <c r="W281" s="65">
        <v>46387</v>
      </c>
      <c r="X281" s="65">
        <v>46387</v>
      </c>
      <c r="Y281" s="64" t="s">
        <v>303</v>
      </c>
      <c r="Z281" s="71"/>
      <c r="AA281" s="71"/>
      <c r="AB281" s="30">
        <v>0</v>
      </c>
      <c r="AC281" s="30">
        <v>0</v>
      </c>
      <c r="AD281" s="31">
        <v>0</v>
      </c>
      <c r="AE281" s="32" t="s">
        <v>1431</v>
      </c>
      <c r="AG281" s="2"/>
    </row>
    <row r="282" spans="1:33" ht="29" x14ac:dyDescent="0.35">
      <c r="A282" s="43" t="s">
        <v>306</v>
      </c>
      <c r="B282" s="2" t="s">
        <v>11</v>
      </c>
      <c r="C282" s="26" t="s">
        <v>19</v>
      </c>
      <c r="D282" s="2" t="s">
        <v>300</v>
      </c>
      <c r="E282" s="66" t="s">
        <v>1335</v>
      </c>
      <c r="F282" s="65">
        <v>46022</v>
      </c>
      <c r="G282" s="26" t="s">
        <v>113</v>
      </c>
      <c r="H282" s="67" t="s">
        <v>1306</v>
      </c>
      <c r="I282" s="26" t="s">
        <v>1505</v>
      </c>
      <c r="J282" s="2" t="s">
        <v>1312</v>
      </c>
      <c r="K282" s="85">
        <v>69463072</v>
      </c>
      <c r="L282" s="84">
        <v>0</v>
      </c>
      <c r="M282" s="85">
        <v>69463072</v>
      </c>
      <c r="N282" s="69" t="s">
        <v>302</v>
      </c>
      <c r="O282" s="3"/>
      <c r="P282" s="28">
        <f>+Tabla1513[[#This Row],[VALOR TOTAL DEL CONTRATO
(en pesos)
CON IVA
(inicial)]]+Tabla1513[[#This Row],[VALOR DE LAS ADICIONES
(en pesos)
CON IVA]]</f>
        <v>69463072</v>
      </c>
      <c r="Q282" s="37">
        <v>6</v>
      </c>
      <c r="R282" s="23" t="s">
        <v>302</v>
      </c>
      <c r="S282" s="4"/>
      <c r="T282" s="23" t="s">
        <v>302</v>
      </c>
      <c r="U282" s="23"/>
      <c r="V282" s="65">
        <v>46022</v>
      </c>
      <c r="W282" s="65">
        <v>46028</v>
      </c>
      <c r="X282" s="65">
        <v>46028</v>
      </c>
      <c r="Y282" s="64" t="s">
        <v>303</v>
      </c>
      <c r="Z282" s="71"/>
      <c r="AA282" s="71"/>
      <c r="AB282" s="30">
        <v>1</v>
      </c>
      <c r="AC282" s="30">
        <v>1</v>
      </c>
      <c r="AD282" s="31">
        <v>69463072</v>
      </c>
      <c r="AE282" s="32" t="s">
        <v>1432</v>
      </c>
      <c r="AG282" s="2"/>
    </row>
    <row r="283" spans="1:33" ht="43.5" x14ac:dyDescent="0.35">
      <c r="A283" s="43" t="s">
        <v>306</v>
      </c>
      <c r="B283" s="2" t="s">
        <v>11</v>
      </c>
      <c r="C283" s="26" t="s">
        <v>18</v>
      </c>
      <c r="D283" s="2" t="s">
        <v>300</v>
      </c>
      <c r="E283" s="66" t="s">
        <v>1333</v>
      </c>
      <c r="F283" s="65">
        <v>46015</v>
      </c>
      <c r="G283" s="26" t="s">
        <v>160</v>
      </c>
      <c r="H283" s="67" t="s">
        <v>1348</v>
      </c>
      <c r="I283" s="26" t="s">
        <v>1689</v>
      </c>
      <c r="J283" s="2" t="s">
        <v>363</v>
      </c>
      <c r="K283" s="88">
        <v>10198499900</v>
      </c>
      <c r="L283" s="84">
        <v>509924995</v>
      </c>
      <c r="M283" s="85">
        <v>10708424895</v>
      </c>
      <c r="N283" s="69" t="s">
        <v>302</v>
      </c>
      <c r="O283" s="3"/>
      <c r="P283" s="28">
        <f>+Tabla1513[[#This Row],[VALOR TOTAL DEL CONTRATO
(en pesos)
CON IVA
(inicial)]]+Tabla1513[[#This Row],[VALOR DE LAS ADICIONES
(en pesos)
CON IVA]]</f>
        <v>10708424895</v>
      </c>
      <c r="Q283" s="37">
        <v>364</v>
      </c>
      <c r="R283" s="23" t="s">
        <v>302</v>
      </c>
      <c r="S283" s="4"/>
      <c r="T283" s="23" t="s">
        <v>302</v>
      </c>
      <c r="U283" s="23"/>
      <c r="V283" s="65">
        <v>46023</v>
      </c>
      <c r="W283" s="65">
        <v>46387</v>
      </c>
      <c r="X283" s="65">
        <v>46387</v>
      </c>
      <c r="Y283" s="64" t="s">
        <v>303</v>
      </c>
      <c r="Z283" s="71"/>
      <c r="AA283" s="71"/>
      <c r="AB283" s="30">
        <v>0</v>
      </c>
      <c r="AC283" s="30">
        <v>0</v>
      </c>
      <c r="AD283" s="31">
        <v>0</v>
      </c>
      <c r="AE283" s="32" t="s">
        <v>1433</v>
      </c>
      <c r="AG283" s="2"/>
    </row>
    <row r="284" spans="1:33" ht="110.5" customHeight="1" x14ac:dyDescent="0.35">
      <c r="A284" s="43" t="s">
        <v>306</v>
      </c>
      <c r="B284" s="2" t="s">
        <v>298</v>
      </c>
      <c r="C284" s="26" t="s">
        <v>1359</v>
      </c>
      <c r="D284" s="2" t="s">
        <v>300</v>
      </c>
      <c r="E284" s="66" t="s">
        <v>1329</v>
      </c>
      <c r="F284" s="65">
        <v>46022</v>
      </c>
      <c r="G284" s="26" t="s">
        <v>150</v>
      </c>
      <c r="H284" s="67" t="s">
        <v>1345</v>
      </c>
      <c r="I284" s="26" t="s">
        <v>1690</v>
      </c>
      <c r="J284" s="2" t="s">
        <v>1355</v>
      </c>
      <c r="K284" s="85">
        <v>246464440</v>
      </c>
      <c r="L284" s="84">
        <v>0</v>
      </c>
      <c r="M284" s="85">
        <v>246464440</v>
      </c>
      <c r="N284" s="69" t="s">
        <v>302</v>
      </c>
      <c r="O284" s="3"/>
      <c r="P284" s="28">
        <f>+Tabla1513[[#This Row],[VALOR TOTAL DEL CONTRATO
(en pesos)
CON IVA
(inicial)]]+Tabla1513[[#This Row],[VALOR DE LAS ADICIONES
(en pesos)
CON IVA]]</f>
        <v>246464440</v>
      </c>
      <c r="Q284" s="37">
        <v>1095</v>
      </c>
      <c r="R284" s="23" t="s">
        <v>302</v>
      </c>
      <c r="S284" s="4"/>
      <c r="T284" s="23" t="s">
        <v>302</v>
      </c>
      <c r="U284" s="23"/>
      <c r="V284" s="65">
        <v>46023</v>
      </c>
      <c r="W284" s="65">
        <v>47118</v>
      </c>
      <c r="X284" s="65">
        <v>47118</v>
      </c>
      <c r="Y284" s="64" t="s">
        <v>303</v>
      </c>
      <c r="Z284" s="71"/>
      <c r="AA284" s="71"/>
      <c r="AB284" s="30">
        <v>0</v>
      </c>
      <c r="AC284" s="30">
        <v>0</v>
      </c>
      <c r="AD284" s="31">
        <v>0</v>
      </c>
      <c r="AE284" s="32" t="s">
        <v>1434</v>
      </c>
      <c r="AG284" s="2"/>
    </row>
    <row r="285" spans="1:33" ht="41" customHeight="1" x14ac:dyDescent="0.35">
      <c r="A285" s="43" t="s">
        <v>306</v>
      </c>
      <c r="B285" s="2" t="s">
        <v>11</v>
      </c>
      <c r="C285" s="26" t="s">
        <v>19</v>
      </c>
      <c r="D285" s="2" t="s">
        <v>300</v>
      </c>
      <c r="E285" s="66" t="s">
        <v>1337</v>
      </c>
      <c r="F285" s="65">
        <v>46022</v>
      </c>
      <c r="G285" s="26" t="s">
        <v>150</v>
      </c>
      <c r="H285" s="67" t="s">
        <v>1360</v>
      </c>
      <c r="I285" s="26" t="s">
        <v>1691</v>
      </c>
      <c r="J285" s="2" t="s">
        <v>1358</v>
      </c>
      <c r="K285" s="88">
        <v>0</v>
      </c>
      <c r="L285" s="84">
        <v>0</v>
      </c>
      <c r="M285" s="85">
        <v>0</v>
      </c>
      <c r="N285" s="69" t="s">
        <v>302</v>
      </c>
      <c r="O285" s="3"/>
      <c r="P285" s="28">
        <f>+Tabla1513[[#This Row],[VALOR TOTAL DEL CONTRATO
(en pesos)
CON IVA
(inicial)]]+Tabla1513[[#This Row],[VALOR DE LAS ADICIONES
(en pesos)
CON IVA]]</f>
        <v>0</v>
      </c>
      <c r="Q285" s="37">
        <v>365</v>
      </c>
      <c r="R285" s="23" t="s">
        <v>302</v>
      </c>
      <c r="S285" s="4"/>
      <c r="T285" s="23" t="s">
        <v>302</v>
      </c>
      <c r="U285" s="23"/>
      <c r="V285" s="65">
        <v>46022</v>
      </c>
      <c r="W285" s="65">
        <v>46387</v>
      </c>
      <c r="X285" s="65">
        <v>46387</v>
      </c>
      <c r="Y285" s="64" t="s">
        <v>303</v>
      </c>
      <c r="Z285" s="71"/>
      <c r="AA285" s="71"/>
      <c r="AB285" s="30">
        <v>0</v>
      </c>
      <c r="AC285" s="30">
        <v>0</v>
      </c>
      <c r="AD285" s="31">
        <v>0</v>
      </c>
      <c r="AE285" s="32" t="s">
        <v>1435</v>
      </c>
      <c r="AG285" s="2"/>
    </row>
    <row r="286" spans="1:33" ht="28.5" customHeight="1" x14ac:dyDescent="0.35">
      <c r="A286" s="24">
        <f>SUBTOTAL(103,Tabla1513[CM / SUC.])</f>
        <v>280</v>
      </c>
      <c r="B286" s="24">
        <f>SUBTOTAL(103,Tabla1513[VICEPRESIDENCIA])</f>
        <v>280</v>
      </c>
      <c r="C286" s="24">
        <f>SUBTOTAL(103,Tabla1513[[ÁREA QUE CONTRATA ]])</f>
        <v>280</v>
      </c>
      <c r="D286" s="24">
        <f>SUBTOTAL(103,Tabla1513[MODALIDAD CONTRATACIÓN])</f>
        <v>280</v>
      </c>
      <c r="E286" s="24">
        <f>SUBTOTAL(103,Tabla1513[N° DE CONTRATO])</f>
        <v>280</v>
      </c>
      <c r="F286" s="24">
        <f>SUBTOTAL(103,Tabla1513[FECHA SUSCRIPCIÓN DEL CONTRATO])</f>
        <v>280</v>
      </c>
      <c r="G286" s="24">
        <f>SUBTOTAL(103,Tabla1513[CLASE DE CONTRATO])</f>
        <v>280</v>
      </c>
      <c r="H286" s="58">
        <f>SUBTOTAL(103,Tabla1513[OBJETO DEL CONTRATO])</f>
        <v>280</v>
      </c>
      <c r="I286" s="24">
        <f>SUBTOTAL(103,Tabla1513[N° DE IDENTIFICACIÓN DEL CONTRATISTA])</f>
        <v>280</v>
      </c>
      <c r="J286" s="24">
        <f>SUBTOTAL(103,Tabla1513[RAZÓN SOCIAL DEL CONTRATISTA])</f>
        <v>280</v>
      </c>
      <c r="K286" s="25">
        <f>SUBTOTAL(109,Tabla1513[VALOR INICIAL DEL CONTRATO
 (en pesos) 
SIN IVA])</f>
        <v>123131613435.93872</v>
      </c>
      <c r="L286" s="25">
        <f>SUBTOTAL(109,Tabla1513[VALOR IVA
(si aplica)])</f>
        <v>16377107283.331261</v>
      </c>
      <c r="M286" s="25">
        <f>SUBTOTAL(109,Tabla1513[VALOR TOTAL DEL CONTRATO
(en pesos)
CON IVA
(inicial)])</f>
        <v>139508720766.19</v>
      </c>
      <c r="N286" s="24">
        <f>SUBTOTAL(103,Tabla1513[ADICIONES
(SI / NO)])</f>
        <v>280</v>
      </c>
      <c r="O286" s="25">
        <f>SUBTOTAL(109,Tabla1513[VALOR DE LAS ADICIONES
(en pesos)
CON IVA])</f>
        <v>875814496</v>
      </c>
      <c r="P286" s="25">
        <f>SUBTOTAL(109,Tabla1513[VALOR TOTAL CONTRATO CON IVA (VALOR INICIAL + ADICIONES) ])</f>
        <v>140384535262.19</v>
      </c>
      <c r="Q286" s="24">
        <f>SUBTOTAL(103,Tabla1513[PLAZO DEL CONTRATO
 (inicial)
(días)])</f>
        <v>280</v>
      </c>
      <c r="R286" s="24">
        <f>SUBTOTAL(103,Tabla1513[PRÓRROGA
(SI / NO)])</f>
        <v>280</v>
      </c>
      <c r="S286" s="24">
        <f>SUBTOTAL(103,Tabla1513[ADICIONES: NÚMERO DE DÍAS])</f>
        <v>9</v>
      </c>
      <c r="T286" s="24">
        <f>SUBTOTAL(103,Tabla1513[SUSPENSIÓN (SI/NO)])</f>
        <v>280</v>
      </c>
      <c r="U286" s="24">
        <f>SUBTOTAL(103,Tabla1513[NÚMERO DE DÍAS])</f>
        <v>1</v>
      </c>
      <c r="V286" s="24">
        <f>SUBTOTAL(103,Tabla1513[FECHA INICIO CONTRATO])</f>
        <v>280</v>
      </c>
      <c r="W286" s="24">
        <f>SUBTOTAL(103,Tabla1513[FECHA TERMINACIÓN CONTRATO
(inicial)])</f>
        <v>280</v>
      </c>
      <c r="X286" s="24">
        <f>SUBTOTAL(103,Tabla1513[FECHA TERMINACIÓN DEL CONTRATO
(inicial + prórrogas)])</f>
        <v>280</v>
      </c>
      <c r="Y286" s="24">
        <f>SUBTOTAL(103,Tabla1513[ESTADO DEL CONTRATO (EN EJECUCIÓN EN LIQUIDACIÓN POR LIQUIDAR NO SE LIQUIDA)])</f>
        <v>280</v>
      </c>
      <c r="Z286" s="24">
        <f>SUBTOTAL(103,Tabla1513[FECHA LIQUIDACIÓN DEL CONTRATO])</f>
        <v>13</v>
      </c>
      <c r="AA286" s="24">
        <f>SUBTOTAL(103,Tabla1513[CAUSAL DE TERMINACIÓN])</f>
        <v>141</v>
      </c>
      <c r="AB286" s="24">
        <f>SUBTOTAL(103,Tabla1513[PORCENTAJE DE EJECUCIÓN FÍSICA 
A 31 DICIEMBRE 2025])</f>
        <v>280</v>
      </c>
      <c r="AC286" s="24">
        <f>SUBTOTAL(103,Tabla1513[PORCENTAJE DE EJECUCIÓN PRESUPUESTAL
A 31 DICIEMBRE 2025])</f>
        <v>280</v>
      </c>
      <c r="AD286" s="25">
        <f>SUBTOTAL(109,Tabla1513[VALOR PAGADO (en pesos)
A 31 DICIEMBRE 2025])</f>
        <v>42741468650.212578</v>
      </c>
      <c r="AE286" s="24">
        <f>SUBTOTAL(103,Tabla1513[LINK SECOP I, II 
(según aplique)])</f>
        <v>280</v>
      </c>
      <c r="AG286" s="2"/>
    </row>
    <row r="287" spans="1:33" x14ac:dyDescent="0.35">
      <c r="A287" s="26"/>
      <c r="B287" s="26"/>
      <c r="C287" s="26"/>
      <c r="D287" s="26"/>
      <c r="E287" s="26"/>
      <c r="F287" s="26"/>
      <c r="G287" s="26"/>
      <c r="H287" s="33"/>
      <c r="I287" s="26"/>
      <c r="J287" s="26"/>
      <c r="K287" s="26"/>
      <c r="L287" s="26"/>
      <c r="M287" s="28"/>
      <c r="N287" s="28"/>
      <c r="O287" s="35"/>
      <c r="P287" s="28"/>
      <c r="Q287" s="28"/>
      <c r="R287" s="28"/>
      <c r="S287" s="29"/>
      <c r="T287" s="26"/>
      <c r="U287" s="26"/>
      <c r="V287" s="26"/>
      <c r="W287" s="26"/>
      <c r="X287" s="26"/>
      <c r="Y287" s="42"/>
      <c r="Z287" s="42"/>
      <c r="AA287" s="39"/>
      <c r="AB287" s="39"/>
      <c r="AC287" s="39"/>
      <c r="AD287" s="40"/>
      <c r="AE287" s="26"/>
      <c r="AF287" s="26"/>
      <c r="AG287" s="45"/>
    </row>
    <row r="288" spans="1:33" x14ac:dyDescent="0.35">
      <c r="O288" s="35"/>
    </row>
  </sheetData>
  <sheetProtection autoFilter="0"/>
  <protectedRanges>
    <protectedRange sqref="G38 G43 G53 G65 G92 G96 G102 G120 G124 G135 G144 G148 G155 G211:G285 G158 G164 G176 G179 G181 G199:G200 G205:G207 G90 G7 G9 H131 G25 G29:G30 G36" name="Rango1"/>
  </protectedRanges>
  <mergeCells count="3">
    <mergeCell ref="A1:AE1"/>
    <mergeCell ref="A2:AE2"/>
    <mergeCell ref="A3:AE3"/>
  </mergeCells>
  <phoneticPr fontId="8" type="noConversion"/>
  <dataValidations count="6">
    <dataValidation type="list" allowBlank="1" showInputMessage="1" showErrorMessage="1" sqref="D138:D285 D6:D135" xr:uid="{113F30F3-60B2-4649-AF7D-36D9A5783AF0}">
      <formula1>"SIMPLIFICADA, INVITACIÓN ABIERTA, INVITACIÓN CERRADA, INVITACIÓN DIRECTA,CONTRATACIÓN DIRECTA, ACUERDO MARCO"</formula1>
    </dataValidation>
    <dataValidation type="list" allowBlank="1" showInputMessage="1" showErrorMessage="1" sqref="D179" xr:uid="{D2C172A9-17B0-4864-BE86-577579D2F876}">
      <formula1>"SIMPLIFICADA, INVITACIÓN ABIERTA, INVITACIÓN CERRADA, INVITACIÓN DIRECTA,CONTRATACIÓN DIRECTA,ACUERDO MARCO"</formula1>
    </dataValidation>
    <dataValidation type="list" allowBlank="1" showInputMessage="1" showErrorMessage="1" sqref="R6:R285 N6:N285 T6:T285" xr:uid="{C40F40FB-52DE-40AA-95A9-7F7C3FA486A9}">
      <formula1>"SI, NO"</formula1>
    </dataValidation>
    <dataValidation type="list" allowBlank="1" showInputMessage="1" showErrorMessage="1" sqref="Y6:Y285" xr:uid="{CA48A4CD-8A11-497F-9128-F589867F24FC}">
      <formula1>"En ejecución, Finalizado, En Liquidación, Liquidado, Por Liquidar,No se Liquida"</formula1>
    </dataValidation>
    <dataValidation type="list" allowBlank="1" showInputMessage="1" showErrorMessage="1" sqref="B6:B285" xr:uid="{F4F307A8-D07C-499B-AEED-BB5B95B6F470}">
      <formula1>"Presidencia_, Secretaría_General, Vicepresidencia_Comercial, Vicepresidencia_Desarrollo_Corporativo, Vicepresidencia_Financiera, Vicepresidencia_De_Indemnizaciones,Vicepresidencia_Jurídica,Vicepresidencia_Técnica"</formula1>
    </dataValidation>
    <dataValidation type="list" allowBlank="1" showInputMessage="1" showErrorMessage="1" sqref="A5:A285" xr:uid="{DDC2DB98-9B7A-4DCF-A2B0-1DB36864183F}">
      <formula1>"Casa Matriz, Sucursal"</formula1>
    </dataValidation>
  </dataValidations>
  <pageMargins left="0.51181102362204722" right="0.51181102362204722" top="0.74803149606299213" bottom="0.74803149606299213" header="0.31496062992125984" footer="0.31496062992125984"/>
  <pageSetup scale="90" orientation="landscape" r:id="rId1"/>
  <headerFooter>
    <oddFooter>&amp;C_x000D_&amp;1#&amp;"Calibri"&amp;10&amp;K000000 DOCUMENTO DE USO INTERNO</oddFooter>
  </headerFooter>
  <ignoredErrors>
    <ignoredError sqref="A5:B5 AF5:XFD5" listDataValidation="1"/>
  </ignoredErrors>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D6551721-AB6F-4C91-B56B-93EE22A87000}">
          <x14:formula1>
            <xm:f>Hoja1!$E$72:$E$82</xm:f>
          </x14:formula1>
          <xm:sqref>I287</xm:sqref>
        </x14:dataValidation>
        <x14:dataValidation type="list" allowBlank="1" showInputMessage="1" showErrorMessage="1" xr:uid="{6FDB58A9-B4EA-4644-86D7-F98259C822A8}">
          <x14:formula1>
            <xm:f>Referencias!$A$1:$A$30</xm:f>
          </x14:formula1>
          <xm:sqref>G30:G89 G91:G95 G97:G264 G266:G285 G6:G28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C0649-062D-499B-8D08-7385B35CE7DD}">
  <dimension ref="A1:AE245"/>
  <sheetViews>
    <sheetView showGridLines="0" tabSelected="1" topLeftCell="K1" zoomScale="90" zoomScaleNormal="90" workbookViewId="0">
      <selection activeCell="M4" sqref="M4"/>
    </sheetView>
  </sheetViews>
  <sheetFormatPr baseColWidth="10" defaultColWidth="14.81640625" defaultRowHeight="14.5" x14ac:dyDescent="0.35"/>
  <cols>
    <col min="1" max="1" width="16.7265625" style="2" bestFit="1" customWidth="1"/>
    <col min="2" max="2" width="16.54296875" style="2" customWidth="1"/>
    <col min="3" max="3" width="16.453125" style="2" customWidth="1"/>
    <col min="4" max="4" width="14.81640625" style="2" customWidth="1"/>
    <col min="5" max="5" width="18.81640625" style="2" customWidth="1"/>
    <col min="6" max="6" width="42.54296875" style="2" customWidth="1"/>
    <col min="7" max="7" width="16.7265625" customWidth="1"/>
    <col min="8" max="8" width="36.36328125" style="41" customWidth="1"/>
    <col min="9" max="9" width="22.54296875" style="2" hidden="1" customWidth="1"/>
    <col min="10" max="10" width="15.26953125" style="2" hidden="1" customWidth="1"/>
    <col min="11" max="11" width="21.81640625" style="2" customWidth="1"/>
    <col min="12" max="12" width="14" style="2" customWidth="1"/>
    <col min="13" max="13" width="17.453125" style="2" customWidth="1"/>
    <col min="14" max="14" width="19.453125" style="2" customWidth="1"/>
    <col min="15" max="15" width="15.7265625" style="2" bestFit="1" customWidth="1"/>
    <col min="16" max="16" width="14.08984375" style="2" customWidth="1"/>
    <col min="17" max="17" width="15" style="27" bestFit="1" customWidth="1"/>
    <col min="18" max="18" width="15.1796875" style="2" bestFit="1" customWidth="1"/>
    <col min="19" max="19" width="15" style="2" customWidth="1"/>
    <col min="20" max="20" width="21.453125" style="2" customWidth="1"/>
    <col min="21" max="21" width="22.08984375" style="2" hidden="1" customWidth="1"/>
    <col min="22" max="22" width="23.26953125" style="2" customWidth="1"/>
    <col min="23" max="23" width="18.54296875" style="2" customWidth="1"/>
    <col min="24" max="24" width="21.54296875" style="2" customWidth="1"/>
    <col min="25" max="25" width="19.81640625" style="2" customWidth="1"/>
    <col min="26" max="26" width="18.7265625" style="2" customWidth="1"/>
    <col min="27" max="27" width="26.26953125" style="2" customWidth="1"/>
    <col min="28" max="28" width="25.90625" style="2" customWidth="1"/>
    <col min="29" max="29" width="37.7265625" style="34" customWidth="1"/>
    <col min="30" max="30" width="13.26953125" style="2" customWidth="1"/>
    <col min="31" max="31" width="14.81640625" style="2" customWidth="1"/>
    <col min="32" max="16384" width="14.81640625" style="2"/>
  </cols>
  <sheetData>
    <row r="1" spans="1:31" ht="21" x14ac:dyDescent="0.35">
      <c r="A1" s="188" t="s">
        <v>4061</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7"/>
      <c r="AE1" s="187"/>
    </row>
    <row r="2" spans="1:31" customFormat="1" ht="21" x14ac:dyDescent="0.35">
      <c r="A2" s="178" t="s">
        <v>4064</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6"/>
      <c r="AE2" s="176"/>
    </row>
    <row r="3" spans="1:31" ht="21" x14ac:dyDescent="0.35">
      <c r="A3" s="178" t="s">
        <v>4060</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6"/>
      <c r="AE3" s="176"/>
    </row>
    <row r="4" spans="1:31" ht="11.5" customHeight="1" x14ac:dyDescent="0.35">
      <c r="A4" s="179"/>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row>
    <row r="5" spans="1:31" ht="93.5" thickBot="1" x14ac:dyDescent="0.4">
      <c r="A5" s="180" t="s">
        <v>282</v>
      </c>
      <c r="B5" s="180" t="s">
        <v>283</v>
      </c>
      <c r="C5" s="180" t="s">
        <v>284</v>
      </c>
      <c r="D5" s="180" t="s">
        <v>1378</v>
      </c>
      <c r="E5" s="180" t="s">
        <v>285</v>
      </c>
      <c r="F5" s="180" t="s">
        <v>286</v>
      </c>
      <c r="G5" s="181" t="s">
        <v>1379</v>
      </c>
      <c r="H5" s="181" t="s">
        <v>1436</v>
      </c>
      <c r="I5" s="182" t="s">
        <v>1437</v>
      </c>
      <c r="J5" s="182" t="s">
        <v>1380</v>
      </c>
      <c r="K5" s="183" t="s">
        <v>1438</v>
      </c>
      <c r="L5" s="183" t="s">
        <v>289</v>
      </c>
      <c r="M5" s="183" t="s">
        <v>1439</v>
      </c>
      <c r="N5" s="183" t="s">
        <v>1440</v>
      </c>
      <c r="O5" s="180" t="s">
        <v>1381</v>
      </c>
      <c r="P5" s="180" t="s">
        <v>290</v>
      </c>
      <c r="Q5" s="181" t="s">
        <v>291</v>
      </c>
      <c r="R5" s="181" t="s">
        <v>292</v>
      </c>
      <c r="S5" s="181" t="s">
        <v>1404</v>
      </c>
      <c r="T5" s="184" t="s">
        <v>293</v>
      </c>
      <c r="U5" s="184" t="s">
        <v>1441</v>
      </c>
      <c r="V5" s="184" t="s">
        <v>1692</v>
      </c>
      <c r="W5" s="181" t="s">
        <v>294</v>
      </c>
      <c r="X5" s="181" t="s">
        <v>295</v>
      </c>
      <c r="Y5" s="181" t="s">
        <v>296</v>
      </c>
      <c r="Z5" s="185" t="s">
        <v>1445</v>
      </c>
      <c r="AA5" s="186" t="s">
        <v>1446</v>
      </c>
      <c r="AB5" s="186" t="s">
        <v>1442</v>
      </c>
      <c r="AC5" s="181" t="s">
        <v>1693</v>
      </c>
    </row>
    <row r="6" spans="1:31" ht="29.5" thickTop="1" x14ac:dyDescent="0.35">
      <c r="A6" s="26" t="s">
        <v>357</v>
      </c>
      <c r="B6" s="27" t="s">
        <v>300</v>
      </c>
      <c r="C6" s="66" t="s">
        <v>1694</v>
      </c>
      <c r="D6" s="65">
        <v>45687</v>
      </c>
      <c r="E6" s="26" t="s">
        <v>150</v>
      </c>
      <c r="F6" s="67" t="s">
        <v>1695</v>
      </c>
      <c r="G6" s="42">
        <v>26641316</v>
      </c>
      <c r="H6" s="2" t="s">
        <v>474</v>
      </c>
      <c r="I6" s="28">
        <v>26855155</v>
      </c>
      <c r="J6" s="28">
        <v>0</v>
      </c>
      <c r="K6" s="36">
        <v>26855155</v>
      </c>
      <c r="L6" s="69" t="s">
        <v>302</v>
      </c>
      <c r="M6" s="3"/>
      <c r="N6" s="28">
        <f>+Tabla15132[[#This Row],[VALOR TOTAL DEL CONTRATO
(en pesos)
CON IVA
(inicial)]]+Tabla15132[[#This Row],[VALOR DE LAS ADICIONES
(en pesos)
CON IVA]]</f>
        <v>26855155</v>
      </c>
      <c r="O6" s="4">
        <f>+Tabla15132[[#This Row],[FECHA TERMINACIÓN CONTRATO
(inicial)]]-Tabla15132[[#This Row],[FECHA INICIO CONTRATO]]</f>
        <v>334</v>
      </c>
      <c r="P6" s="23" t="s">
        <v>302</v>
      </c>
      <c r="Q6" s="101"/>
      <c r="R6" s="70" t="s">
        <v>302</v>
      </c>
      <c r="S6" s="70"/>
      <c r="T6" s="65">
        <v>45688</v>
      </c>
      <c r="U6" s="65">
        <v>46022</v>
      </c>
      <c r="V6" s="65">
        <v>46022</v>
      </c>
      <c r="W6" s="64" t="s">
        <v>325</v>
      </c>
      <c r="X6" s="71"/>
      <c r="Y6" s="71" t="s">
        <v>321</v>
      </c>
      <c r="Z6" s="30">
        <v>0.98780000000000001</v>
      </c>
      <c r="AA6" s="30">
        <v>0.98780000000000001</v>
      </c>
      <c r="AB6" s="31">
        <v>26528598</v>
      </c>
      <c r="AC6" s="32" t="s">
        <v>1696</v>
      </c>
    </row>
    <row r="7" spans="1:31" ht="29" x14ac:dyDescent="0.35">
      <c r="A7" s="26" t="s">
        <v>310</v>
      </c>
      <c r="B7" s="27" t="s">
        <v>300</v>
      </c>
      <c r="C7" s="66" t="s">
        <v>1697</v>
      </c>
      <c r="D7" s="65">
        <v>45687</v>
      </c>
      <c r="E7" s="26" t="s">
        <v>142</v>
      </c>
      <c r="F7" s="67" t="s">
        <v>434</v>
      </c>
      <c r="G7" s="42" t="s">
        <v>2529</v>
      </c>
      <c r="H7" s="2" t="s">
        <v>1698</v>
      </c>
      <c r="I7" s="28">
        <v>7000000</v>
      </c>
      <c r="J7" s="28">
        <v>1330000</v>
      </c>
      <c r="K7" s="36">
        <v>8330000</v>
      </c>
      <c r="L7" s="69" t="s">
        <v>302</v>
      </c>
      <c r="M7" s="3"/>
      <c r="N7" s="28">
        <f>+Tabla15132[[#This Row],[VALOR TOTAL DEL CONTRATO
(en pesos)
CON IVA
(inicial)]]+Tabla15132[[#This Row],[VALOR DE LAS ADICIONES
(en pesos)
CON IVA]]</f>
        <v>8330000</v>
      </c>
      <c r="O7" s="4">
        <f>+Tabla15132[[#This Row],[FECHA TERMINACIÓN CONTRATO
(inicial)]]-Tabla15132[[#This Row],[FECHA INICIO CONTRATO]]</f>
        <v>335</v>
      </c>
      <c r="P7" s="23" t="s">
        <v>302</v>
      </c>
      <c r="Q7" s="101"/>
      <c r="R7" s="70" t="s">
        <v>302</v>
      </c>
      <c r="S7" s="70"/>
      <c r="T7" s="65">
        <v>45687</v>
      </c>
      <c r="U7" s="65">
        <v>46022</v>
      </c>
      <c r="V7" s="65">
        <v>46022</v>
      </c>
      <c r="W7" s="64" t="s">
        <v>325</v>
      </c>
      <c r="X7" s="71"/>
      <c r="Y7" s="71" t="s">
        <v>321</v>
      </c>
      <c r="Z7" s="30">
        <v>1</v>
      </c>
      <c r="AA7" s="30">
        <v>0.78</v>
      </c>
      <c r="AB7" s="31">
        <v>6498347</v>
      </c>
      <c r="AC7" s="32" t="s">
        <v>1699</v>
      </c>
    </row>
    <row r="8" spans="1:31" ht="29" x14ac:dyDescent="0.35">
      <c r="A8" s="26" t="s">
        <v>438</v>
      </c>
      <c r="B8" s="27" t="s">
        <v>300</v>
      </c>
      <c r="C8" s="66" t="s">
        <v>1700</v>
      </c>
      <c r="D8" s="65">
        <v>45698</v>
      </c>
      <c r="E8" s="26" t="s">
        <v>113</v>
      </c>
      <c r="F8" s="67" t="s">
        <v>1701</v>
      </c>
      <c r="G8" s="42" t="s">
        <v>2530</v>
      </c>
      <c r="H8" s="2" t="s">
        <v>1702</v>
      </c>
      <c r="I8" s="28">
        <v>28319025</v>
      </c>
      <c r="J8" s="28">
        <v>0</v>
      </c>
      <c r="K8" s="36">
        <v>28319025</v>
      </c>
      <c r="L8" s="69" t="s">
        <v>302</v>
      </c>
      <c r="M8" s="3"/>
      <c r="N8" s="28">
        <f>+Tabla15132[[#This Row],[VALOR TOTAL DEL CONTRATO
(en pesos)
CON IVA
(inicial)]]+Tabla15132[[#This Row],[VALOR DE LAS ADICIONES
(en pesos)
CON IVA]]</f>
        <v>28319025</v>
      </c>
      <c r="O8" s="4">
        <f>+Tabla15132[[#This Row],[FECHA TERMINACIÓN CONTRATO
(inicial)]]-Tabla15132[[#This Row],[FECHA INICIO CONTRATO]]</f>
        <v>28</v>
      </c>
      <c r="P8" s="23" t="s">
        <v>302</v>
      </c>
      <c r="Q8" s="101"/>
      <c r="R8" s="70" t="s">
        <v>302</v>
      </c>
      <c r="S8" s="70"/>
      <c r="T8" s="65">
        <v>45702</v>
      </c>
      <c r="U8" s="65">
        <v>45730</v>
      </c>
      <c r="V8" s="65">
        <v>45730</v>
      </c>
      <c r="W8" s="64" t="s">
        <v>320</v>
      </c>
      <c r="X8" s="71"/>
      <c r="Y8" s="71" t="s">
        <v>321</v>
      </c>
      <c r="Z8" s="30">
        <v>1</v>
      </c>
      <c r="AA8" s="30">
        <v>1</v>
      </c>
      <c r="AB8" s="31">
        <v>28319025</v>
      </c>
      <c r="AC8" s="32" t="s">
        <v>1703</v>
      </c>
    </row>
    <row r="9" spans="1:31" ht="29" x14ac:dyDescent="0.35">
      <c r="A9" s="26" t="s">
        <v>308</v>
      </c>
      <c r="B9" s="27" t="s">
        <v>300</v>
      </c>
      <c r="C9" s="66" t="s">
        <v>1704</v>
      </c>
      <c r="D9" s="65">
        <v>45691</v>
      </c>
      <c r="E9" s="26" t="s">
        <v>142</v>
      </c>
      <c r="F9" s="67" t="s">
        <v>1705</v>
      </c>
      <c r="G9" s="42">
        <v>5348893</v>
      </c>
      <c r="H9" s="2" t="s">
        <v>1706</v>
      </c>
      <c r="I9" s="28">
        <v>8800000</v>
      </c>
      <c r="J9" s="28">
        <v>0</v>
      </c>
      <c r="K9" s="36">
        <v>8800000</v>
      </c>
      <c r="L9" s="69" t="s">
        <v>302</v>
      </c>
      <c r="M9" s="3"/>
      <c r="N9" s="28">
        <f>+Tabla15132[[#This Row],[VALOR TOTAL DEL CONTRATO
(en pesos)
CON IVA
(inicial)]]+Tabla15132[[#This Row],[VALOR DE LAS ADICIONES
(en pesos)
CON IVA]]</f>
        <v>8800000</v>
      </c>
      <c r="O9" s="4">
        <f>+Tabla15132[[#This Row],[FECHA TERMINACIÓN CONTRATO
(inicial)]]-Tabla15132[[#This Row],[FECHA INICIO CONTRATO]]</f>
        <v>331</v>
      </c>
      <c r="P9" s="23" t="s">
        <v>302</v>
      </c>
      <c r="Q9" s="101"/>
      <c r="R9" s="70" t="s">
        <v>302</v>
      </c>
      <c r="S9" s="70"/>
      <c r="T9" s="65">
        <v>45691</v>
      </c>
      <c r="U9" s="65">
        <v>46022</v>
      </c>
      <c r="V9" s="65">
        <v>46022</v>
      </c>
      <c r="W9" s="64" t="s">
        <v>325</v>
      </c>
      <c r="X9" s="71"/>
      <c r="Y9" s="71" t="s">
        <v>321</v>
      </c>
      <c r="Z9" s="30">
        <v>1</v>
      </c>
      <c r="AA9" s="30">
        <v>1</v>
      </c>
      <c r="AB9" s="31">
        <v>8800000</v>
      </c>
      <c r="AC9" s="32" t="s">
        <v>1707</v>
      </c>
    </row>
    <row r="10" spans="1:31" ht="29" x14ac:dyDescent="0.35">
      <c r="A10" s="26" t="s">
        <v>357</v>
      </c>
      <c r="B10" s="27" t="s">
        <v>365</v>
      </c>
      <c r="C10" s="66" t="s">
        <v>1708</v>
      </c>
      <c r="D10" s="65">
        <v>45688</v>
      </c>
      <c r="E10" s="26" t="s">
        <v>142</v>
      </c>
      <c r="F10" s="67" t="s">
        <v>1709</v>
      </c>
      <c r="G10" s="42" t="s">
        <v>2531</v>
      </c>
      <c r="H10" s="2" t="s">
        <v>1710</v>
      </c>
      <c r="I10" s="28">
        <v>3911000</v>
      </c>
      <c r="J10" s="28">
        <v>743090</v>
      </c>
      <c r="K10" s="36">
        <v>4654090</v>
      </c>
      <c r="L10" s="69" t="s">
        <v>302</v>
      </c>
      <c r="M10" s="3"/>
      <c r="N10" s="28">
        <f>+Tabla15132[[#This Row],[VALOR TOTAL DEL CONTRATO
(en pesos)
CON IVA
(inicial)]]+Tabla15132[[#This Row],[VALOR DE LAS ADICIONES
(en pesos)
CON IVA]]</f>
        <v>4654090</v>
      </c>
      <c r="O10" s="4">
        <f>+Tabla15132[[#This Row],[FECHA TERMINACIÓN CONTRATO
(inicial)]]-Tabla15132[[#This Row],[FECHA INICIO CONTRATO]]</f>
        <v>329</v>
      </c>
      <c r="P10" s="23" t="s">
        <v>302</v>
      </c>
      <c r="Q10" s="101"/>
      <c r="R10" s="70" t="s">
        <v>302</v>
      </c>
      <c r="S10" s="70"/>
      <c r="T10" s="65">
        <v>45693</v>
      </c>
      <c r="U10" s="65">
        <v>46022</v>
      </c>
      <c r="V10" s="65">
        <v>46022</v>
      </c>
      <c r="W10" s="64" t="s">
        <v>325</v>
      </c>
      <c r="X10" s="71"/>
      <c r="Y10" s="71" t="s">
        <v>321</v>
      </c>
      <c r="Z10" s="30">
        <v>1</v>
      </c>
      <c r="AA10" s="30">
        <v>1</v>
      </c>
      <c r="AB10" s="31">
        <v>4654090</v>
      </c>
      <c r="AC10" s="32" t="s">
        <v>1711</v>
      </c>
    </row>
    <row r="11" spans="1:31" ht="43.5" x14ac:dyDescent="0.35">
      <c r="A11" s="2" t="s">
        <v>304</v>
      </c>
      <c r="B11" s="27" t="s">
        <v>365</v>
      </c>
      <c r="C11" s="66" t="s">
        <v>1712</v>
      </c>
      <c r="D11" s="65">
        <v>45688</v>
      </c>
      <c r="E11" s="26" t="s">
        <v>88</v>
      </c>
      <c r="F11" s="67" t="s">
        <v>1713</v>
      </c>
      <c r="G11" s="42">
        <v>38245839</v>
      </c>
      <c r="H11" s="2" t="s">
        <v>1714</v>
      </c>
      <c r="I11" s="28">
        <v>1650000</v>
      </c>
      <c r="J11" s="28">
        <v>0</v>
      </c>
      <c r="K11" s="36">
        <v>1650000</v>
      </c>
      <c r="L11" s="69" t="s">
        <v>302</v>
      </c>
      <c r="M11" s="3"/>
      <c r="N11" s="28">
        <f>+Tabla15132[[#This Row],[VALOR TOTAL DEL CONTRATO
(en pesos)
CON IVA
(inicial)]]+Tabla15132[[#This Row],[VALOR DE LAS ADICIONES
(en pesos)
CON IVA]]</f>
        <v>1650000</v>
      </c>
      <c r="O11" s="4">
        <f>+Tabla15132[[#This Row],[FECHA TERMINACIÓN CONTRATO
(inicial)]]-Tabla15132[[#This Row],[FECHA INICIO CONTRATO]]</f>
        <v>333</v>
      </c>
      <c r="P11" s="23" t="s">
        <v>302</v>
      </c>
      <c r="Q11" s="101"/>
      <c r="R11" s="70" t="s">
        <v>302</v>
      </c>
      <c r="S11" s="70"/>
      <c r="T11" s="65">
        <v>45689</v>
      </c>
      <c r="U11" s="65">
        <v>46022</v>
      </c>
      <c r="V11" s="65">
        <v>46022</v>
      </c>
      <c r="W11" s="64" t="s">
        <v>320</v>
      </c>
      <c r="X11" s="71"/>
      <c r="Y11" s="71" t="s">
        <v>321</v>
      </c>
      <c r="Z11" s="30">
        <v>1</v>
      </c>
      <c r="AA11" s="30">
        <v>1</v>
      </c>
      <c r="AB11" s="31">
        <v>1650000</v>
      </c>
      <c r="AC11" s="32" t="s">
        <v>1715</v>
      </c>
    </row>
    <row r="12" spans="1:31" ht="43.5" x14ac:dyDescent="0.35">
      <c r="A12" s="26" t="s">
        <v>310</v>
      </c>
      <c r="B12" s="27" t="s">
        <v>300</v>
      </c>
      <c r="C12" s="66" t="s">
        <v>1716</v>
      </c>
      <c r="D12" s="65">
        <v>45688</v>
      </c>
      <c r="E12" s="26" t="s">
        <v>88</v>
      </c>
      <c r="F12" s="67" t="s">
        <v>1717</v>
      </c>
      <c r="G12" s="42" t="s">
        <v>2532</v>
      </c>
      <c r="H12" s="2" t="s">
        <v>1718</v>
      </c>
      <c r="I12" s="28">
        <v>14605993</v>
      </c>
      <c r="J12" s="28">
        <v>2775139</v>
      </c>
      <c r="K12" s="36">
        <v>17381132</v>
      </c>
      <c r="L12" s="69" t="s">
        <v>302</v>
      </c>
      <c r="M12" s="3"/>
      <c r="N12" s="28">
        <f>+Tabla15132[[#This Row],[VALOR TOTAL DEL CONTRATO
(en pesos)
CON IVA
(inicial)]]+Tabla15132[[#This Row],[VALOR DE LAS ADICIONES
(en pesos)
CON IVA]]</f>
        <v>17381132</v>
      </c>
      <c r="O12" s="4">
        <f>+Tabla15132[[#This Row],[FECHA TERMINACIÓN CONTRATO
(inicial)]]-Tabla15132[[#This Row],[FECHA INICIO CONTRATO]]</f>
        <v>334</v>
      </c>
      <c r="P12" s="23" t="s">
        <v>302</v>
      </c>
      <c r="Q12" s="101"/>
      <c r="R12" s="70" t="s">
        <v>302</v>
      </c>
      <c r="S12" s="70"/>
      <c r="T12" s="65">
        <v>45688</v>
      </c>
      <c r="U12" s="65">
        <v>46022</v>
      </c>
      <c r="V12" s="65">
        <v>46022</v>
      </c>
      <c r="W12" s="64" t="s">
        <v>320</v>
      </c>
      <c r="X12" s="71"/>
      <c r="Y12" s="71" t="s">
        <v>321</v>
      </c>
      <c r="Z12" s="30">
        <v>1</v>
      </c>
      <c r="AA12" s="30">
        <v>1</v>
      </c>
      <c r="AB12" s="31">
        <v>17381132</v>
      </c>
      <c r="AC12" s="32" t="s">
        <v>1719</v>
      </c>
    </row>
    <row r="13" spans="1:31" ht="43.5" x14ac:dyDescent="0.35">
      <c r="A13" s="26" t="s">
        <v>316</v>
      </c>
      <c r="B13" s="27" t="s">
        <v>365</v>
      </c>
      <c r="C13" s="66" t="s">
        <v>1720</v>
      </c>
      <c r="D13" s="65">
        <v>45689</v>
      </c>
      <c r="E13" s="26" t="s">
        <v>88</v>
      </c>
      <c r="F13" s="67" t="s">
        <v>1721</v>
      </c>
      <c r="G13" s="42" t="s">
        <v>2533</v>
      </c>
      <c r="H13" s="2" t="s">
        <v>1722</v>
      </c>
      <c r="I13" s="28">
        <v>5100000</v>
      </c>
      <c r="J13" s="28">
        <v>969000</v>
      </c>
      <c r="K13" s="36">
        <v>6069000</v>
      </c>
      <c r="L13" s="69" t="s">
        <v>302</v>
      </c>
      <c r="M13" s="3"/>
      <c r="N13" s="28">
        <f>+Tabla15132[[#This Row],[VALOR TOTAL DEL CONTRATO
(en pesos)
CON IVA
(inicial)]]+Tabla15132[[#This Row],[VALOR DE LAS ADICIONES
(en pesos)
CON IVA]]</f>
        <v>6069000</v>
      </c>
      <c r="O13" s="4">
        <f>+Tabla15132[[#This Row],[FECHA TERMINACIÓN CONTRATO
(inicial)]]-Tabla15132[[#This Row],[FECHA INICIO CONTRATO]]</f>
        <v>333</v>
      </c>
      <c r="P13" s="23" t="s">
        <v>302</v>
      </c>
      <c r="Q13" s="101"/>
      <c r="R13" s="70" t="s">
        <v>302</v>
      </c>
      <c r="S13" s="70"/>
      <c r="T13" s="65">
        <v>45689</v>
      </c>
      <c r="U13" s="65">
        <v>46022</v>
      </c>
      <c r="V13" s="65">
        <v>46022</v>
      </c>
      <c r="W13" s="64" t="s">
        <v>320</v>
      </c>
      <c r="X13" s="71"/>
      <c r="Y13" s="71" t="s">
        <v>321</v>
      </c>
      <c r="Z13" s="30">
        <v>0.98</v>
      </c>
      <c r="AA13" s="30">
        <v>0.996</v>
      </c>
      <c r="AB13" s="31">
        <v>6043134</v>
      </c>
      <c r="AC13" s="32" t="s">
        <v>1723</v>
      </c>
    </row>
    <row r="14" spans="1:31" ht="43.5" x14ac:dyDescent="0.35">
      <c r="A14" s="26" t="s">
        <v>316</v>
      </c>
      <c r="B14" s="27" t="s">
        <v>365</v>
      </c>
      <c r="C14" s="66" t="s">
        <v>1724</v>
      </c>
      <c r="D14" s="65">
        <v>45689</v>
      </c>
      <c r="E14" s="26" t="s">
        <v>88</v>
      </c>
      <c r="F14" s="67" t="s">
        <v>1725</v>
      </c>
      <c r="G14" s="42">
        <v>10278636</v>
      </c>
      <c r="H14" s="2" t="s">
        <v>1726</v>
      </c>
      <c r="I14" s="28">
        <v>3400000</v>
      </c>
      <c r="J14" s="28">
        <v>0</v>
      </c>
      <c r="K14" s="36">
        <v>3400000</v>
      </c>
      <c r="L14" s="69" t="s">
        <v>302</v>
      </c>
      <c r="M14" s="3"/>
      <c r="N14" s="28">
        <f>+Tabla15132[[#This Row],[VALOR TOTAL DEL CONTRATO
(en pesos)
CON IVA
(inicial)]]+Tabla15132[[#This Row],[VALOR DE LAS ADICIONES
(en pesos)
CON IVA]]</f>
        <v>3400000</v>
      </c>
      <c r="O14" s="4">
        <f>+Tabla15132[[#This Row],[FECHA TERMINACIÓN CONTRATO
(inicial)]]-Tabla15132[[#This Row],[FECHA INICIO CONTRATO]]</f>
        <v>273</v>
      </c>
      <c r="P14" s="23" t="s">
        <v>302</v>
      </c>
      <c r="Q14" s="101"/>
      <c r="R14" s="70" t="s">
        <v>302</v>
      </c>
      <c r="S14" s="70"/>
      <c r="T14" s="65">
        <v>45689</v>
      </c>
      <c r="U14" s="65">
        <v>45962</v>
      </c>
      <c r="V14" s="65">
        <v>45962</v>
      </c>
      <c r="W14" s="64" t="s">
        <v>320</v>
      </c>
      <c r="X14" s="71"/>
      <c r="Y14" s="71" t="s">
        <v>321</v>
      </c>
      <c r="Z14" s="30">
        <v>1</v>
      </c>
      <c r="AA14" s="30">
        <v>1</v>
      </c>
      <c r="AB14" s="31">
        <v>3400000</v>
      </c>
      <c r="AC14" s="32" t="s">
        <v>1727</v>
      </c>
    </row>
    <row r="15" spans="1:31" ht="29" x14ac:dyDescent="0.35">
      <c r="A15" s="26" t="s">
        <v>436</v>
      </c>
      <c r="B15" s="27" t="s">
        <v>300</v>
      </c>
      <c r="C15" s="66" t="s">
        <v>1728</v>
      </c>
      <c r="D15" s="65">
        <v>45699</v>
      </c>
      <c r="E15" s="26" t="s">
        <v>142</v>
      </c>
      <c r="F15" s="67" t="s">
        <v>1729</v>
      </c>
      <c r="G15" s="42" t="s">
        <v>2546</v>
      </c>
      <c r="H15" s="2" t="s">
        <v>1730</v>
      </c>
      <c r="I15" s="36">
        <v>7940157</v>
      </c>
      <c r="J15" s="28">
        <v>1508630</v>
      </c>
      <c r="K15" s="36">
        <v>9448786</v>
      </c>
      <c r="L15" s="69" t="s">
        <v>302</v>
      </c>
      <c r="M15" s="3"/>
      <c r="N15" s="28">
        <f>+Tabla15132[[#This Row],[VALOR TOTAL DEL CONTRATO
(en pesos)
CON IVA
(inicial)]]+Tabla15132[[#This Row],[VALOR DE LAS ADICIONES
(en pesos)
CON IVA]]</f>
        <v>9448786</v>
      </c>
      <c r="O15" s="4">
        <f>+Tabla15132[[#This Row],[FECHA TERMINACIÓN CONTRATO
(inicial)]]-Tabla15132[[#This Row],[FECHA INICIO CONTRATO]]</f>
        <v>322</v>
      </c>
      <c r="P15" s="23" t="s">
        <v>302</v>
      </c>
      <c r="Q15" s="101"/>
      <c r="R15" s="70" t="s">
        <v>302</v>
      </c>
      <c r="S15" s="70"/>
      <c r="T15" s="65">
        <v>45700</v>
      </c>
      <c r="U15" s="65">
        <v>46022</v>
      </c>
      <c r="V15" s="65">
        <v>46022</v>
      </c>
      <c r="W15" s="64" t="s">
        <v>323</v>
      </c>
      <c r="X15" s="71">
        <v>46029</v>
      </c>
      <c r="Y15" s="71" t="s">
        <v>321</v>
      </c>
      <c r="Z15" s="30">
        <v>1</v>
      </c>
      <c r="AA15" s="55">
        <v>0.91</v>
      </c>
      <c r="AB15" s="31">
        <v>8575712</v>
      </c>
      <c r="AC15" s="32" t="s">
        <v>1731</v>
      </c>
    </row>
    <row r="16" spans="1:31" ht="43.5" x14ac:dyDescent="0.35">
      <c r="A16" s="26" t="s">
        <v>1732</v>
      </c>
      <c r="B16" s="27" t="s">
        <v>300</v>
      </c>
      <c r="C16" s="66" t="s">
        <v>1733</v>
      </c>
      <c r="D16" s="65">
        <v>45687</v>
      </c>
      <c r="E16" s="26" t="s">
        <v>88</v>
      </c>
      <c r="F16" s="67" t="s">
        <v>1734</v>
      </c>
      <c r="G16" s="42" t="s">
        <v>2584</v>
      </c>
      <c r="H16" s="2" t="s">
        <v>1735</v>
      </c>
      <c r="I16" s="28">
        <v>18359042</v>
      </c>
      <c r="J16" s="28">
        <v>3488218</v>
      </c>
      <c r="K16" s="36">
        <v>21847260</v>
      </c>
      <c r="L16" s="69" t="s">
        <v>302</v>
      </c>
      <c r="M16" s="3"/>
      <c r="N16" s="28">
        <f>+Tabla15132[[#This Row],[VALOR TOTAL DEL CONTRATO
(en pesos)
CON IVA
(inicial)]]+Tabla15132[[#This Row],[VALOR DE LAS ADICIONES
(en pesos)
CON IVA]]</f>
        <v>21847260</v>
      </c>
      <c r="O16" s="4">
        <f>+Tabla15132[[#This Row],[FECHA TERMINACIÓN CONTRATO
(inicial)]]-Tabla15132[[#This Row],[FECHA INICIO CONTRATO]]</f>
        <v>365</v>
      </c>
      <c r="P16" s="23" t="s">
        <v>302</v>
      </c>
      <c r="Q16" s="101"/>
      <c r="R16" s="70" t="s">
        <v>302</v>
      </c>
      <c r="S16" s="70"/>
      <c r="T16" s="65">
        <v>45687</v>
      </c>
      <c r="U16" s="65">
        <v>46052</v>
      </c>
      <c r="V16" s="65">
        <v>46052</v>
      </c>
      <c r="W16" s="64" t="s">
        <v>303</v>
      </c>
      <c r="X16" s="71"/>
      <c r="Y16" s="71"/>
      <c r="Z16" s="30">
        <v>0.67</v>
      </c>
      <c r="AA16" s="30">
        <v>0.67</v>
      </c>
      <c r="AB16" s="31">
        <v>14564840</v>
      </c>
      <c r="AC16" s="32" t="s">
        <v>1736</v>
      </c>
    </row>
    <row r="17" spans="1:29" ht="43.5" x14ac:dyDescent="0.35">
      <c r="A17" s="26" t="s">
        <v>307</v>
      </c>
      <c r="B17" s="27" t="s">
        <v>300</v>
      </c>
      <c r="C17" s="66" t="s">
        <v>1737</v>
      </c>
      <c r="D17" s="65">
        <v>45701</v>
      </c>
      <c r="E17" s="26" t="s">
        <v>88</v>
      </c>
      <c r="F17" s="67" t="s">
        <v>1738</v>
      </c>
      <c r="G17" s="42">
        <v>10113089</v>
      </c>
      <c r="H17" s="2" t="s">
        <v>433</v>
      </c>
      <c r="I17" s="28">
        <v>10560000</v>
      </c>
      <c r="J17" s="28">
        <v>2006400</v>
      </c>
      <c r="K17" s="36">
        <v>12566400</v>
      </c>
      <c r="L17" s="69" t="s">
        <v>302</v>
      </c>
      <c r="M17" s="3"/>
      <c r="N17" s="28">
        <f>+Tabla15132[[#This Row],[VALOR TOTAL DEL CONTRATO
(en pesos)
CON IVA
(inicial)]]+Tabla15132[[#This Row],[VALOR DE LAS ADICIONES
(en pesos)
CON IVA]]</f>
        <v>12566400</v>
      </c>
      <c r="O17" s="4">
        <f>+Tabla15132[[#This Row],[FECHA TERMINACIÓN CONTRATO
(inicial)]]-Tabla15132[[#This Row],[FECHA INICIO CONTRATO]]</f>
        <v>305</v>
      </c>
      <c r="P17" s="23" t="s">
        <v>302</v>
      </c>
      <c r="Q17" s="101"/>
      <c r="R17" s="70" t="s">
        <v>302</v>
      </c>
      <c r="S17" s="70"/>
      <c r="T17" s="65">
        <v>45717</v>
      </c>
      <c r="U17" s="65">
        <v>46022</v>
      </c>
      <c r="V17" s="65">
        <v>46022</v>
      </c>
      <c r="W17" s="64" t="s">
        <v>320</v>
      </c>
      <c r="X17" s="71"/>
      <c r="Y17" s="71" t="s">
        <v>321</v>
      </c>
      <c r="Z17" s="30">
        <v>1</v>
      </c>
      <c r="AA17" s="30">
        <v>0.75</v>
      </c>
      <c r="AB17" s="31">
        <v>9424800</v>
      </c>
      <c r="AC17" s="32" t="s">
        <v>1739</v>
      </c>
    </row>
    <row r="18" spans="1:29" ht="29" x14ac:dyDescent="0.35">
      <c r="A18" s="26" t="s">
        <v>438</v>
      </c>
      <c r="B18" s="27" t="s">
        <v>365</v>
      </c>
      <c r="C18" s="66" t="s">
        <v>1740</v>
      </c>
      <c r="D18" s="65">
        <v>45706</v>
      </c>
      <c r="E18" s="26" t="s">
        <v>142</v>
      </c>
      <c r="F18" s="67" t="s">
        <v>1741</v>
      </c>
      <c r="G18" s="42" t="s">
        <v>2530</v>
      </c>
      <c r="H18" s="2" t="s">
        <v>1702</v>
      </c>
      <c r="I18" s="28">
        <v>4300000</v>
      </c>
      <c r="J18" s="28">
        <v>817000</v>
      </c>
      <c r="K18" s="36">
        <v>5117000</v>
      </c>
      <c r="L18" s="69" t="s">
        <v>302</v>
      </c>
      <c r="M18" s="3"/>
      <c r="N18" s="28">
        <f>+Tabla15132[[#This Row],[VALOR TOTAL DEL CONTRATO
(en pesos)
CON IVA
(inicial)]]+Tabla15132[[#This Row],[VALOR DE LAS ADICIONES
(en pesos)
CON IVA]]</f>
        <v>5117000</v>
      </c>
      <c r="O18" s="4">
        <f>+Tabla15132[[#This Row],[FECHA TERMINACIÓN CONTRATO
(inicial)]]-Tabla15132[[#This Row],[FECHA INICIO CONTRATO]]</f>
        <v>305</v>
      </c>
      <c r="P18" s="23" t="s">
        <v>302</v>
      </c>
      <c r="Q18" s="101"/>
      <c r="R18" s="70" t="s">
        <v>302</v>
      </c>
      <c r="S18" s="70"/>
      <c r="T18" s="65">
        <v>45717</v>
      </c>
      <c r="U18" s="65">
        <v>46022</v>
      </c>
      <c r="V18" s="65">
        <v>46022</v>
      </c>
      <c r="W18" s="64" t="s">
        <v>325</v>
      </c>
      <c r="X18" s="71"/>
      <c r="Y18" s="71" t="s">
        <v>321</v>
      </c>
      <c r="Z18" s="30">
        <v>1</v>
      </c>
      <c r="AA18" s="30">
        <v>1</v>
      </c>
      <c r="AB18" s="31">
        <v>5117000</v>
      </c>
      <c r="AC18" s="32" t="s">
        <v>1742</v>
      </c>
    </row>
    <row r="19" spans="1:29" ht="29" x14ac:dyDescent="0.35">
      <c r="A19" s="26" t="s">
        <v>299</v>
      </c>
      <c r="B19" s="27" t="s">
        <v>365</v>
      </c>
      <c r="C19" s="66" t="s">
        <v>1743</v>
      </c>
      <c r="D19" s="65">
        <v>45702</v>
      </c>
      <c r="E19" s="26" t="s">
        <v>113</v>
      </c>
      <c r="F19" s="67" t="s">
        <v>1744</v>
      </c>
      <c r="G19" s="42">
        <v>5348893</v>
      </c>
      <c r="H19" s="2" t="s">
        <v>445</v>
      </c>
      <c r="I19" s="28">
        <v>1100000</v>
      </c>
      <c r="J19" s="28">
        <v>0</v>
      </c>
      <c r="K19" s="36">
        <v>1100000</v>
      </c>
      <c r="L19" s="69" t="s">
        <v>302</v>
      </c>
      <c r="M19" s="3"/>
      <c r="N19" s="28">
        <f>+Tabla15132[[#This Row],[VALOR TOTAL DEL CONTRATO
(en pesos)
CON IVA
(inicial)]]+Tabla15132[[#This Row],[VALOR DE LAS ADICIONES
(en pesos)
CON IVA]]</f>
        <v>1100000</v>
      </c>
      <c r="O19" s="4">
        <f>+Tabla15132[[#This Row],[FECHA TERMINACIÓN CONTRATO
(inicial)]]-Tabla15132[[#This Row],[FECHA INICIO CONTRATO]]</f>
        <v>6</v>
      </c>
      <c r="P19" s="23" t="s">
        <v>302</v>
      </c>
      <c r="Q19" s="101"/>
      <c r="R19" s="70" t="s">
        <v>302</v>
      </c>
      <c r="S19" s="70"/>
      <c r="T19" s="65">
        <v>45705</v>
      </c>
      <c r="U19" s="65">
        <v>45711</v>
      </c>
      <c r="V19" s="65">
        <v>45711</v>
      </c>
      <c r="W19" s="64" t="s">
        <v>320</v>
      </c>
      <c r="X19" s="71"/>
      <c r="Y19" s="71" t="s">
        <v>321</v>
      </c>
      <c r="Z19" s="30">
        <v>1</v>
      </c>
      <c r="AA19" s="30">
        <v>1</v>
      </c>
      <c r="AB19" s="31">
        <v>1100000</v>
      </c>
      <c r="AC19" s="32" t="s">
        <v>1745</v>
      </c>
    </row>
    <row r="20" spans="1:29" ht="29" x14ac:dyDescent="0.35">
      <c r="A20" s="26" t="s">
        <v>305</v>
      </c>
      <c r="B20" s="27" t="s">
        <v>300</v>
      </c>
      <c r="C20" s="66" t="s">
        <v>1746</v>
      </c>
      <c r="D20" s="65">
        <v>45705</v>
      </c>
      <c r="E20" s="26" t="s">
        <v>142</v>
      </c>
      <c r="F20" s="67" t="s">
        <v>1747</v>
      </c>
      <c r="G20" s="42">
        <v>15026642</v>
      </c>
      <c r="H20" s="2" t="s">
        <v>1748</v>
      </c>
      <c r="I20" s="28">
        <v>7526952</v>
      </c>
      <c r="J20" s="28">
        <v>0</v>
      </c>
      <c r="K20" s="36">
        <v>7526952</v>
      </c>
      <c r="L20" s="69" t="s">
        <v>302</v>
      </c>
      <c r="M20" s="3"/>
      <c r="N20" s="28">
        <f>+Tabla15132[[#This Row],[VALOR TOTAL DEL CONTRATO
(en pesos)
CON IVA
(inicial)]]+Tabla15132[[#This Row],[VALOR DE LAS ADICIONES
(en pesos)
CON IVA]]</f>
        <v>7526952</v>
      </c>
      <c r="O20" s="4">
        <f>+Tabla15132[[#This Row],[FECHA TERMINACIÓN CONTRATO
(inicial)]]-Tabla15132[[#This Row],[FECHA INICIO CONTRATO]]</f>
        <v>317</v>
      </c>
      <c r="P20" s="23" t="s">
        <v>302</v>
      </c>
      <c r="Q20" s="101"/>
      <c r="R20" s="70" t="s">
        <v>302</v>
      </c>
      <c r="S20" s="70"/>
      <c r="T20" s="65">
        <v>45705</v>
      </c>
      <c r="U20" s="65">
        <v>46022</v>
      </c>
      <c r="V20" s="65">
        <v>46022</v>
      </c>
      <c r="W20" s="64" t="s">
        <v>325</v>
      </c>
      <c r="X20" s="71"/>
      <c r="Y20" s="71" t="s">
        <v>321</v>
      </c>
      <c r="Z20" s="30">
        <v>0.35599999999999998</v>
      </c>
      <c r="AA20" s="30">
        <v>0.35599999999999998</v>
      </c>
      <c r="AB20" s="31">
        <v>2680000</v>
      </c>
      <c r="AC20" s="32" t="s">
        <v>1749</v>
      </c>
    </row>
    <row r="21" spans="1:29" ht="43.5" x14ac:dyDescent="0.35">
      <c r="A21" s="26" t="s">
        <v>317</v>
      </c>
      <c r="B21" s="27" t="s">
        <v>300</v>
      </c>
      <c r="C21" s="66" t="s">
        <v>1750</v>
      </c>
      <c r="D21" s="65">
        <v>45707</v>
      </c>
      <c r="E21" s="26" t="s">
        <v>88</v>
      </c>
      <c r="F21" s="67" t="s">
        <v>1751</v>
      </c>
      <c r="G21" s="42" t="s">
        <v>2534</v>
      </c>
      <c r="H21" s="2" t="s">
        <v>1752</v>
      </c>
      <c r="I21" s="28">
        <v>46200000</v>
      </c>
      <c r="J21" s="28">
        <v>8778000</v>
      </c>
      <c r="K21" s="36">
        <v>54978000</v>
      </c>
      <c r="L21" s="69" t="s">
        <v>302</v>
      </c>
      <c r="M21" s="3"/>
      <c r="N21" s="28">
        <f>+Tabla15132[[#This Row],[VALOR TOTAL DEL CONTRATO
(en pesos)
CON IVA
(inicial)]]+Tabla15132[[#This Row],[VALOR DE LAS ADICIONES
(en pesos)
CON IVA]]</f>
        <v>54978000</v>
      </c>
      <c r="O21" s="4">
        <f>+Tabla15132[[#This Row],[FECHA TERMINACIÓN CONTRATO
(inicial)]]-Tabla15132[[#This Row],[FECHA INICIO CONTRATO]]</f>
        <v>314</v>
      </c>
      <c r="P21" s="23" t="s">
        <v>302</v>
      </c>
      <c r="Q21" s="101"/>
      <c r="R21" s="70" t="s">
        <v>302</v>
      </c>
      <c r="S21" s="70"/>
      <c r="T21" s="65">
        <v>45708</v>
      </c>
      <c r="U21" s="65">
        <v>46022</v>
      </c>
      <c r="V21" s="65">
        <v>46022</v>
      </c>
      <c r="W21" s="64" t="s">
        <v>323</v>
      </c>
      <c r="X21" s="71">
        <v>46049</v>
      </c>
      <c r="Y21" s="71" t="s">
        <v>321</v>
      </c>
      <c r="Z21" s="30">
        <v>0.62770000000000004</v>
      </c>
      <c r="AA21" s="30">
        <v>1</v>
      </c>
      <c r="AB21" s="31">
        <v>34510000</v>
      </c>
      <c r="AC21" s="32" t="s">
        <v>1753</v>
      </c>
    </row>
    <row r="22" spans="1:29" ht="29" x14ac:dyDescent="0.35">
      <c r="A22" s="26" t="s">
        <v>318</v>
      </c>
      <c r="B22" s="27" t="s">
        <v>365</v>
      </c>
      <c r="C22" s="66" t="s">
        <v>1754</v>
      </c>
      <c r="D22" s="65">
        <v>45716</v>
      </c>
      <c r="E22" s="26" t="s">
        <v>142</v>
      </c>
      <c r="F22" s="67" t="s">
        <v>1755</v>
      </c>
      <c r="G22" s="42" t="s">
        <v>2615</v>
      </c>
      <c r="H22" s="2" t="s">
        <v>1756</v>
      </c>
      <c r="I22" s="28">
        <v>3075000</v>
      </c>
      <c r="J22" s="28">
        <v>584250</v>
      </c>
      <c r="K22" s="36">
        <v>3659250</v>
      </c>
      <c r="L22" s="69" t="s">
        <v>302</v>
      </c>
      <c r="M22" s="3"/>
      <c r="N22" s="28">
        <f>+Tabla15132[[#This Row],[VALOR TOTAL DEL CONTRATO
(en pesos)
CON IVA
(inicial)]]+Tabla15132[[#This Row],[VALOR DE LAS ADICIONES
(en pesos)
CON IVA]]</f>
        <v>3659250</v>
      </c>
      <c r="O22" s="4">
        <f>+Tabla15132[[#This Row],[FECHA TERMINACIÓN CONTRATO
(inicial)]]-Tabla15132[[#This Row],[FECHA INICIO CONTRATO]]</f>
        <v>295</v>
      </c>
      <c r="P22" s="23" t="s">
        <v>302</v>
      </c>
      <c r="Q22" s="101"/>
      <c r="R22" s="70" t="s">
        <v>302</v>
      </c>
      <c r="S22" s="70"/>
      <c r="T22" s="65">
        <v>45716</v>
      </c>
      <c r="U22" s="65">
        <v>46011</v>
      </c>
      <c r="V22" s="65">
        <v>46019</v>
      </c>
      <c r="W22" s="64" t="s">
        <v>323</v>
      </c>
      <c r="X22" s="71">
        <v>46000</v>
      </c>
      <c r="Y22" s="71" t="s">
        <v>364</v>
      </c>
      <c r="Z22" s="30">
        <v>0.8</v>
      </c>
      <c r="AA22" s="30">
        <v>0.8</v>
      </c>
      <c r="AB22" s="31">
        <v>2927400</v>
      </c>
      <c r="AC22" s="32" t="s">
        <v>1757</v>
      </c>
    </row>
    <row r="23" spans="1:29" ht="29" x14ac:dyDescent="0.35">
      <c r="A23" s="26" t="s">
        <v>309</v>
      </c>
      <c r="B23" s="27" t="s">
        <v>300</v>
      </c>
      <c r="C23" s="66" t="s">
        <v>1758</v>
      </c>
      <c r="D23" s="65">
        <v>45712</v>
      </c>
      <c r="E23" s="26" t="s">
        <v>113</v>
      </c>
      <c r="F23" s="67" t="s">
        <v>1759</v>
      </c>
      <c r="G23" s="42" t="s">
        <v>2576</v>
      </c>
      <c r="H23" s="2" t="s">
        <v>1760</v>
      </c>
      <c r="I23" s="28">
        <v>11764706</v>
      </c>
      <c r="J23" s="28">
        <v>2235294</v>
      </c>
      <c r="K23" s="36">
        <v>14000000</v>
      </c>
      <c r="L23" s="69" t="s">
        <v>302</v>
      </c>
      <c r="M23" s="3"/>
      <c r="N23" s="28">
        <f>+Tabla15132[[#This Row],[VALOR TOTAL DEL CONTRATO
(en pesos)
CON IVA
(inicial)]]+Tabla15132[[#This Row],[VALOR DE LAS ADICIONES
(en pesos)
CON IVA]]</f>
        <v>14000000</v>
      </c>
      <c r="O23" s="4">
        <f>+Tabla15132[[#This Row],[FECHA TERMINACIÓN CONTRATO
(inicial)]]-Tabla15132[[#This Row],[FECHA INICIO CONTRATO]]</f>
        <v>15</v>
      </c>
      <c r="P23" s="23" t="s">
        <v>302</v>
      </c>
      <c r="Q23" s="101"/>
      <c r="R23" s="70" t="s">
        <v>302</v>
      </c>
      <c r="S23" s="70"/>
      <c r="T23" s="65">
        <v>45712</v>
      </c>
      <c r="U23" s="65">
        <v>45727</v>
      </c>
      <c r="V23" s="65">
        <v>45727</v>
      </c>
      <c r="W23" s="64" t="s">
        <v>320</v>
      </c>
      <c r="X23" s="71"/>
      <c r="Y23" s="71" t="s">
        <v>321</v>
      </c>
      <c r="Z23" s="30">
        <v>1</v>
      </c>
      <c r="AA23" s="30">
        <v>1</v>
      </c>
      <c r="AB23" s="31">
        <v>14000000</v>
      </c>
      <c r="AC23" s="32" t="s">
        <v>1761</v>
      </c>
    </row>
    <row r="24" spans="1:29" ht="29" x14ac:dyDescent="0.35">
      <c r="A24" s="26" t="s">
        <v>318</v>
      </c>
      <c r="B24" s="27" t="s">
        <v>300</v>
      </c>
      <c r="C24" s="66" t="s">
        <v>1762</v>
      </c>
      <c r="D24" s="65">
        <v>45712</v>
      </c>
      <c r="E24" s="26" t="s">
        <v>150</v>
      </c>
      <c r="F24" s="67" t="s">
        <v>1763</v>
      </c>
      <c r="G24" s="42">
        <v>79468945</v>
      </c>
      <c r="H24" s="2" t="s">
        <v>1764</v>
      </c>
      <c r="I24" s="28">
        <v>15000000</v>
      </c>
      <c r="J24" s="28">
        <v>0</v>
      </c>
      <c r="K24" s="36">
        <v>15000000</v>
      </c>
      <c r="L24" s="69" t="s">
        <v>302</v>
      </c>
      <c r="M24" s="3"/>
      <c r="N24" s="28">
        <f>+Tabla15132[[#This Row],[VALOR TOTAL DEL CONTRATO
(en pesos)
CON IVA
(inicial)]]+Tabla15132[[#This Row],[VALOR DE LAS ADICIONES
(en pesos)
CON IVA]]</f>
        <v>15000000</v>
      </c>
      <c r="O24" s="4">
        <f>+Tabla15132[[#This Row],[FECHA TERMINACIÓN CONTRATO
(inicial)]]-Tabla15132[[#This Row],[FECHA INICIO CONTRATO]]</f>
        <v>181</v>
      </c>
      <c r="P24" s="23" t="s">
        <v>302</v>
      </c>
      <c r="Q24" s="101"/>
      <c r="R24" s="70" t="s">
        <v>302</v>
      </c>
      <c r="S24" s="70"/>
      <c r="T24" s="65">
        <v>45712</v>
      </c>
      <c r="U24" s="65">
        <v>45893</v>
      </c>
      <c r="V24" s="65">
        <v>45893</v>
      </c>
      <c r="W24" s="64" t="s">
        <v>323</v>
      </c>
      <c r="X24" s="71">
        <v>45882</v>
      </c>
      <c r="Y24" s="71" t="s">
        <v>321</v>
      </c>
      <c r="Z24" s="30">
        <v>1</v>
      </c>
      <c r="AA24" s="30">
        <v>1</v>
      </c>
      <c r="AB24" s="31">
        <v>11996940</v>
      </c>
      <c r="AC24" s="32" t="s">
        <v>1765</v>
      </c>
    </row>
    <row r="25" spans="1:29" ht="43.5" x14ac:dyDescent="0.35">
      <c r="A25" s="26" t="s">
        <v>307</v>
      </c>
      <c r="B25" s="27" t="s">
        <v>365</v>
      </c>
      <c r="C25" s="66" t="s">
        <v>1766</v>
      </c>
      <c r="D25" s="65">
        <v>45714</v>
      </c>
      <c r="E25" s="26" t="s">
        <v>88</v>
      </c>
      <c r="F25" s="67" t="s">
        <v>1767</v>
      </c>
      <c r="G25" s="42" t="s">
        <v>2596</v>
      </c>
      <c r="H25" s="2" t="s">
        <v>1768</v>
      </c>
      <c r="I25" s="28">
        <v>2016810</v>
      </c>
      <c r="J25" s="28">
        <v>383194</v>
      </c>
      <c r="K25" s="36">
        <v>2400004</v>
      </c>
      <c r="L25" s="69" t="s">
        <v>302</v>
      </c>
      <c r="M25" s="3"/>
      <c r="N25" s="28">
        <f>+Tabla15132[[#This Row],[VALOR TOTAL DEL CONTRATO
(en pesos)
CON IVA
(inicial)]]+Tabla15132[[#This Row],[VALOR DE LAS ADICIONES
(en pesos)
CON IVA]]</f>
        <v>2400004</v>
      </c>
      <c r="O25" s="4">
        <f>+Tabla15132[[#This Row],[FECHA TERMINACIÓN CONTRATO
(inicial)]]-Tabla15132[[#This Row],[FECHA INICIO CONTRATO]]</f>
        <v>305</v>
      </c>
      <c r="P25" s="23" t="s">
        <v>302</v>
      </c>
      <c r="Q25" s="101"/>
      <c r="R25" s="70" t="s">
        <v>302</v>
      </c>
      <c r="S25" s="70"/>
      <c r="T25" s="65">
        <v>45717</v>
      </c>
      <c r="U25" s="65">
        <v>46022</v>
      </c>
      <c r="V25" s="65">
        <v>46022</v>
      </c>
      <c r="W25" s="64" t="s">
        <v>320</v>
      </c>
      <c r="X25" s="71"/>
      <c r="Y25" s="71" t="s">
        <v>321</v>
      </c>
      <c r="Z25" s="30">
        <v>1</v>
      </c>
      <c r="AA25" s="30">
        <v>1</v>
      </c>
      <c r="AB25" s="31">
        <v>2400000</v>
      </c>
      <c r="AC25" s="32" t="s">
        <v>1769</v>
      </c>
    </row>
    <row r="26" spans="1:29" ht="29" x14ac:dyDescent="0.35">
      <c r="A26" s="26" t="s">
        <v>444</v>
      </c>
      <c r="B26" s="27" t="s">
        <v>300</v>
      </c>
      <c r="C26" s="66" t="s">
        <v>1770</v>
      </c>
      <c r="D26" s="65">
        <v>45709</v>
      </c>
      <c r="E26" s="26" t="s">
        <v>142</v>
      </c>
      <c r="F26" s="67" t="s">
        <v>1771</v>
      </c>
      <c r="G26" s="42">
        <v>84096752</v>
      </c>
      <c r="H26" s="2" t="s">
        <v>1772</v>
      </c>
      <c r="I26" s="28">
        <v>3600000</v>
      </c>
      <c r="J26" s="28">
        <v>0</v>
      </c>
      <c r="K26" s="36">
        <v>3600000</v>
      </c>
      <c r="L26" s="69" t="s">
        <v>302</v>
      </c>
      <c r="M26" s="3"/>
      <c r="N26" s="28">
        <f>+Tabla15132[[#This Row],[VALOR TOTAL DEL CONTRATO
(en pesos)
CON IVA
(inicial)]]+Tabla15132[[#This Row],[VALOR DE LAS ADICIONES
(en pesos)
CON IVA]]</f>
        <v>3600000</v>
      </c>
      <c r="O26" s="4">
        <f>+Tabla15132[[#This Row],[FECHA TERMINACIÓN CONTRATO
(inicial)]]-Tabla15132[[#This Row],[FECHA INICIO CONTRATO]]</f>
        <v>303</v>
      </c>
      <c r="P26" s="23" t="s">
        <v>302</v>
      </c>
      <c r="Q26" s="101"/>
      <c r="R26" s="70" t="s">
        <v>302</v>
      </c>
      <c r="S26" s="70"/>
      <c r="T26" s="65">
        <v>45709</v>
      </c>
      <c r="U26" s="65">
        <v>46012</v>
      </c>
      <c r="V26" s="65">
        <v>46012</v>
      </c>
      <c r="W26" s="64" t="s">
        <v>325</v>
      </c>
      <c r="X26" s="71"/>
      <c r="Y26" s="71" t="s">
        <v>321</v>
      </c>
      <c r="Z26" s="30">
        <v>0.5</v>
      </c>
      <c r="AA26" s="30">
        <v>0.5</v>
      </c>
      <c r="AB26" s="31">
        <v>2040000</v>
      </c>
      <c r="AC26" s="32" t="s">
        <v>1773</v>
      </c>
    </row>
    <row r="27" spans="1:29" ht="29" x14ac:dyDescent="0.35">
      <c r="A27" s="26" t="s">
        <v>357</v>
      </c>
      <c r="B27" s="27" t="s">
        <v>365</v>
      </c>
      <c r="C27" s="66" t="s">
        <v>1774</v>
      </c>
      <c r="D27" s="65">
        <v>45713</v>
      </c>
      <c r="E27" s="26" t="s">
        <v>113</v>
      </c>
      <c r="F27" s="67" t="s">
        <v>1775</v>
      </c>
      <c r="G27" s="42">
        <v>5348893</v>
      </c>
      <c r="H27" s="2" t="s">
        <v>445</v>
      </c>
      <c r="I27" s="28">
        <v>1544000</v>
      </c>
      <c r="J27" s="28"/>
      <c r="K27" s="36">
        <v>1544000</v>
      </c>
      <c r="L27" s="69" t="s">
        <v>302</v>
      </c>
      <c r="M27" s="3"/>
      <c r="N27" s="28">
        <f>+Tabla15132[[#This Row],[VALOR TOTAL DEL CONTRATO
(en pesos)
CON IVA
(inicial)]]+Tabla15132[[#This Row],[VALOR DE LAS ADICIONES
(en pesos)
CON IVA]]</f>
        <v>1544000</v>
      </c>
      <c r="O27" s="4">
        <f>+Tabla15132[[#This Row],[FECHA TERMINACIÓN CONTRATO
(inicial)]]-Tabla15132[[#This Row],[FECHA INICIO CONTRATO]]</f>
        <v>15</v>
      </c>
      <c r="P27" s="23" t="s">
        <v>302</v>
      </c>
      <c r="Q27" s="101"/>
      <c r="R27" s="70" t="s">
        <v>302</v>
      </c>
      <c r="S27" s="70"/>
      <c r="T27" s="65">
        <v>45713</v>
      </c>
      <c r="U27" s="65">
        <v>45728</v>
      </c>
      <c r="V27" s="65">
        <v>45728</v>
      </c>
      <c r="W27" s="64" t="s">
        <v>320</v>
      </c>
      <c r="X27" s="71"/>
      <c r="Y27" s="71" t="s">
        <v>321</v>
      </c>
      <c r="Z27" s="30">
        <v>1</v>
      </c>
      <c r="AA27" s="30">
        <v>1</v>
      </c>
      <c r="AB27" s="31">
        <v>1544000</v>
      </c>
      <c r="AC27" s="32" t="s">
        <v>1776</v>
      </c>
    </row>
    <row r="28" spans="1:29" ht="29" x14ac:dyDescent="0.35">
      <c r="A28" s="26" t="s">
        <v>438</v>
      </c>
      <c r="B28" s="27" t="s">
        <v>300</v>
      </c>
      <c r="C28" s="66" t="s">
        <v>1777</v>
      </c>
      <c r="D28" s="65">
        <v>45714</v>
      </c>
      <c r="E28" s="26" t="s">
        <v>142</v>
      </c>
      <c r="F28" s="67" t="s">
        <v>1778</v>
      </c>
      <c r="G28" s="42" t="s">
        <v>2585</v>
      </c>
      <c r="H28" s="2" t="s">
        <v>1779</v>
      </c>
      <c r="I28" s="28">
        <v>14151000</v>
      </c>
      <c r="J28" s="28">
        <v>2688690</v>
      </c>
      <c r="K28" s="36">
        <v>16839690</v>
      </c>
      <c r="L28" s="69" t="s">
        <v>302</v>
      </c>
      <c r="M28" s="3"/>
      <c r="N28" s="28">
        <f>+Tabla15132[[#This Row],[VALOR TOTAL DEL CONTRATO
(en pesos)
CON IVA
(inicial)]]+Tabla15132[[#This Row],[VALOR DE LAS ADICIONES
(en pesos)
CON IVA]]</f>
        <v>16839690</v>
      </c>
      <c r="O28" s="4">
        <f>+Tabla15132[[#This Row],[FECHA TERMINACIÓN CONTRATO
(inicial)]]-Tabla15132[[#This Row],[FECHA INICIO CONTRATO]]</f>
        <v>49</v>
      </c>
      <c r="P28" s="23" t="s">
        <v>302</v>
      </c>
      <c r="Q28" s="101"/>
      <c r="R28" s="70" t="s">
        <v>302</v>
      </c>
      <c r="S28" s="70"/>
      <c r="T28" s="65">
        <v>45720</v>
      </c>
      <c r="U28" s="65">
        <v>45769</v>
      </c>
      <c r="V28" s="65">
        <v>45769</v>
      </c>
      <c r="W28" s="64" t="s">
        <v>325</v>
      </c>
      <c r="X28" s="71"/>
      <c r="Y28" s="71" t="s">
        <v>321</v>
      </c>
      <c r="Z28" s="30">
        <v>1</v>
      </c>
      <c r="AA28" s="30">
        <v>1</v>
      </c>
      <c r="AB28" s="31">
        <v>16839690</v>
      </c>
      <c r="AC28" s="32" t="s">
        <v>1780</v>
      </c>
    </row>
    <row r="29" spans="1:29" ht="43.5" x14ac:dyDescent="0.35">
      <c r="A29" s="26" t="s">
        <v>309</v>
      </c>
      <c r="B29" s="27" t="s">
        <v>300</v>
      </c>
      <c r="C29" s="66" t="s">
        <v>1781</v>
      </c>
      <c r="D29" s="65">
        <v>45716</v>
      </c>
      <c r="E29" s="26" t="s">
        <v>88</v>
      </c>
      <c r="F29" s="67" t="s">
        <v>1782</v>
      </c>
      <c r="G29" s="42" t="s">
        <v>2597</v>
      </c>
      <c r="H29" s="2" t="s">
        <v>440</v>
      </c>
      <c r="I29" s="28">
        <v>17647059</v>
      </c>
      <c r="J29" s="28">
        <v>3352941</v>
      </c>
      <c r="K29" s="36">
        <v>21000000</v>
      </c>
      <c r="L29" s="69" t="s">
        <v>302</v>
      </c>
      <c r="M29" s="3"/>
      <c r="N29" s="28">
        <f>+Tabla15132[[#This Row],[VALOR TOTAL DEL CONTRATO
(en pesos)
CON IVA
(inicial)]]+Tabla15132[[#This Row],[VALOR DE LAS ADICIONES
(en pesos)
CON IVA]]</f>
        <v>21000000</v>
      </c>
      <c r="O29" s="4">
        <f>+Tabla15132[[#This Row],[FECHA TERMINACIÓN CONTRATO
(inicial)]]-Tabla15132[[#This Row],[FECHA INICIO CONTRATO]]</f>
        <v>305</v>
      </c>
      <c r="P29" s="23" t="s">
        <v>302</v>
      </c>
      <c r="Q29" s="101"/>
      <c r="R29" s="70" t="s">
        <v>302</v>
      </c>
      <c r="S29" s="70"/>
      <c r="T29" s="65">
        <v>45717</v>
      </c>
      <c r="U29" s="65">
        <v>46022</v>
      </c>
      <c r="V29" s="65">
        <v>46022</v>
      </c>
      <c r="W29" s="64" t="s">
        <v>320</v>
      </c>
      <c r="X29" s="71"/>
      <c r="Y29" s="71" t="s">
        <v>321</v>
      </c>
      <c r="Z29" s="30">
        <v>1</v>
      </c>
      <c r="AA29" s="30">
        <v>0.99</v>
      </c>
      <c r="AB29" s="31">
        <v>20910000</v>
      </c>
      <c r="AC29" s="32" t="s">
        <v>1783</v>
      </c>
    </row>
    <row r="30" spans="1:29" ht="29" x14ac:dyDescent="0.35">
      <c r="A30" s="26" t="s">
        <v>310</v>
      </c>
      <c r="B30" s="27" t="s">
        <v>300</v>
      </c>
      <c r="C30" s="66" t="s">
        <v>1784</v>
      </c>
      <c r="D30" s="65">
        <v>45716</v>
      </c>
      <c r="E30" s="26" t="s">
        <v>113</v>
      </c>
      <c r="F30" s="67" t="s">
        <v>1785</v>
      </c>
      <c r="G30" s="42" t="s">
        <v>2627</v>
      </c>
      <c r="H30" s="2" t="s">
        <v>1786</v>
      </c>
      <c r="I30" s="28">
        <v>2300000</v>
      </c>
      <c r="J30" s="28">
        <v>123500</v>
      </c>
      <c r="K30" s="36">
        <v>2423500</v>
      </c>
      <c r="L30" s="69" t="s">
        <v>302</v>
      </c>
      <c r="M30" s="3"/>
      <c r="N30" s="28">
        <f>+Tabla15132[[#This Row],[VALOR TOTAL DEL CONTRATO
(en pesos)
CON IVA
(inicial)]]+Tabla15132[[#This Row],[VALOR DE LAS ADICIONES
(en pesos)
CON IVA]]</f>
        <v>2423500</v>
      </c>
      <c r="O30" s="4">
        <f>+Tabla15132[[#This Row],[FECHA TERMINACIÓN CONTRATO
(inicial)]]-Tabla15132[[#This Row],[FECHA INICIO CONTRATO]]</f>
        <v>61</v>
      </c>
      <c r="P30" s="23" t="s">
        <v>302</v>
      </c>
      <c r="Q30" s="101"/>
      <c r="R30" s="70" t="s">
        <v>302</v>
      </c>
      <c r="S30" s="70"/>
      <c r="T30" s="65">
        <v>45716</v>
      </c>
      <c r="U30" s="65">
        <v>45777</v>
      </c>
      <c r="V30" s="65">
        <v>45777</v>
      </c>
      <c r="W30" s="64" t="s">
        <v>320</v>
      </c>
      <c r="X30" s="71"/>
      <c r="Y30" s="71" t="s">
        <v>321</v>
      </c>
      <c r="Z30" s="30">
        <v>1</v>
      </c>
      <c r="AA30" s="30">
        <v>1</v>
      </c>
      <c r="AB30" s="31">
        <v>2423500</v>
      </c>
      <c r="AC30" s="32" t="s">
        <v>1787</v>
      </c>
    </row>
    <row r="31" spans="1:29" ht="29" x14ac:dyDescent="0.35">
      <c r="A31" s="26" t="s">
        <v>315</v>
      </c>
      <c r="B31" s="27" t="s">
        <v>300</v>
      </c>
      <c r="C31" s="66" t="s">
        <v>1788</v>
      </c>
      <c r="D31" s="65">
        <v>45721</v>
      </c>
      <c r="E31" s="26" t="s">
        <v>142</v>
      </c>
      <c r="F31" s="67" t="s">
        <v>1789</v>
      </c>
      <c r="G31" s="42" t="s">
        <v>2555</v>
      </c>
      <c r="H31" s="2" t="s">
        <v>457</v>
      </c>
      <c r="I31" s="28">
        <v>3547000</v>
      </c>
      <c r="J31" s="28">
        <v>673930</v>
      </c>
      <c r="K31" s="36">
        <v>4220930</v>
      </c>
      <c r="L31" s="69" t="s">
        <v>302</v>
      </c>
      <c r="M31" s="3"/>
      <c r="N31" s="28">
        <f>+Tabla15132[[#This Row],[VALOR TOTAL DEL CONTRATO
(en pesos)
CON IVA
(inicial)]]+Tabla15132[[#This Row],[VALOR DE LAS ADICIONES
(en pesos)
CON IVA]]</f>
        <v>4220930</v>
      </c>
      <c r="O31" s="4">
        <f>+Tabla15132[[#This Row],[FECHA TERMINACIÓN CONTRATO
(inicial)]]-Tabla15132[[#This Row],[FECHA INICIO CONTRATO]]</f>
        <v>296</v>
      </c>
      <c r="P31" s="23" t="s">
        <v>302</v>
      </c>
      <c r="Q31" s="101"/>
      <c r="R31" s="70" t="s">
        <v>302</v>
      </c>
      <c r="S31" s="70"/>
      <c r="T31" s="65">
        <v>45726</v>
      </c>
      <c r="U31" s="65">
        <v>46022</v>
      </c>
      <c r="V31" s="65">
        <v>46022</v>
      </c>
      <c r="W31" s="64" t="s">
        <v>325</v>
      </c>
      <c r="X31" s="71"/>
      <c r="Y31" s="71" t="s">
        <v>321</v>
      </c>
      <c r="Z31" s="30">
        <v>1</v>
      </c>
      <c r="AA31" s="30">
        <v>1</v>
      </c>
      <c r="AB31" s="31">
        <v>4220930</v>
      </c>
      <c r="AC31" s="32" t="s">
        <v>1790</v>
      </c>
    </row>
    <row r="32" spans="1:29" ht="29" x14ac:dyDescent="0.35">
      <c r="A32" s="26" t="s">
        <v>341</v>
      </c>
      <c r="B32" s="27" t="s">
        <v>365</v>
      </c>
      <c r="C32" s="66" t="s">
        <v>1791</v>
      </c>
      <c r="D32" s="65">
        <v>45730</v>
      </c>
      <c r="E32" s="26" t="s">
        <v>113</v>
      </c>
      <c r="F32" s="67" t="s">
        <v>1792</v>
      </c>
      <c r="G32" s="42" t="s">
        <v>1637</v>
      </c>
      <c r="H32" s="2" t="s">
        <v>1098</v>
      </c>
      <c r="I32" s="28">
        <v>1756842</v>
      </c>
      <c r="J32" s="28">
        <v>333800</v>
      </c>
      <c r="K32" s="36">
        <v>2090642</v>
      </c>
      <c r="L32" s="69" t="s">
        <v>302</v>
      </c>
      <c r="M32" s="3"/>
      <c r="N32" s="28">
        <f>+Tabla15132[[#This Row],[VALOR TOTAL DEL CONTRATO
(en pesos)
CON IVA
(inicial)]]+Tabla15132[[#This Row],[VALOR DE LAS ADICIONES
(en pesos)
CON IVA]]</f>
        <v>2090642</v>
      </c>
      <c r="O32" s="4">
        <f>+Tabla15132[[#This Row],[FECHA TERMINACIÓN CONTRATO
(inicial)]]-Tabla15132[[#This Row],[FECHA INICIO CONTRATO]]</f>
        <v>17</v>
      </c>
      <c r="P32" s="23" t="s">
        <v>302</v>
      </c>
      <c r="Q32" s="101"/>
      <c r="R32" s="70" t="s">
        <v>302</v>
      </c>
      <c r="S32" s="70"/>
      <c r="T32" s="65">
        <v>45730</v>
      </c>
      <c r="U32" s="65">
        <v>45747</v>
      </c>
      <c r="V32" s="65">
        <v>45747</v>
      </c>
      <c r="W32" s="64" t="s">
        <v>320</v>
      </c>
      <c r="X32" s="71"/>
      <c r="Y32" s="71" t="s">
        <v>321</v>
      </c>
      <c r="Z32" s="30">
        <v>1</v>
      </c>
      <c r="AA32" s="30">
        <v>1</v>
      </c>
      <c r="AB32" s="95">
        <v>2090642</v>
      </c>
      <c r="AC32" s="32" t="s">
        <v>1793</v>
      </c>
    </row>
    <row r="33" spans="1:29" ht="29" x14ac:dyDescent="0.35">
      <c r="A33" s="26" t="s">
        <v>436</v>
      </c>
      <c r="B33" s="27" t="s">
        <v>365</v>
      </c>
      <c r="C33" s="66" t="s">
        <v>1794</v>
      </c>
      <c r="D33" s="65">
        <v>45730</v>
      </c>
      <c r="E33" s="26" t="s">
        <v>150</v>
      </c>
      <c r="F33" s="67" t="s">
        <v>1795</v>
      </c>
      <c r="G33" s="42">
        <v>1094973615</v>
      </c>
      <c r="H33" s="2" t="s">
        <v>472</v>
      </c>
      <c r="I33" s="28">
        <v>2500000</v>
      </c>
      <c r="J33" s="28">
        <v>475000</v>
      </c>
      <c r="K33" s="36">
        <v>2975000</v>
      </c>
      <c r="L33" s="69" t="s">
        <v>302</v>
      </c>
      <c r="M33" s="3"/>
      <c r="N33" s="28">
        <f>+Tabla15132[[#This Row],[VALOR TOTAL DEL CONTRATO
(en pesos)
CON IVA
(inicial)]]+Tabla15132[[#This Row],[VALOR DE LAS ADICIONES
(en pesos)
CON IVA]]</f>
        <v>2975000</v>
      </c>
      <c r="O33" s="4">
        <f>+Tabla15132[[#This Row],[FECHA TERMINACIÓN CONTRATO
(inicial)]]-Tabla15132[[#This Row],[FECHA INICIO CONTRATO]]</f>
        <v>0</v>
      </c>
      <c r="P33" s="23" t="s">
        <v>302</v>
      </c>
      <c r="Q33" s="101"/>
      <c r="R33" s="70" t="s">
        <v>302</v>
      </c>
      <c r="S33" s="70"/>
      <c r="T33" s="65">
        <v>45742</v>
      </c>
      <c r="U33" s="65">
        <v>45742</v>
      </c>
      <c r="V33" s="65">
        <v>45742</v>
      </c>
      <c r="W33" s="64" t="s">
        <v>320</v>
      </c>
      <c r="X33" s="71"/>
      <c r="Y33" s="71" t="s">
        <v>321</v>
      </c>
      <c r="Z33" s="30">
        <v>1</v>
      </c>
      <c r="AA33" s="30">
        <v>1</v>
      </c>
      <c r="AB33" s="31">
        <v>2975000</v>
      </c>
      <c r="AC33" s="32" t="s">
        <v>1796</v>
      </c>
    </row>
    <row r="34" spans="1:29" ht="29" x14ac:dyDescent="0.35">
      <c r="A34" s="2" t="s">
        <v>1797</v>
      </c>
      <c r="B34" s="27" t="s">
        <v>365</v>
      </c>
      <c r="C34" s="66" t="s">
        <v>1798</v>
      </c>
      <c r="D34" s="65">
        <v>45735</v>
      </c>
      <c r="E34" s="26" t="s">
        <v>150</v>
      </c>
      <c r="F34" s="67" t="s">
        <v>1799</v>
      </c>
      <c r="G34" s="42" t="s">
        <v>2547</v>
      </c>
      <c r="H34" s="2" t="s">
        <v>1800</v>
      </c>
      <c r="I34" s="28">
        <v>1898148</v>
      </c>
      <c r="J34" s="28">
        <v>151852</v>
      </c>
      <c r="K34" s="36">
        <v>2050000</v>
      </c>
      <c r="L34" s="69" t="s">
        <v>302</v>
      </c>
      <c r="M34" s="3"/>
      <c r="N34" s="28">
        <f>+Tabla15132[[#This Row],[VALOR TOTAL DEL CONTRATO
(en pesos)
CON IVA
(inicial)]]+Tabla15132[[#This Row],[VALOR DE LAS ADICIONES
(en pesos)
CON IVA]]</f>
        <v>2050000</v>
      </c>
      <c r="O34" s="4">
        <f>+Tabla15132[[#This Row],[FECHA TERMINACIÓN CONTRATO
(inicial)]]-Tabla15132[[#This Row],[FECHA INICIO CONTRATO]]</f>
        <v>0</v>
      </c>
      <c r="P34" s="23" t="s">
        <v>302</v>
      </c>
      <c r="Q34" s="101"/>
      <c r="R34" s="70" t="s">
        <v>302</v>
      </c>
      <c r="S34" s="70"/>
      <c r="T34" s="65">
        <v>45736</v>
      </c>
      <c r="U34" s="65">
        <v>45736</v>
      </c>
      <c r="V34" s="65">
        <v>45736</v>
      </c>
      <c r="W34" s="64" t="s">
        <v>320</v>
      </c>
      <c r="X34" s="71"/>
      <c r="Y34" s="71" t="s">
        <v>321</v>
      </c>
      <c r="Z34" s="30">
        <v>1</v>
      </c>
      <c r="AA34" s="30">
        <v>1</v>
      </c>
      <c r="AB34" s="31">
        <v>2050000</v>
      </c>
      <c r="AC34" s="32" t="s">
        <v>1801</v>
      </c>
    </row>
    <row r="35" spans="1:29" ht="29" x14ac:dyDescent="0.35">
      <c r="A35" s="26" t="s">
        <v>311</v>
      </c>
      <c r="B35" s="27" t="s">
        <v>365</v>
      </c>
      <c r="C35" s="66" t="s">
        <v>1802</v>
      </c>
      <c r="D35" s="65">
        <v>45735</v>
      </c>
      <c r="E35" s="26" t="s">
        <v>150</v>
      </c>
      <c r="F35" s="67" t="s">
        <v>1803</v>
      </c>
      <c r="G35" s="42" t="s">
        <v>2607</v>
      </c>
      <c r="H35" s="2" t="s">
        <v>1804</v>
      </c>
      <c r="I35" s="28">
        <v>2935000</v>
      </c>
      <c r="J35" s="28">
        <v>321150</v>
      </c>
      <c r="K35" s="36">
        <v>3256150</v>
      </c>
      <c r="L35" s="69" t="s">
        <v>302</v>
      </c>
      <c r="M35" s="3"/>
      <c r="N35" s="28">
        <f>+Tabla15132[[#This Row],[VALOR TOTAL DEL CONTRATO
(en pesos)
CON IVA
(inicial)]]+Tabla15132[[#This Row],[VALOR DE LAS ADICIONES
(en pesos)
CON IVA]]</f>
        <v>3256150</v>
      </c>
      <c r="O35" s="4">
        <f>+Tabla15132[[#This Row],[FECHA TERMINACIÓN CONTRATO
(inicial)]]-Tabla15132[[#This Row],[FECHA INICIO CONTRATO]]</f>
        <v>0</v>
      </c>
      <c r="P35" s="23" t="s">
        <v>302</v>
      </c>
      <c r="Q35" s="101"/>
      <c r="R35" s="70" t="s">
        <v>302</v>
      </c>
      <c r="S35" s="70"/>
      <c r="T35" s="65">
        <v>45736</v>
      </c>
      <c r="U35" s="65">
        <v>45736</v>
      </c>
      <c r="V35" s="65">
        <v>45736</v>
      </c>
      <c r="W35" s="64" t="s">
        <v>320</v>
      </c>
      <c r="X35" s="71"/>
      <c r="Y35" s="71" t="s">
        <v>321</v>
      </c>
      <c r="Z35" s="30">
        <v>1</v>
      </c>
      <c r="AA35" s="30">
        <v>1</v>
      </c>
      <c r="AB35" s="31">
        <v>3256150</v>
      </c>
      <c r="AC35" s="32" t="s">
        <v>1805</v>
      </c>
    </row>
    <row r="36" spans="1:29" ht="43.5" x14ac:dyDescent="0.35">
      <c r="A36" s="26" t="s">
        <v>313</v>
      </c>
      <c r="B36" s="27" t="s">
        <v>365</v>
      </c>
      <c r="C36" s="66" t="s">
        <v>1806</v>
      </c>
      <c r="D36" s="65">
        <v>45734</v>
      </c>
      <c r="E36" s="26" t="s">
        <v>113</v>
      </c>
      <c r="F36" s="67" t="s">
        <v>1807</v>
      </c>
      <c r="G36" s="42" t="s">
        <v>2548</v>
      </c>
      <c r="H36" s="2" t="s">
        <v>1808</v>
      </c>
      <c r="I36" s="28">
        <v>2320000</v>
      </c>
      <c r="J36" s="28">
        <v>0</v>
      </c>
      <c r="K36" s="36">
        <v>2320000</v>
      </c>
      <c r="L36" s="69" t="s">
        <v>302</v>
      </c>
      <c r="M36" s="3"/>
      <c r="N36" s="28">
        <f>+Tabla15132[[#This Row],[VALOR TOTAL DEL CONTRATO
(en pesos)
CON IVA
(inicial)]]+Tabla15132[[#This Row],[VALOR DE LAS ADICIONES
(en pesos)
CON IVA]]</f>
        <v>2320000</v>
      </c>
      <c r="O36" s="4">
        <f>+Tabla15132[[#This Row],[FECHA TERMINACIÓN CONTRATO
(inicial)]]-Tabla15132[[#This Row],[FECHA INICIO CONTRATO]]</f>
        <v>31</v>
      </c>
      <c r="P36" s="23" t="s">
        <v>302</v>
      </c>
      <c r="Q36" s="101"/>
      <c r="R36" s="70" t="s">
        <v>302</v>
      </c>
      <c r="S36" s="70"/>
      <c r="T36" s="65">
        <v>45734</v>
      </c>
      <c r="U36" s="65">
        <v>45765</v>
      </c>
      <c r="V36" s="65">
        <v>45765</v>
      </c>
      <c r="W36" s="64" t="s">
        <v>320</v>
      </c>
      <c r="X36" s="71"/>
      <c r="Y36" s="71" t="s">
        <v>321</v>
      </c>
      <c r="Z36" s="30">
        <v>1</v>
      </c>
      <c r="AA36" s="30">
        <v>1</v>
      </c>
      <c r="AB36" s="31">
        <v>2320000</v>
      </c>
      <c r="AC36" s="32" t="s">
        <v>1809</v>
      </c>
    </row>
    <row r="37" spans="1:29" ht="29" x14ac:dyDescent="0.35">
      <c r="A37" s="26" t="s">
        <v>314</v>
      </c>
      <c r="B37" s="27" t="s">
        <v>300</v>
      </c>
      <c r="C37" s="66" t="s">
        <v>1810</v>
      </c>
      <c r="D37" s="65">
        <v>45735</v>
      </c>
      <c r="E37" s="26" t="s">
        <v>150</v>
      </c>
      <c r="F37" s="67" t="s">
        <v>1811</v>
      </c>
      <c r="G37" s="42" t="s">
        <v>2556</v>
      </c>
      <c r="H37" s="2" t="s">
        <v>1812</v>
      </c>
      <c r="I37" s="28">
        <v>8999074</v>
      </c>
      <c r="J37" s="28">
        <v>719926</v>
      </c>
      <c r="K37" s="36">
        <v>9719000</v>
      </c>
      <c r="L37" s="69" t="s">
        <v>302</v>
      </c>
      <c r="M37" s="3"/>
      <c r="N37" s="28">
        <f>+Tabla15132[[#This Row],[VALOR TOTAL DEL CONTRATO
(en pesos)
CON IVA
(inicial)]]+Tabla15132[[#This Row],[VALOR DE LAS ADICIONES
(en pesos)
CON IVA]]</f>
        <v>9719000</v>
      </c>
      <c r="O37" s="4">
        <f>+Tabla15132[[#This Row],[FECHA TERMINACIÓN CONTRATO
(inicial)]]-Tabla15132[[#This Row],[FECHA INICIO CONTRATO]]</f>
        <v>1</v>
      </c>
      <c r="P37" s="23" t="s">
        <v>302</v>
      </c>
      <c r="Q37" s="101"/>
      <c r="R37" s="70" t="s">
        <v>302</v>
      </c>
      <c r="S37" s="70"/>
      <c r="T37" s="65">
        <v>45736</v>
      </c>
      <c r="U37" s="65">
        <v>45737</v>
      </c>
      <c r="V37" s="65">
        <v>45737</v>
      </c>
      <c r="W37" s="64" t="s">
        <v>320</v>
      </c>
      <c r="X37" s="71"/>
      <c r="Y37" s="71" t="s">
        <v>321</v>
      </c>
      <c r="Z37" s="30">
        <v>1</v>
      </c>
      <c r="AA37" s="30">
        <v>0.99990000000000001</v>
      </c>
      <c r="AB37" s="31">
        <v>9718996.9499999993</v>
      </c>
      <c r="AC37" s="32" t="s">
        <v>1813</v>
      </c>
    </row>
    <row r="38" spans="1:29" ht="29" x14ac:dyDescent="0.35">
      <c r="A38" s="26" t="s">
        <v>438</v>
      </c>
      <c r="B38" s="27" t="s">
        <v>300</v>
      </c>
      <c r="C38" s="66" t="s">
        <v>1814</v>
      </c>
      <c r="D38" s="65">
        <v>45736</v>
      </c>
      <c r="E38" s="26" t="s">
        <v>150</v>
      </c>
      <c r="F38" s="67" t="s">
        <v>1815</v>
      </c>
      <c r="G38" s="42">
        <v>24714939</v>
      </c>
      <c r="H38" s="2" t="s">
        <v>470</v>
      </c>
      <c r="I38" s="28">
        <v>2700000</v>
      </c>
      <c r="J38" s="28">
        <v>0</v>
      </c>
      <c r="K38" s="36">
        <v>2700000</v>
      </c>
      <c r="L38" s="69" t="s">
        <v>302</v>
      </c>
      <c r="M38" s="3"/>
      <c r="N38" s="28">
        <f>+Tabla15132[[#This Row],[VALOR TOTAL DEL CONTRATO
(en pesos)
CON IVA
(inicial)]]+Tabla15132[[#This Row],[VALOR DE LAS ADICIONES
(en pesos)
CON IVA]]</f>
        <v>2700000</v>
      </c>
      <c r="O38" s="4">
        <f>+Tabla15132[[#This Row],[FECHA TERMINACIÓN CONTRATO
(inicial)]]-Tabla15132[[#This Row],[FECHA INICIO CONTRATO]]</f>
        <v>0</v>
      </c>
      <c r="P38" s="23" t="s">
        <v>302</v>
      </c>
      <c r="Q38" s="101"/>
      <c r="R38" s="70" t="s">
        <v>302</v>
      </c>
      <c r="S38" s="70"/>
      <c r="T38" s="65">
        <v>45742</v>
      </c>
      <c r="U38" s="65">
        <v>45742</v>
      </c>
      <c r="V38" s="65">
        <v>45742</v>
      </c>
      <c r="W38" s="64" t="s">
        <v>320</v>
      </c>
      <c r="X38" s="71"/>
      <c r="Y38" s="71" t="s">
        <v>321</v>
      </c>
      <c r="Z38" s="30">
        <v>1</v>
      </c>
      <c r="AA38" s="30">
        <v>1</v>
      </c>
      <c r="AB38" s="31">
        <v>2700000</v>
      </c>
      <c r="AC38" s="32" t="s">
        <v>1816</v>
      </c>
    </row>
    <row r="39" spans="1:29" ht="29" x14ac:dyDescent="0.35">
      <c r="A39" s="26" t="s">
        <v>299</v>
      </c>
      <c r="B39" s="27" t="s">
        <v>365</v>
      </c>
      <c r="C39" s="66" t="s">
        <v>1817</v>
      </c>
      <c r="D39" s="65">
        <v>45736</v>
      </c>
      <c r="E39" s="26" t="s">
        <v>150</v>
      </c>
      <c r="F39" s="67" t="s">
        <v>1818</v>
      </c>
      <c r="G39" s="42">
        <v>24239911</v>
      </c>
      <c r="H39" s="2" t="s">
        <v>447</v>
      </c>
      <c r="I39" s="28">
        <v>1500000</v>
      </c>
      <c r="J39" s="28">
        <v>285000</v>
      </c>
      <c r="K39" s="36">
        <v>1785000</v>
      </c>
      <c r="L39" s="69" t="s">
        <v>302</v>
      </c>
      <c r="M39" s="3"/>
      <c r="N39" s="28">
        <f>+Tabla15132[[#This Row],[VALOR TOTAL DEL CONTRATO
(en pesos)
CON IVA
(inicial)]]+Tabla15132[[#This Row],[VALOR DE LAS ADICIONES
(en pesos)
CON IVA]]</f>
        <v>1785000</v>
      </c>
      <c r="O39" s="4">
        <f>+Tabla15132[[#This Row],[FECHA TERMINACIÓN CONTRATO
(inicial)]]-Tabla15132[[#This Row],[FECHA INICIO CONTRATO]]</f>
        <v>0</v>
      </c>
      <c r="P39" s="23" t="s">
        <v>302</v>
      </c>
      <c r="Q39" s="101"/>
      <c r="R39" s="70" t="s">
        <v>302</v>
      </c>
      <c r="S39" s="70"/>
      <c r="T39" s="65">
        <v>45737</v>
      </c>
      <c r="U39" s="65">
        <v>45737</v>
      </c>
      <c r="V39" s="65">
        <v>45737</v>
      </c>
      <c r="W39" s="64" t="s">
        <v>320</v>
      </c>
      <c r="X39" s="71"/>
      <c r="Y39" s="71" t="s">
        <v>321</v>
      </c>
      <c r="Z39" s="30">
        <v>1</v>
      </c>
      <c r="AA39" s="30">
        <v>1</v>
      </c>
      <c r="AB39" s="31">
        <v>1785000</v>
      </c>
      <c r="AC39" s="32" t="s">
        <v>1819</v>
      </c>
    </row>
    <row r="40" spans="1:29" ht="43.5" x14ac:dyDescent="0.35">
      <c r="A40" s="26" t="s">
        <v>1732</v>
      </c>
      <c r="B40" s="27" t="s">
        <v>300</v>
      </c>
      <c r="C40" s="66" t="s">
        <v>1820</v>
      </c>
      <c r="D40" s="65">
        <v>45714</v>
      </c>
      <c r="E40" s="26" t="s">
        <v>88</v>
      </c>
      <c r="F40" s="67" t="s">
        <v>1821</v>
      </c>
      <c r="G40" s="42" t="s">
        <v>2584</v>
      </c>
      <c r="H40" s="2" t="s">
        <v>1822</v>
      </c>
      <c r="I40" s="28">
        <v>1529920</v>
      </c>
      <c r="J40" s="28">
        <v>290685</v>
      </c>
      <c r="K40" s="36">
        <v>1820605</v>
      </c>
      <c r="L40" s="69" t="s">
        <v>302</v>
      </c>
      <c r="M40" s="3"/>
      <c r="N40" s="28">
        <f>+Tabla15132[[#This Row],[VALOR TOTAL DEL CONTRATO
(en pesos)
CON IVA
(inicial)]]+Tabla15132[[#This Row],[VALOR DE LAS ADICIONES
(en pesos)
CON IVA]]</f>
        <v>1820605</v>
      </c>
      <c r="O40" s="4">
        <f>+Tabla15132[[#This Row],[FECHA TERMINACIÓN CONTRATO
(inicial)]]-Tabla15132[[#This Row],[FECHA INICIO CONTRATO]]</f>
        <v>30</v>
      </c>
      <c r="P40" s="23" t="s">
        <v>302</v>
      </c>
      <c r="Q40" s="101"/>
      <c r="R40" s="70" t="s">
        <v>302</v>
      </c>
      <c r="S40" s="70"/>
      <c r="T40" s="65">
        <v>45658</v>
      </c>
      <c r="U40" s="65">
        <v>45688</v>
      </c>
      <c r="V40" s="65">
        <v>45688</v>
      </c>
      <c r="W40" s="64" t="s">
        <v>320</v>
      </c>
      <c r="X40" s="71"/>
      <c r="Y40" s="71" t="s">
        <v>321</v>
      </c>
      <c r="Z40" s="30">
        <v>1</v>
      </c>
      <c r="AA40" s="30">
        <v>1</v>
      </c>
      <c r="AB40" s="31">
        <v>1820605</v>
      </c>
      <c r="AC40" s="32" t="s">
        <v>1823</v>
      </c>
    </row>
    <row r="41" spans="1:29" ht="29" x14ac:dyDescent="0.35">
      <c r="A41" s="26" t="s">
        <v>441</v>
      </c>
      <c r="B41" s="27" t="s">
        <v>300</v>
      </c>
      <c r="C41" s="66" t="s">
        <v>1824</v>
      </c>
      <c r="D41" s="65">
        <v>45741</v>
      </c>
      <c r="E41" s="26" t="s">
        <v>142</v>
      </c>
      <c r="F41" s="67" t="s">
        <v>1825</v>
      </c>
      <c r="G41" s="42">
        <v>12998237</v>
      </c>
      <c r="H41" s="2" t="s">
        <v>1826</v>
      </c>
      <c r="I41" s="28">
        <v>1100000</v>
      </c>
      <c r="J41" s="28">
        <v>0</v>
      </c>
      <c r="K41" s="36">
        <v>1100000</v>
      </c>
      <c r="L41" s="69" t="s">
        <v>302</v>
      </c>
      <c r="M41" s="3"/>
      <c r="N41" s="28">
        <f>+Tabla15132[[#This Row],[VALOR TOTAL DEL CONTRATO
(en pesos)
CON IVA
(inicial)]]+Tabla15132[[#This Row],[VALOR DE LAS ADICIONES
(en pesos)
CON IVA]]</f>
        <v>1100000</v>
      </c>
      <c r="O41" s="4">
        <f>+Tabla15132[[#This Row],[FECHA TERMINACIÓN CONTRATO
(inicial)]]-Tabla15132[[#This Row],[FECHA INICIO CONTRATO]]</f>
        <v>0</v>
      </c>
      <c r="P41" s="23" t="s">
        <v>302</v>
      </c>
      <c r="Q41" s="101"/>
      <c r="R41" s="70" t="s">
        <v>302</v>
      </c>
      <c r="S41" s="70"/>
      <c r="T41" s="65">
        <v>45741</v>
      </c>
      <c r="U41" s="65">
        <v>45741</v>
      </c>
      <c r="V41" s="65">
        <v>45741</v>
      </c>
      <c r="W41" s="64" t="s">
        <v>320</v>
      </c>
      <c r="X41" s="71"/>
      <c r="Y41" s="71" t="s">
        <v>321</v>
      </c>
      <c r="Z41" s="30">
        <v>1</v>
      </c>
      <c r="AA41" s="30">
        <v>1</v>
      </c>
      <c r="AB41" s="31">
        <v>1100000</v>
      </c>
      <c r="AC41" s="32" t="s">
        <v>1827</v>
      </c>
    </row>
    <row r="42" spans="1:29" ht="29" x14ac:dyDescent="0.35">
      <c r="A42" s="26" t="s">
        <v>444</v>
      </c>
      <c r="B42" s="27" t="s">
        <v>365</v>
      </c>
      <c r="C42" s="66" t="s">
        <v>1828</v>
      </c>
      <c r="D42" s="65">
        <v>45737</v>
      </c>
      <c r="E42" s="26" t="s">
        <v>150</v>
      </c>
      <c r="F42" s="67" t="s">
        <v>1829</v>
      </c>
      <c r="G42" s="42" t="s">
        <v>2608</v>
      </c>
      <c r="H42" s="2" t="s">
        <v>1830</v>
      </c>
      <c r="I42" s="28">
        <v>2129630</v>
      </c>
      <c r="J42" s="28">
        <v>170370</v>
      </c>
      <c r="K42" s="36">
        <v>2300000</v>
      </c>
      <c r="L42" s="69" t="s">
        <v>302</v>
      </c>
      <c r="M42" s="3"/>
      <c r="N42" s="28">
        <f>+Tabla15132[[#This Row],[VALOR TOTAL DEL CONTRATO
(en pesos)
CON IVA
(inicial)]]+Tabla15132[[#This Row],[VALOR DE LAS ADICIONES
(en pesos)
CON IVA]]</f>
        <v>2300000</v>
      </c>
      <c r="O42" s="4">
        <f>+Tabla15132[[#This Row],[FECHA TERMINACIÓN CONTRATO
(inicial)]]-Tabla15132[[#This Row],[FECHA INICIO CONTRATO]]</f>
        <v>14</v>
      </c>
      <c r="P42" s="23" t="s">
        <v>302</v>
      </c>
      <c r="Q42" s="101"/>
      <c r="R42" s="70" t="s">
        <v>302</v>
      </c>
      <c r="S42" s="70"/>
      <c r="T42" s="65">
        <v>45737</v>
      </c>
      <c r="U42" s="65">
        <v>45751</v>
      </c>
      <c r="V42" s="65">
        <v>45751</v>
      </c>
      <c r="W42" s="64" t="s">
        <v>320</v>
      </c>
      <c r="X42" s="71"/>
      <c r="Y42" s="71" t="s">
        <v>321</v>
      </c>
      <c r="Z42" s="30">
        <v>1</v>
      </c>
      <c r="AA42" s="30">
        <v>1</v>
      </c>
      <c r="AB42" s="31">
        <v>2300000</v>
      </c>
      <c r="AC42" s="32" t="s">
        <v>1831</v>
      </c>
    </row>
    <row r="43" spans="1:29" ht="43.5" x14ac:dyDescent="0.35">
      <c r="A43" s="26" t="s">
        <v>313</v>
      </c>
      <c r="B43" s="27" t="s">
        <v>365</v>
      </c>
      <c r="C43" s="66" t="s">
        <v>1832</v>
      </c>
      <c r="D43" s="65">
        <v>45734</v>
      </c>
      <c r="E43" s="26" t="s">
        <v>113</v>
      </c>
      <c r="F43" s="67" t="s">
        <v>1833</v>
      </c>
      <c r="G43" s="42" t="s">
        <v>2557</v>
      </c>
      <c r="H43" s="2" t="s">
        <v>1834</v>
      </c>
      <c r="I43" s="102">
        <v>2402900</v>
      </c>
      <c r="J43" s="28">
        <v>0</v>
      </c>
      <c r="K43" s="36">
        <v>2402900</v>
      </c>
      <c r="L43" s="69" t="s">
        <v>302</v>
      </c>
      <c r="M43" s="3"/>
      <c r="N43" s="28">
        <f>+Tabla15132[[#This Row],[VALOR TOTAL DEL CONTRATO
(en pesos)
CON IVA
(inicial)]]+Tabla15132[[#This Row],[VALOR DE LAS ADICIONES
(en pesos)
CON IVA]]</f>
        <v>2402900</v>
      </c>
      <c r="O43" s="4">
        <f>+Tabla15132[[#This Row],[FECHA TERMINACIÓN CONTRATO
(inicial)]]-Tabla15132[[#This Row],[FECHA INICIO CONTRATO]]</f>
        <v>31</v>
      </c>
      <c r="P43" s="23" t="s">
        <v>302</v>
      </c>
      <c r="Q43" s="101"/>
      <c r="R43" s="70" t="s">
        <v>302</v>
      </c>
      <c r="S43" s="70"/>
      <c r="T43" s="65">
        <v>45734</v>
      </c>
      <c r="U43" s="65">
        <v>45765</v>
      </c>
      <c r="V43" s="65">
        <v>45765</v>
      </c>
      <c r="W43" s="64" t="s">
        <v>320</v>
      </c>
      <c r="X43" s="71"/>
      <c r="Y43" s="71" t="s">
        <v>321</v>
      </c>
      <c r="Z43" s="30">
        <v>1</v>
      </c>
      <c r="AA43" s="30">
        <v>1</v>
      </c>
      <c r="AB43" s="31">
        <v>2402900</v>
      </c>
      <c r="AC43" s="32" t="s">
        <v>1835</v>
      </c>
    </row>
    <row r="44" spans="1:29" ht="29" x14ac:dyDescent="0.35">
      <c r="A44" s="26" t="s">
        <v>357</v>
      </c>
      <c r="B44" s="27" t="s">
        <v>365</v>
      </c>
      <c r="C44" s="66" t="s">
        <v>1836</v>
      </c>
      <c r="D44" s="65">
        <v>45742</v>
      </c>
      <c r="E44" s="26" t="s">
        <v>150</v>
      </c>
      <c r="F44" s="67" t="s">
        <v>1837</v>
      </c>
      <c r="G44" s="42">
        <v>26641316</v>
      </c>
      <c r="H44" s="2" t="s">
        <v>474</v>
      </c>
      <c r="I44" s="28">
        <v>1870000</v>
      </c>
      <c r="J44" s="28">
        <v>0</v>
      </c>
      <c r="K44" s="36">
        <v>1870000</v>
      </c>
      <c r="L44" s="69" t="s">
        <v>302</v>
      </c>
      <c r="M44" s="3"/>
      <c r="N44" s="28">
        <f>+Tabla15132[[#This Row],[VALOR TOTAL DEL CONTRATO
(en pesos)
CON IVA
(inicial)]]+Tabla15132[[#This Row],[VALOR DE LAS ADICIONES
(en pesos)
CON IVA]]</f>
        <v>1870000</v>
      </c>
      <c r="O44" s="4">
        <f>+Tabla15132[[#This Row],[FECHA TERMINACIÓN CONTRATO
(inicial)]]-Tabla15132[[#This Row],[FECHA INICIO CONTRATO]]</f>
        <v>0</v>
      </c>
      <c r="P44" s="23" t="s">
        <v>302</v>
      </c>
      <c r="Q44" s="101"/>
      <c r="R44" s="70" t="s">
        <v>302</v>
      </c>
      <c r="S44" s="70"/>
      <c r="T44" s="65">
        <v>45743</v>
      </c>
      <c r="U44" s="65">
        <v>45743</v>
      </c>
      <c r="V44" s="65">
        <v>45743</v>
      </c>
      <c r="W44" s="64" t="s">
        <v>320</v>
      </c>
      <c r="X44" s="71"/>
      <c r="Y44" s="71" t="s">
        <v>321</v>
      </c>
      <c r="Z44" s="30">
        <v>1</v>
      </c>
      <c r="AA44" s="30">
        <v>1</v>
      </c>
      <c r="AB44" s="31">
        <v>1870000</v>
      </c>
      <c r="AC44" s="32" t="s">
        <v>1838</v>
      </c>
    </row>
    <row r="45" spans="1:29" ht="29" x14ac:dyDescent="0.35">
      <c r="A45" s="26" t="s">
        <v>317</v>
      </c>
      <c r="B45" s="27" t="s">
        <v>300</v>
      </c>
      <c r="C45" s="66" t="s">
        <v>1839</v>
      </c>
      <c r="D45" s="65">
        <v>45742</v>
      </c>
      <c r="E45" s="26" t="s">
        <v>150</v>
      </c>
      <c r="F45" s="67" t="s">
        <v>1840</v>
      </c>
      <c r="G45" s="42" t="s">
        <v>2598</v>
      </c>
      <c r="H45" s="2" t="s">
        <v>1841</v>
      </c>
      <c r="I45" s="28">
        <v>10875200</v>
      </c>
      <c r="J45" s="28">
        <v>884800</v>
      </c>
      <c r="K45" s="36">
        <v>11760000</v>
      </c>
      <c r="L45" s="69" t="s">
        <v>302</v>
      </c>
      <c r="M45" s="3"/>
      <c r="N45" s="28">
        <f>+Tabla15132[[#This Row],[VALOR TOTAL DEL CONTRATO
(en pesos)
CON IVA
(inicial)]]+Tabla15132[[#This Row],[VALOR DE LAS ADICIONES
(en pesos)
CON IVA]]</f>
        <v>11760000</v>
      </c>
      <c r="O45" s="4">
        <v>1</v>
      </c>
      <c r="P45" s="23" t="s">
        <v>302</v>
      </c>
      <c r="Q45" s="101">
        <v>0</v>
      </c>
      <c r="R45" s="70" t="s">
        <v>302</v>
      </c>
      <c r="S45" s="70"/>
      <c r="T45" s="65">
        <v>45743</v>
      </c>
      <c r="U45" s="65">
        <v>45743</v>
      </c>
      <c r="V45" s="65">
        <v>45743</v>
      </c>
      <c r="W45" s="64" t="s">
        <v>320</v>
      </c>
      <c r="X45" s="71"/>
      <c r="Y45" s="71" t="s">
        <v>321</v>
      </c>
      <c r="Z45" s="30">
        <v>0.99870000000000003</v>
      </c>
      <c r="AA45" s="30">
        <v>1</v>
      </c>
      <c r="AB45" s="96">
        <v>11745216</v>
      </c>
      <c r="AC45" s="32" t="s">
        <v>1842</v>
      </c>
    </row>
    <row r="46" spans="1:29" ht="29" x14ac:dyDescent="0.35">
      <c r="A46" s="26" t="s">
        <v>307</v>
      </c>
      <c r="B46" s="27" t="s">
        <v>365</v>
      </c>
      <c r="C46" s="66" t="s">
        <v>1843</v>
      </c>
      <c r="D46" s="65">
        <v>45742</v>
      </c>
      <c r="E46" s="26" t="s">
        <v>150</v>
      </c>
      <c r="F46" s="67" t="s">
        <v>1844</v>
      </c>
      <c r="G46" s="42" t="s">
        <v>2609</v>
      </c>
      <c r="H46" s="2" t="s">
        <v>1845</v>
      </c>
      <c r="I46" s="28">
        <v>4828704</v>
      </c>
      <c r="J46" s="28">
        <v>386296</v>
      </c>
      <c r="K46" s="36">
        <v>5215000</v>
      </c>
      <c r="L46" s="69" t="s">
        <v>302</v>
      </c>
      <c r="M46" s="3"/>
      <c r="N46" s="28">
        <f>+Tabla15132[[#This Row],[VALOR TOTAL DEL CONTRATO
(en pesos)
CON IVA
(inicial)]]+Tabla15132[[#This Row],[VALOR DE LAS ADICIONES
(en pesos)
CON IVA]]</f>
        <v>5215000</v>
      </c>
      <c r="O46" s="4">
        <f>+Tabla15132[[#This Row],[FECHA TERMINACIÓN CONTRATO
(inicial)]]-Tabla15132[[#This Row],[FECHA INICIO CONTRATO]]</f>
        <v>0</v>
      </c>
      <c r="P46" s="23" t="s">
        <v>302</v>
      </c>
      <c r="Q46" s="101"/>
      <c r="R46" s="70" t="s">
        <v>302</v>
      </c>
      <c r="S46" s="70"/>
      <c r="T46" s="65">
        <v>45742</v>
      </c>
      <c r="U46" s="65">
        <v>45742</v>
      </c>
      <c r="V46" s="65">
        <v>45742</v>
      </c>
      <c r="W46" s="64" t="s">
        <v>320</v>
      </c>
      <c r="X46" s="71"/>
      <c r="Y46" s="71" t="s">
        <v>321</v>
      </c>
      <c r="Z46" s="30">
        <v>1</v>
      </c>
      <c r="AA46" s="30">
        <v>1</v>
      </c>
      <c r="AB46" s="31">
        <v>5215000</v>
      </c>
      <c r="AC46" s="32" t="s">
        <v>1846</v>
      </c>
    </row>
    <row r="47" spans="1:29" ht="29" x14ac:dyDescent="0.35">
      <c r="A47" s="26" t="s">
        <v>310</v>
      </c>
      <c r="B47" s="27" t="s">
        <v>300</v>
      </c>
      <c r="C47" s="66" t="s">
        <v>1847</v>
      </c>
      <c r="D47" s="65">
        <v>45741</v>
      </c>
      <c r="E47" s="26" t="s">
        <v>150</v>
      </c>
      <c r="F47" s="67" t="s">
        <v>1848</v>
      </c>
      <c r="G47" s="42">
        <v>1152446717</v>
      </c>
      <c r="H47" s="2" t="s">
        <v>1849</v>
      </c>
      <c r="I47" s="28">
        <v>10480400</v>
      </c>
      <c r="J47" s="28">
        <v>838432</v>
      </c>
      <c r="K47" s="36">
        <v>11318832</v>
      </c>
      <c r="L47" s="69" t="s">
        <v>302</v>
      </c>
      <c r="M47" s="3"/>
      <c r="N47" s="28">
        <f>+Tabla15132[[#This Row],[VALOR TOTAL DEL CONTRATO
(en pesos)
CON IVA
(inicial)]]+Tabla15132[[#This Row],[VALOR DE LAS ADICIONES
(en pesos)
CON IVA]]</f>
        <v>11318832</v>
      </c>
      <c r="O47" s="4">
        <f>+Tabla15132[[#This Row],[FECHA TERMINACIÓN CONTRATO
(inicial)]]-Tabla15132[[#This Row],[FECHA INICIO CONTRATO]]</f>
        <v>0</v>
      </c>
      <c r="P47" s="23" t="s">
        <v>302</v>
      </c>
      <c r="Q47" s="101"/>
      <c r="R47" s="70" t="s">
        <v>302</v>
      </c>
      <c r="S47" s="70"/>
      <c r="T47" s="65">
        <v>45743</v>
      </c>
      <c r="U47" s="65">
        <v>45743</v>
      </c>
      <c r="V47" s="65">
        <v>45743</v>
      </c>
      <c r="W47" s="64" t="s">
        <v>320</v>
      </c>
      <c r="X47" s="71"/>
      <c r="Y47" s="71" t="s">
        <v>321</v>
      </c>
      <c r="Z47" s="30">
        <v>1</v>
      </c>
      <c r="AA47" s="30">
        <v>1</v>
      </c>
      <c r="AB47" s="31">
        <v>10480400</v>
      </c>
      <c r="AC47" s="32" t="s">
        <v>1850</v>
      </c>
    </row>
    <row r="48" spans="1:29" ht="29" x14ac:dyDescent="0.35">
      <c r="A48" s="26" t="s">
        <v>316</v>
      </c>
      <c r="B48" s="27" t="s">
        <v>365</v>
      </c>
      <c r="C48" s="66" t="s">
        <v>1851</v>
      </c>
      <c r="D48" s="65">
        <v>45743</v>
      </c>
      <c r="E48" s="26" t="s">
        <v>150</v>
      </c>
      <c r="F48" s="67" t="s">
        <v>1852</v>
      </c>
      <c r="G48" s="42" t="s">
        <v>2558</v>
      </c>
      <c r="H48" s="2" t="s">
        <v>1853</v>
      </c>
      <c r="I48" s="28">
        <v>4496832</v>
      </c>
      <c r="J48" s="28">
        <v>498402</v>
      </c>
      <c r="K48" s="36">
        <v>4995234</v>
      </c>
      <c r="L48" s="69" t="s">
        <v>302</v>
      </c>
      <c r="M48" s="3"/>
      <c r="N48" s="28">
        <f>+Tabla15132[[#This Row],[VALOR TOTAL DEL CONTRATO
(en pesos)
CON IVA
(inicial)]]+Tabla15132[[#This Row],[VALOR DE LAS ADICIONES
(en pesos)
CON IVA]]</f>
        <v>4995234</v>
      </c>
      <c r="O48" s="4">
        <f>+Tabla15132[[#This Row],[FECHA TERMINACIÓN CONTRATO
(inicial)]]-Tabla15132[[#This Row],[FECHA INICIO CONTRATO]]</f>
        <v>0</v>
      </c>
      <c r="P48" s="23" t="s">
        <v>302</v>
      </c>
      <c r="Q48" s="101"/>
      <c r="R48" s="70" t="s">
        <v>302</v>
      </c>
      <c r="S48" s="70"/>
      <c r="T48" s="65">
        <v>45744</v>
      </c>
      <c r="U48" s="65">
        <v>45744</v>
      </c>
      <c r="V48" s="65">
        <v>45744</v>
      </c>
      <c r="W48" s="64" t="s">
        <v>320</v>
      </c>
      <c r="X48" s="71"/>
      <c r="Y48" s="71" t="s">
        <v>321</v>
      </c>
      <c r="Z48" s="30">
        <v>1</v>
      </c>
      <c r="AA48" s="30">
        <v>1</v>
      </c>
      <c r="AB48" s="31">
        <v>4856578</v>
      </c>
      <c r="AC48" s="32" t="s">
        <v>1854</v>
      </c>
    </row>
    <row r="49" spans="1:29" ht="29" x14ac:dyDescent="0.35">
      <c r="A49" s="26" t="s">
        <v>328</v>
      </c>
      <c r="B49" s="27" t="s">
        <v>365</v>
      </c>
      <c r="C49" s="66" t="s">
        <v>1855</v>
      </c>
      <c r="D49" s="65">
        <v>45742</v>
      </c>
      <c r="E49" s="26" t="s">
        <v>150</v>
      </c>
      <c r="F49" s="67" t="s">
        <v>1856</v>
      </c>
      <c r="G49" s="42" t="s">
        <v>2628</v>
      </c>
      <c r="H49" s="2" t="s">
        <v>1857</v>
      </c>
      <c r="I49" s="28">
        <v>4760231</v>
      </c>
      <c r="J49" s="28">
        <v>380819</v>
      </c>
      <c r="K49" s="36">
        <v>5141050</v>
      </c>
      <c r="L49" s="69" t="s">
        <v>302</v>
      </c>
      <c r="M49" s="3"/>
      <c r="N49" s="28">
        <f>+Tabla15132[[#This Row],[VALOR TOTAL DEL CONTRATO
(en pesos)
CON IVA
(inicial)]]+Tabla15132[[#This Row],[VALOR DE LAS ADICIONES
(en pesos)
CON IVA]]</f>
        <v>5141050</v>
      </c>
      <c r="O49" s="4">
        <f>+Tabla15132[[#This Row],[FECHA TERMINACIÓN CONTRATO
(inicial)]]-Tabla15132[[#This Row],[FECHA INICIO CONTRATO]]</f>
        <v>0</v>
      </c>
      <c r="P49" s="23" t="s">
        <v>302</v>
      </c>
      <c r="Q49" s="101"/>
      <c r="R49" s="70" t="s">
        <v>302</v>
      </c>
      <c r="S49" s="70"/>
      <c r="T49" s="65">
        <v>45743</v>
      </c>
      <c r="U49" s="65">
        <v>45743</v>
      </c>
      <c r="V49" s="65">
        <v>45743</v>
      </c>
      <c r="W49" s="64" t="s">
        <v>320</v>
      </c>
      <c r="X49" s="71"/>
      <c r="Y49" s="71" t="s">
        <v>321</v>
      </c>
      <c r="Z49" s="30">
        <v>1</v>
      </c>
      <c r="AA49" s="30">
        <v>1</v>
      </c>
      <c r="AB49" s="31">
        <v>5141050</v>
      </c>
      <c r="AC49" s="32" t="s">
        <v>1858</v>
      </c>
    </row>
    <row r="50" spans="1:29" ht="29" x14ac:dyDescent="0.35">
      <c r="A50" s="26" t="s">
        <v>317</v>
      </c>
      <c r="B50" s="27" t="s">
        <v>300</v>
      </c>
      <c r="C50" s="66" t="s">
        <v>1859</v>
      </c>
      <c r="D50" s="65">
        <v>45743</v>
      </c>
      <c r="E50" s="26" t="s">
        <v>142</v>
      </c>
      <c r="F50" s="67" t="s">
        <v>1860</v>
      </c>
      <c r="G50" s="42" t="s">
        <v>2577</v>
      </c>
      <c r="H50" s="2" t="s">
        <v>1861</v>
      </c>
      <c r="I50" s="28">
        <v>5970300</v>
      </c>
      <c r="J50" s="28">
        <v>1134357</v>
      </c>
      <c r="K50" s="36">
        <v>7104657</v>
      </c>
      <c r="L50" s="69" t="s">
        <v>302</v>
      </c>
      <c r="M50" s="3"/>
      <c r="N50" s="28">
        <f>+Tabla15132[[#This Row],[VALOR TOTAL DEL CONTRATO
(en pesos)
CON IVA
(inicial)]]+Tabla15132[[#This Row],[VALOR DE LAS ADICIONES
(en pesos)
CON IVA]]</f>
        <v>7104657</v>
      </c>
      <c r="O50" s="4">
        <f>+Tabla15132[[#This Row],[FECHA TERMINACIÓN CONTRATO
(inicial)]]-Tabla15132[[#This Row],[FECHA INICIO CONTRATO]]</f>
        <v>279</v>
      </c>
      <c r="P50" s="23" t="s">
        <v>302</v>
      </c>
      <c r="Q50" s="101">
        <v>0</v>
      </c>
      <c r="R50" s="70" t="s">
        <v>302</v>
      </c>
      <c r="S50" s="70"/>
      <c r="T50" s="65">
        <v>45743</v>
      </c>
      <c r="U50" s="65">
        <v>46022</v>
      </c>
      <c r="V50" s="65">
        <v>46022</v>
      </c>
      <c r="W50" s="64" t="s">
        <v>323</v>
      </c>
      <c r="X50" s="71">
        <v>46049</v>
      </c>
      <c r="Y50" s="71" t="s">
        <v>321</v>
      </c>
      <c r="Z50" s="30">
        <v>0.98</v>
      </c>
      <c r="AA50" s="30">
        <v>1</v>
      </c>
      <c r="AB50" s="31">
        <v>6962651.9199999999</v>
      </c>
      <c r="AC50" s="32" t="s">
        <v>1862</v>
      </c>
    </row>
    <row r="51" spans="1:29" ht="29" x14ac:dyDescent="0.35">
      <c r="A51" s="2" t="s">
        <v>304</v>
      </c>
      <c r="B51" s="27" t="s">
        <v>365</v>
      </c>
      <c r="C51" s="66" t="s">
        <v>1863</v>
      </c>
      <c r="D51" s="65">
        <v>45743</v>
      </c>
      <c r="E51" s="26" t="s">
        <v>150</v>
      </c>
      <c r="F51" s="67" t="s">
        <v>1864</v>
      </c>
      <c r="G51" s="42">
        <v>93397820</v>
      </c>
      <c r="H51" s="2" t="s">
        <v>1865</v>
      </c>
      <c r="I51" s="28">
        <v>4500000</v>
      </c>
      <c r="J51" s="28">
        <v>360000</v>
      </c>
      <c r="K51" s="36">
        <v>4860000</v>
      </c>
      <c r="L51" s="69" t="s">
        <v>302</v>
      </c>
      <c r="M51" s="3"/>
      <c r="N51" s="28">
        <f>+Tabla15132[[#This Row],[VALOR TOTAL DEL CONTRATO
(en pesos)
CON IVA
(inicial)]]+Tabla15132[[#This Row],[VALOR DE LAS ADICIONES
(en pesos)
CON IVA]]</f>
        <v>4860000</v>
      </c>
      <c r="O51" s="4">
        <f>+Tabla15132[[#This Row],[FECHA TERMINACIÓN CONTRATO
(inicial)]]-Tabla15132[[#This Row],[FECHA INICIO CONTRATO]]</f>
        <v>0</v>
      </c>
      <c r="P51" s="23" t="s">
        <v>302</v>
      </c>
      <c r="Q51" s="101"/>
      <c r="R51" s="70" t="s">
        <v>302</v>
      </c>
      <c r="S51" s="70"/>
      <c r="T51" s="65">
        <v>45743</v>
      </c>
      <c r="U51" s="65">
        <v>45743</v>
      </c>
      <c r="V51" s="65">
        <v>45743</v>
      </c>
      <c r="W51" s="64" t="s">
        <v>320</v>
      </c>
      <c r="X51" s="71"/>
      <c r="Y51" s="71" t="s">
        <v>321</v>
      </c>
      <c r="Z51" s="30">
        <v>1</v>
      </c>
      <c r="AA51" s="30">
        <v>1</v>
      </c>
      <c r="AB51" s="31">
        <v>4860000</v>
      </c>
      <c r="AC51" s="32" t="s">
        <v>1866</v>
      </c>
    </row>
    <row r="52" spans="1:29" ht="29" x14ac:dyDescent="0.35">
      <c r="A52" s="26" t="s">
        <v>1732</v>
      </c>
      <c r="B52" s="27" t="s">
        <v>300</v>
      </c>
      <c r="C52" s="66" t="s">
        <v>1867</v>
      </c>
      <c r="D52" s="65">
        <v>45743</v>
      </c>
      <c r="E52" s="26" t="s">
        <v>142</v>
      </c>
      <c r="F52" s="67" t="s">
        <v>1868</v>
      </c>
      <c r="G52" s="42" t="s">
        <v>2535</v>
      </c>
      <c r="H52" s="2" t="s">
        <v>458</v>
      </c>
      <c r="I52" s="28">
        <v>6033613</v>
      </c>
      <c r="J52" s="28">
        <v>1146387</v>
      </c>
      <c r="K52" s="36">
        <v>7180000</v>
      </c>
      <c r="L52" s="69" t="s">
        <v>302</v>
      </c>
      <c r="M52" s="3"/>
      <c r="N52" s="28">
        <f>+Tabla15132[[#This Row],[VALOR TOTAL DEL CONTRATO
(en pesos)
CON IVA
(inicial)]]+Tabla15132[[#This Row],[VALOR DE LAS ADICIONES
(en pesos)
CON IVA]]</f>
        <v>7180000</v>
      </c>
      <c r="O52" s="4">
        <f>+Tabla15132[[#This Row],[FECHA TERMINACIÓN CONTRATO
(inicial)]]-Tabla15132[[#This Row],[FECHA INICIO CONTRATO]]</f>
        <v>264</v>
      </c>
      <c r="P52" s="23" t="s">
        <v>302</v>
      </c>
      <c r="Q52" s="101"/>
      <c r="R52" s="70" t="s">
        <v>302</v>
      </c>
      <c r="S52" s="70"/>
      <c r="T52" s="65">
        <v>45757</v>
      </c>
      <c r="U52" s="65">
        <v>46021</v>
      </c>
      <c r="V52" s="65">
        <v>46021</v>
      </c>
      <c r="W52" s="64" t="s">
        <v>325</v>
      </c>
      <c r="X52" s="71"/>
      <c r="Y52" s="71" t="s">
        <v>321</v>
      </c>
      <c r="Z52" s="30">
        <v>1</v>
      </c>
      <c r="AA52" s="30">
        <v>1</v>
      </c>
      <c r="AB52" s="31">
        <v>7180000</v>
      </c>
      <c r="AC52" s="32" t="s">
        <v>1869</v>
      </c>
    </row>
    <row r="53" spans="1:29" ht="29" x14ac:dyDescent="0.35">
      <c r="A53" s="26" t="s">
        <v>318</v>
      </c>
      <c r="B53" s="27" t="s">
        <v>365</v>
      </c>
      <c r="C53" s="66" t="s">
        <v>1870</v>
      </c>
      <c r="D53" s="65">
        <v>45743</v>
      </c>
      <c r="E53" s="26" t="s">
        <v>150</v>
      </c>
      <c r="F53" s="67" t="s">
        <v>1871</v>
      </c>
      <c r="G53" s="42" t="s">
        <v>2536</v>
      </c>
      <c r="H53" s="2" t="s">
        <v>450</v>
      </c>
      <c r="I53" s="28">
        <v>1264000</v>
      </c>
      <c r="J53" s="28">
        <v>144400</v>
      </c>
      <c r="K53" s="36">
        <v>1408400</v>
      </c>
      <c r="L53" s="69" t="s">
        <v>302</v>
      </c>
      <c r="M53" s="3"/>
      <c r="N53" s="28">
        <f>+Tabla15132[[#This Row],[VALOR TOTAL DEL CONTRATO
(en pesos)
CON IVA
(inicial)]]+Tabla15132[[#This Row],[VALOR DE LAS ADICIONES
(en pesos)
CON IVA]]</f>
        <v>1408400</v>
      </c>
      <c r="O53" s="4">
        <f>+Tabla15132[[#This Row],[FECHA TERMINACIÓN CONTRATO
(inicial)]]-Tabla15132[[#This Row],[FECHA INICIO CONTRATO]]</f>
        <v>0</v>
      </c>
      <c r="P53" s="23" t="s">
        <v>302</v>
      </c>
      <c r="Q53" s="101"/>
      <c r="R53" s="70" t="s">
        <v>302</v>
      </c>
      <c r="S53" s="70"/>
      <c r="T53" s="65">
        <v>45743</v>
      </c>
      <c r="U53" s="65">
        <v>45743</v>
      </c>
      <c r="V53" s="65">
        <v>45743</v>
      </c>
      <c r="W53" s="64" t="s">
        <v>323</v>
      </c>
      <c r="X53" s="71">
        <v>45743</v>
      </c>
      <c r="Y53" s="71" t="s">
        <v>364</v>
      </c>
      <c r="Z53" s="30">
        <v>1</v>
      </c>
      <c r="AA53" s="30">
        <v>1</v>
      </c>
      <c r="AB53" s="31">
        <v>1408400</v>
      </c>
      <c r="AC53" s="32" t="s">
        <v>1872</v>
      </c>
    </row>
    <row r="54" spans="1:29" ht="29" x14ac:dyDescent="0.35">
      <c r="A54" s="26" t="s">
        <v>309</v>
      </c>
      <c r="B54" s="27" t="s">
        <v>365</v>
      </c>
      <c r="C54" s="66" t="s">
        <v>1873</v>
      </c>
      <c r="D54" s="65">
        <v>45743</v>
      </c>
      <c r="E54" s="26" t="s">
        <v>150</v>
      </c>
      <c r="F54" s="67" t="s">
        <v>1874</v>
      </c>
      <c r="G54" s="42" t="s">
        <v>2586</v>
      </c>
      <c r="H54" s="2" t="s">
        <v>1875</v>
      </c>
      <c r="I54" s="28">
        <v>5714623</v>
      </c>
      <c r="J54" s="28">
        <v>496697</v>
      </c>
      <c r="K54" s="36">
        <v>6211320</v>
      </c>
      <c r="L54" s="69" t="s">
        <v>302</v>
      </c>
      <c r="M54" s="3"/>
      <c r="N54" s="28">
        <f>+Tabla15132[[#This Row],[VALOR TOTAL DEL CONTRATO
(en pesos)
CON IVA
(inicial)]]+Tabla15132[[#This Row],[VALOR DE LAS ADICIONES
(en pesos)
CON IVA]]</f>
        <v>6211320</v>
      </c>
      <c r="O54" s="4">
        <f>+Tabla15132[[#This Row],[FECHA TERMINACIÓN CONTRATO
(inicial)]]-Tabla15132[[#This Row],[FECHA INICIO CONTRATO]]</f>
        <v>8</v>
      </c>
      <c r="P54" s="23" t="s">
        <v>302</v>
      </c>
      <c r="Q54" s="101"/>
      <c r="R54" s="70" t="s">
        <v>302</v>
      </c>
      <c r="S54" s="70"/>
      <c r="T54" s="65">
        <v>45743</v>
      </c>
      <c r="U54" s="65">
        <v>45751</v>
      </c>
      <c r="V54" s="65">
        <v>45751</v>
      </c>
      <c r="W54" s="64" t="s">
        <v>320</v>
      </c>
      <c r="X54" s="71"/>
      <c r="Y54" s="71" t="s">
        <v>321</v>
      </c>
      <c r="Z54" s="30">
        <v>1</v>
      </c>
      <c r="AA54" s="30">
        <v>1</v>
      </c>
      <c r="AB54" s="31">
        <v>6211320</v>
      </c>
      <c r="AC54" s="32" t="s">
        <v>1876</v>
      </c>
    </row>
    <row r="55" spans="1:29" ht="29" x14ac:dyDescent="0.35">
      <c r="A55" s="26" t="s">
        <v>319</v>
      </c>
      <c r="B55" s="27" t="s">
        <v>300</v>
      </c>
      <c r="C55" s="66" t="s">
        <v>1877</v>
      </c>
      <c r="D55" s="65">
        <v>45743</v>
      </c>
      <c r="E55" s="26" t="s">
        <v>150</v>
      </c>
      <c r="F55" s="67" t="s">
        <v>1878</v>
      </c>
      <c r="G55" s="42" t="s">
        <v>2621</v>
      </c>
      <c r="H55" s="2" t="s">
        <v>454</v>
      </c>
      <c r="I55" s="28">
        <v>1200000</v>
      </c>
      <c r="J55" s="28">
        <v>96000</v>
      </c>
      <c r="K55" s="36">
        <v>1296000</v>
      </c>
      <c r="L55" s="69" t="s">
        <v>302</v>
      </c>
      <c r="M55" s="3"/>
      <c r="N55" s="28">
        <f>+Tabla15132[[#This Row],[VALOR TOTAL DEL CONTRATO
(en pesos)
CON IVA
(inicial)]]+Tabla15132[[#This Row],[VALOR DE LAS ADICIONES
(en pesos)
CON IVA]]</f>
        <v>1296000</v>
      </c>
      <c r="O55" s="4">
        <f>+Tabla15132[[#This Row],[FECHA TERMINACIÓN CONTRATO
(inicial)]]-Tabla15132[[#This Row],[FECHA INICIO CONTRATO]]</f>
        <v>7</v>
      </c>
      <c r="P55" s="23" t="s">
        <v>302</v>
      </c>
      <c r="Q55" s="101"/>
      <c r="R55" s="70" t="s">
        <v>302</v>
      </c>
      <c r="S55" s="70"/>
      <c r="T55" s="65">
        <v>45743</v>
      </c>
      <c r="U55" s="65">
        <v>45750</v>
      </c>
      <c r="V55" s="65">
        <v>45750</v>
      </c>
      <c r="W55" s="64" t="s">
        <v>320</v>
      </c>
      <c r="X55" s="71"/>
      <c r="Y55" s="71" t="s">
        <v>321</v>
      </c>
      <c r="Z55" s="30">
        <v>1</v>
      </c>
      <c r="AA55" s="30">
        <v>1</v>
      </c>
      <c r="AB55" s="31">
        <v>1296000</v>
      </c>
      <c r="AC55" s="32" t="s">
        <v>1879</v>
      </c>
    </row>
    <row r="56" spans="1:29" ht="29" x14ac:dyDescent="0.35">
      <c r="A56" s="26" t="s">
        <v>308</v>
      </c>
      <c r="B56" s="27" t="s">
        <v>300</v>
      </c>
      <c r="C56" s="66" t="s">
        <v>1880</v>
      </c>
      <c r="D56" s="65">
        <v>45742</v>
      </c>
      <c r="E56" s="26" t="s">
        <v>150</v>
      </c>
      <c r="F56" s="67" t="s">
        <v>1881</v>
      </c>
      <c r="G56" s="42" t="s">
        <v>2629</v>
      </c>
      <c r="H56" s="2" t="s">
        <v>448</v>
      </c>
      <c r="I56" s="28">
        <v>3472493</v>
      </c>
      <c r="J56" s="28">
        <v>512090</v>
      </c>
      <c r="K56" s="36">
        <v>3984583</v>
      </c>
      <c r="L56" s="69" t="s">
        <v>302</v>
      </c>
      <c r="M56" s="3"/>
      <c r="N56" s="28">
        <f>+Tabla15132[[#This Row],[VALOR TOTAL DEL CONTRATO
(en pesos)
CON IVA
(inicial)]]+Tabla15132[[#This Row],[VALOR DE LAS ADICIONES
(en pesos)
CON IVA]]</f>
        <v>3984583</v>
      </c>
      <c r="O56" s="4">
        <f>+Tabla15132[[#This Row],[FECHA TERMINACIÓN CONTRATO
(inicial)]]-Tabla15132[[#This Row],[FECHA INICIO CONTRATO]]</f>
        <v>5</v>
      </c>
      <c r="P56" s="23" t="s">
        <v>302</v>
      </c>
      <c r="Q56" s="101"/>
      <c r="R56" s="70" t="s">
        <v>302</v>
      </c>
      <c r="S56" s="70"/>
      <c r="T56" s="65">
        <v>45742</v>
      </c>
      <c r="U56" s="65">
        <v>45747</v>
      </c>
      <c r="V56" s="65">
        <v>45747</v>
      </c>
      <c r="W56" s="64" t="s">
        <v>320</v>
      </c>
      <c r="X56" s="71"/>
      <c r="Y56" s="71" t="s">
        <v>321</v>
      </c>
      <c r="Z56" s="30">
        <v>1</v>
      </c>
      <c r="AA56" s="30">
        <v>1</v>
      </c>
      <c r="AB56" s="31">
        <v>3957847.92</v>
      </c>
      <c r="AC56" s="32" t="s">
        <v>1882</v>
      </c>
    </row>
    <row r="57" spans="1:29" ht="29" x14ac:dyDescent="0.35">
      <c r="A57" s="26" t="s">
        <v>435</v>
      </c>
      <c r="B57" s="27" t="s">
        <v>365</v>
      </c>
      <c r="C57" s="66" t="s">
        <v>1883</v>
      </c>
      <c r="D57" s="65">
        <v>45742</v>
      </c>
      <c r="E57" s="26" t="s">
        <v>150</v>
      </c>
      <c r="F57" s="67" t="s">
        <v>1884</v>
      </c>
      <c r="G57" s="42" t="s">
        <v>2599</v>
      </c>
      <c r="H57" s="2" t="s">
        <v>452</v>
      </c>
      <c r="I57" s="28">
        <v>4053972</v>
      </c>
      <c r="J57" s="28">
        <v>582594</v>
      </c>
      <c r="K57" s="36">
        <v>4636566</v>
      </c>
      <c r="L57" s="69" t="s">
        <v>302</v>
      </c>
      <c r="M57" s="3"/>
      <c r="N57" s="28">
        <f>+Tabla15132[[#This Row],[VALOR TOTAL DEL CONTRATO
(en pesos)
CON IVA
(inicial)]]+Tabla15132[[#This Row],[VALOR DE LAS ADICIONES
(en pesos)
CON IVA]]</f>
        <v>4636566</v>
      </c>
      <c r="O57" s="4">
        <f>+Tabla15132[[#This Row],[FECHA TERMINACIÓN CONTRATO
(inicial)]]-Tabla15132[[#This Row],[FECHA INICIO CONTRATO]]</f>
        <v>0</v>
      </c>
      <c r="P57" s="23" t="s">
        <v>302</v>
      </c>
      <c r="Q57" s="101"/>
      <c r="R57" s="70" t="s">
        <v>302</v>
      </c>
      <c r="S57" s="70"/>
      <c r="T57" s="65">
        <v>45743</v>
      </c>
      <c r="U57" s="65">
        <v>45743</v>
      </c>
      <c r="V57" s="65">
        <v>45743</v>
      </c>
      <c r="W57" s="64" t="s">
        <v>320</v>
      </c>
      <c r="X57" s="71"/>
      <c r="Y57" s="71" t="s">
        <v>321</v>
      </c>
      <c r="Z57" s="30">
        <v>1</v>
      </c>
      <c r="AA57" s="30">
        <v>1</v>
      </c>
      <c r="AB57" s="97">
        <v>4242470.3</v>
      </c>
      <c r="AC57" s="32" t="s">
        <v>1885</v>
      </c>
    </row>
    <row r="58" spans="1:29" ht="29" x14ac:dyDescent="0.35">
      <c r="A58" s="26" t="s">
        <v>305</v>
      </c>
      <c r="B58" s="27" t="s">
        <v>365</v>
      </c>
      <c r="C58" s="66" t="s">
        <v>1886</v>
      </c>
      <c r="D58" s="65">
        <v>45742</v>
      </c>
      <c r="E58" s="26" t="s">
        <v>150</v>
      </c>
      <c r="F58" s="67" t="s">
        <v>1887</v>
      </c>
      <c r="G58" s="42">
        <v>50929989</v>
      </c>
      <c r="H58" s="2" t="s">
        <v>1888</v>
      </c>
      <c r="I58" s="28">
        <v>4065278</v>
      </c>
      <c r="J58" s="28">
        <v>325222</v>
      </c>
      <c r="K58" s="36">
        <v>4390500</v>
      </c>
      <c r="L58" s="69" t="s">
        <v>302</v>
      </c>
      <c r="M58" s="3"/>
      <c r="N58" s="28">
        <f>+Tabla15132[[#This Row],[VALOR TOTAL DEL CONTRATO
(en pesos)
CON IVA
(inicial)]]+Tabla15132[[#This Row],[VALOR DE LAS ADICIONES
(en pesos)
CON IVA]]</f>
        <v>4390500</v>
      </c>
      <c r="O58" s="4">
        <f>+Tabla15132[[#This Row],[FECHA TERMINACIÓN CONTRATO
(inicial)]]-Tabla15132[[#This Row],[FECHA INICIO CONTRATO]]</f>
        <v>0</v>
      </c>
      <c r="P58" s="23" t="s">
        <v>302</v>
      </c>
      <c r="Q58" s="101"/>
      <c r="R58" s="70" t="s">
        <v>302</v>
      </c>
      <c r="S58" s="70"/>
      <c r="T58" s="65">
        <v>45742</v>
      </c>
      <c r="U58" s="65">
        <v>45742</v>
      </c>
      <c r="V58" s="65">
        <v>45742</v>
      </c>
      <c r="W58" s="64" t="s">
        <v>320</v>
      </c>
      <c r="X58" s="71"/>
      <c r="Y58" s="71" t="s">
        <v>321</v>
      </c>
      <c r="Z58" s="30">
        <v>1</v>
      </c>
      <c r="AA58" s="30">
        <v>1</v>
      </c>
      <c r="AB58" s="31">
        <v>4065278</v>
      </c>
      <c r="AC58" s="32" t="s">
        <v>1889</v>
      </c>
    </row>
    <row r="59" spans="1:29" ht="29" x14ac:dyDescent="0.35">
      <c r="A59" s="26" t="s">
        <v>317</v>
      </c>
      <c r="B59" s="27" t="s">
        <v>365</v>
      </c>
      <c r="C59" s="66" t="s">
        <v>1890</v>
      </c>
      <c r="D59" s="65">
        <v>45747</v>
      </c>
      <c r="E59" s="26" t="s">
        <v>113</v>
      </c>
      <c r="F59" s="67" t="s">
        <v>2633</v>
      </c>
      <c r="G59" s="42" t="s">
        <v>2577</v>
      </c>
      <c r="H59" s="2" t="s">
        <v>442</v>
      </c>
      <c r="I59" s="28">
        <v>3370318</v>
      </c>
      <c r="J59" s="28">
        <v>0</v>
      </c>
      <c r="K59" s="36">
        <v>3370318</v>
      </c>
      <c r="L59" s="69" t="s">
        <v>302</v>
      </c>
      <c r="M59" s="3"/>
      <c r="N59" s="28">
        <f>+Tabla15132[[#This Row],[VALOR TOTAL DEL CONTRATO
(en pesos)
CON IVA
(inicial)]]+Tabla15132[[#This Row],[VALOR DE LAS ADICIONES
(en pesos)
CON IVA]]</f>
        <v>3370318</v>
      </c>
      <c r="O59" s="4">
        <f>+Tabla15132[[#This Row],[FECHA TERMINACIÓN CONTRATO
(inicial)]]-Tabla15132[[#This Row],[FECHA INICIO CONTRATO]]</f>
        <v>60</v>
      </c>
      <c r="P59" s="23" t="s">
        <v>302</v>
      </c>
      <c r="Q59" s="101">
        <v>0</v>
      </c>
      <c r="R59" s="70" t="s">
        <v>302</v>
      </c>
      <c r="S59" s="70"/>
      <c r="T59" s="65">
        <v>45747</v>
      </c>
      <c r="U59" s="65">
        <v>45807</v>
      </c>
      <c r="V59" s="65">
        <v>45807</v>
      </c>
      <c r="W59" s="64" t="s">
        <v>320</v>
      </c>
      <c r="X59" s="71"/>
      <c r="Y59" s="71" t="s">
        <v>321</v>
      </c>
      <c r="Z59" s="30">
        <v>1</v>
      </c>
      <c r="AA59" s="30">
        <v>1</v>
      </c>
      <c r="AB59" s="31">
        <v>3370318</v>
      </c>
      <c r="AC59" s="32" t="s">
        <v>1891</v>
      </c>
    </row>
    <row r="60" spans="1:29" ht="43.5" x14ac:dyDescent="0.35">
      <c r="A60" s="26" t="s">
        <v>308</v>
      </c>
      <c r="B60" s="27" t="s">
        <v>300</v>
      </c>
      <c r="C60" s="66" t="s">
        <v>1892</v>
      </c>
      <c r="D60" s="65">
        <v>45750</v>
      </c>
      <c r="E60" s="26" t="s">
        <v>88</v>
      </c>
      <c r="F60" s="67" t="s">
        <v>1893</v>
      </c>
      <c r="G60" s="42" t="s">
        <v>2600</v>
      </c>
      <c r="H60" s="2" t="s">
        <v>1894</v>
      </c>
      <c r="I60" s="28">
        <v>9428571</v>
      </c>
      <c r="J60" s="28">
        <v>1791428</v>
      </c>
      <c r="K60" s="36">
        <v>11219999</v>
      </c>
      <c r="L60" s="69" t="s">
        <v>302</v>
      </c>
      <c r="M60" s="3"/>
      <c r="N60" s="28">
        <f>+Tabla15132[[#This Row],[VALOR TOTAL DEL CONTRATO
(en pesos)
CON IVA
(inicial)]]+Tabla15132[[#This Row],[VALOR DE LAS ADICIONES
(en pesos)
CON IVA]]</f>
        <v>11219999</v>
      </c>
      <c r="O60" s="4">
        <f>+Tabla15132[[#This Row],[FECHA TERMINACIÓN CONTRATO
(inicial)]]-Tabla15132[[#This Row],[FECHA INICIO CONTRATO]]</f>
        <v>272</v>
      </c>
      <c r="P60" s="23" t="s">
        <v>302</v>
      </c>
      <c r="Q60" s="101"/>
      <c r="R60" s="70" t="s">
        <v>302</v>
      </c>
      <c r="S60" s="70"/>
      <c r="T60" s="65">
        <v>45750</v>
      </c>
      <c r="U60" s="65">
        <v>46022</v>
      </c>
      <c r="V60" s="65">
        <v>45901</v>
      </c>
      <c r="W60" s="64" t="s">
        <v>323</v>
      </c>
      <c r="X60" s="71">
        <v>45901</v>
      </c>
      <c r="Y60" s="71" t="s">
        <v>364</v>
      </c>
      <c r="Z60" s="30">
        <v>0</v>
      </c>
      <c r="AA60" s="30">
        <v>0</v>
      </c>
      <c r="AB60" s="31">
        <v>0</v>
      </c>
      <c r="AC60" s="32" t="s">
        <v>1895</v>
      </c>
    </row>
    <row r="61" spans="1:29" ht="29" x14ac:dyDescent="0.35">
      <c r="A61" s="26" t="s">
        <v>315</v>
      </c>
      <c r="B61" s="27" t="s">
        <v>300</v>
      </c>
      <c r="C61" s="66" t="s">
        <v>1896</v>
      </c>
      <c r="D61" s="65">
        <v>45748</v>
      </c>
      <c r="E61" s="26" t="s">
        <v>150</v>
      </c>
      <c r="F61" s="67" t="s">
        <v>1897</v>
      </c>
      <c r="G61" s="42">
        <v>1102832055</v>
      </c>
      <c r="H61" s="2" t="s">
        <v>1898</v>
      </c>
      <c r="I61" s="28">
        <v>1740000</v>
      </c>
      <c r="J61" s="28">
        <v>330600</v>
      </c>
      <c r="K61" s="36">
        <v>2070600</v>
      </c>
      <c r="L61" s="69" t="s">
        <v>302</v>
      </c>
      <c r="M61" s="3"/>
      <c r="N61" s="28">
        <f>+Tabla15132[[#This Row],[VALOR TOTAL DEL CONTRATO
(en pesos)
CON IVA
(inicial)]]+Tabla15132[[#This Row],[VALOR DE LAS ADICIONES
(en pesos)
CON IVA]]</f>
        <v>2070600</v>
      </c>
      <c r="O61" s="4">
        <f>+Tabla15132[[#This Row],[FECHA TERMINACIÓN CONTRATO
(inicial)]]-Tabla15132[[#This Row],[FECHA INICIO CONTRATO]]</f>
        <v>0</v>
      </c>
      <c r="P61" s="23" t="s">
        <v>302</v>
      </c>
      <c r="Q61" s="101"/>
      <c r="R61" s="70" t="s">
        <v>302</v>
      </c>
      <c r="S61" s="70"/>
      <c r="T61" s="65">
        <v>45748</v>
      </c>
      <c r="U61" s="65">
        <v>45748</v>
      </c>
      <c r="V61" s="65">
        <v>45748</v>
      </c>
      <c r="W61" s="64" t="s">
        <v>320</v>
      </c>
      <c r="X61" s="71"/>
      <c r="Y61" s="71" t="s">
        <v>321</v>
      </c>
      <c r="Z61" s="30">
        <v>1</v>
      </c>
      <c r="AA61" s="30">
        <v>1</v>
      </c>
      <c r="AB61" s="31">
        <v>2070600</v>
      </c>
      <c r="AC61" s="32" t="s">
        <v>1899</v>
      </c>
    </row>
    <row r="62" spans="1:29" ht="43.5" x14ac:dyDescent="0.35">
      <c r="A62" s="26" t="s">
        <v>316</v>
      </c>
      <c r="B62" s="27" t="s">
        <v>365</v>
      </c>
      <c r="C62" s="66" t="s">
        <v>1900</v>
      </c>
      <c r="D62" s="65">
        <v>45748</v>
      </c>
      <c r="E62" s="26" t="s">
        <v>142</v>
      </c>
      <c r="F62" s="67" t="s">
        <v>1901</v>
      </c>
      <c r="G62" s="42" t="s">
        <v>2622</v>
      </c>
      <c r="H62" s="2" t="s">
        <v>1902</v>
      </c>
      <c r="I62" s="28">
        <v>1417500</v>
      </c>
      <c r="J62" s="28">
        <v>269325</v>
      </c>
      <c r="K62" s="36">
        <v>1686825</v>
      </c>
      <c r="L62" s="69" t="s">
        <v>302</v>
      </c>
      <c r="M62" s="3"/>
      <c r="N62" s="28">
        <f>+Tabla15132[[#This Row],[VALOR TOTAL DEL CONTRATO
(en pesos)
CON IVA
(inicial)]]+Tabla15132[[#This Row],[VALOR DE LAS ADICIONES
(en pesos)
CON IVA]]</f>
        <v>1686825</v>
      </c>
      <c r="O62" s="4">
        <f>+Tabla15132[[#This Row],[FECHA TERMINACIÓN CONTRATO
(inicial)]]-Tabla15132[[#This Row],[FECHA INICIO CONTRATO]]</f>
        <v>274</v>
      </c>
      <c r="P62" s="23" t="s">
        <v>302</v>
      </c>
      <c r="Q62" s="101"/>
      <c r="R62" s="70" t="s">
        <v>302</v>
      </c>
      <c r="S62" s="70"/>
      <c r="T62" s="65">
        <v>45748</v>
      </c>
      <c r="U62" s="65">
        <v>46022</v>
      </c>
      <c r="V62" s="65">
        <v>46022</v>
      </c>
      <c r="W62" s="64" t="s">
        <v>325</v>
      </c>
      <c r="X62" s="71"/>
      <c r="Y62" s="71" t="s">
        <v>321</v>
      </c>
      <c r="Z62" s="30">
        <v>0.97</v>
      </c>
      <c r="AA62" s="30">
        <v>1</v>
      </c>
      <c r="AB62" s="31">
        <v>1686825</v>
      </c>
      <c r="AC62" s="32" t="s">
        <v>1903</v>
      </c>
    </row>
    <row r="63" spans="1:29" ht="29" x14ac:dyDescent="0.35">
      <c r="A63" s="26" t="s">
        <v>307</v>
      </c>
      <c r="B63" s="27" t="s">
        <v>300</v>
      </c>
      <c r="C63" s="66" t="s">
        <v>1904</v>
      </c>
      <c r="D63" s="65">
        <v>45755</v>
      </c>
      <c r="E63" s="26" t="s">
        <v>113</v>
      </c>
      <c r="F63" s="67" t="s">
        <v>2634</v>
      </c>
      <c r="G63" s="42" t="s">
        <v>2601</v>
      </c>
      <c r="H63" s="2" t="s">
        <v>1905</v>
      </c>
      <c r="I63" s="28">
        <v>10427377</v>
      </c>
      <c r="J63" s="28">
        <v>1981201</v>
      </c>
      <c r="K63" s="36">
        <v>12408579</v>
      </c>
      <c r="L63" s="69" t="s">
        <v>302</v>
      </c>
      <c r="M63" s="3"/>
      <c r="N63" s="28">
        <f>+Tabla15132[[#This Row],[VALOR TOTAL DEL CONTRATO
(en pesos)
CON IVA
(inicial)]]+Tabla15132[[#This Row],[VALOR DE LAS ADICIONES
(en pesos)
CON IVA]]</f>
        <v>12408579</v>
      </c>
      <c r="O63" s="4">
        <f>+Tabla15132[[#This Row],[FECHA TERMINACIÓN CONTRATO
(inicial)]]-Tabla15132[[#This Row],[FECHA INICIO CONTRATO]]</f>
        <v>60</v>
      </c>
      <c r="P63" s="23" t="s">
        <v>302</v>
      </c>
      <c r="Q63" s="101"/>
      <c r="R63" s="70" t="s">
        <v>302</v>
      </c>
      <c r="S63" s="70"/>
      <c r="T63" s="65">
        <v>45755</v>
      </c>
      <c r="U63" s="65">
        <v>45815</v>
      </c>
      <c r="V63" s="65">
        <v>45815</v>
      </c>
      <c r="W63" s="64" t="s">
        <v>320</v>
      </c>
      <c r="X63" s="71"/>
      <c r="Y63" s="71" t="s">
        <v>321</v>
      </c>
      <c r="Z63" s="30">
        <v>1</v>
      </c>
      <c r="AA63" s="30">
        <v>1</v>
      </c>
      <c r="AB63" s="31">
        <v>12408579</v>
      </c>
      <c r="AC63" s="32" t="s">
        <v>1906</v>
      </c>
    </row>
    <row r="64" spans="1:29" ht="29" x14ac:dyDescent="0.35">
      <c r="A64" s="26" t="s">
        <v>444</v>
      </c>
      <c r="B64" s="27" t="s">
        <v>300</v>
      </c>
      <c r="C64" s="66" t="s">
        <v>1907</v>
      </c>
      <c r="D64" s="65">
        <v>45757</v>
      </c>
      <c r="E64" s="26" t="s">
        <v>142</v>
      </c>
      <c r="F64" s="67" t="s">
        <v>1908</v>
      </c>
      <c r="G64" s="42">
        <v>40927803</v>
      </c>
      <c r="H64" s="2" t="s">
        <v>464</v>
      </c>
      <c r="I64" s="103">
        <v>3010000</v>
      </c>
      <c r="J64" s="28">
        <v>571900</v>
      </c>
      <c r="K64" s="36">
        <v>3581900</v>
      </c>
      <c r="L64" s="69" t="s">
        <v>302</v>
      </c>
      <c r="M64" s="3"/>
      <c r="N64" s="28">
        <f>+Tabla15132[[#This Row],[VALOR TOTAL DEL CONTRATO
(en pesos)
CON IVA
(inicial)]]+Tabla15132[[#This Row],[VALOR DE LAS ADICIONES
(en pesos)
CON IVA]]</f>
        <v>3581900</v>
      </c>
      <c r="O64" s="4">
        <f>+Tabla15132[[#This Row],[FECHA TERMINACIÓN CONTRATO
(inicial)]]-Tabla15132[[#This Row],[FECHA INICIO CONTRATO]]</f>
        <v>244</v>
      </c>
      <c r="P64" s="23" t="s">
        <v>302</v>
      </c>
      <c r="Q64" s="101"/>
      <c r="R64" s="70" t="s">
        <v>302</v>
      </c>
      <c r="S64" s="70"/>
      <c r="T64" s="65">
        <v>45757</v>
      </c>
      <c r="U64" s="65">
        <v>46001</v>
      </c>
      <c r="V64" s="65">
        <v>46001</v>
      </c>
      <c r="W64" s="64" t="s">
        <v>325</v>
      </c>
      <c r="X64" s="71"/>
      <c r="Y64" s="71" t="s">
        <v>321</v>
      </c>
      <c r="Z64" s="30">
        <v>0.5</v>
      </c>
      <c r="AA64" s="30">
        <v>0.5</v>
      </c>
      <c r="AB64" s="31">
        <v>1790950</v>
      </c>
      <c r="AC64" s="32" t="s">
        <v>1909</v>
      </c>
    </row>
    <row r="65" spans="1:29" ht="29" x14ac:dyDescent="0.35">
      <c r="A65" s="26" t="s">
        <v>310</v>
      </c>
      <c r="B65" s="27" t="s">
        <v>300</v>
      </c>
      <c r="C65" s="66" t="s">
        <v>1910</v>
      </c>
      <c r="D65" s="65">
        <v>45757</v>
      </c>
      <c r="E65" s="26" t="s">
        <v>113</v>
      </c>
      <c r="F65" s="67" t="s">
        <v>1911</v>
      </c>
      <c r="G65" s="42" t="s">
        <v>2529</v>
      </c>
      <c r="H65" s="2" t="s">
        <v>1912</v>
      </c>
      <c r="I65" s="28">
        <v>5375088</v>
      </c>
      <c r="J65" s="28">
        <v>0</v>
      </c>
      <c r="K65" s="36">
        <v>5375088</v>
      </c>
      <c r="L65" s="69" t="s">
        <v>302</v>
      </c>
      <c r="M65" s="3"/>
      <c r="N65" s="28">
        <f>+Tabla15132[[#This Row],[VALOR TOTAL DEL CONTRATO
(en pesos)
CON IVA
(inicial)]]+Tabla15132[[#This Row],[VALOR DE LAS ADICIONES
(en pesos)
CON IVA]]</f>
        <v>5375088</v>
      </c>
      <c r="O65" s="4">
        <f>+Tabla15132[[#This Row],[FECHA TERMINACIÓN CONTRATO
(inicial)]]-Tabla15132[[#This Row],[FECHA INICIO CONTRATO]]</f>
        <v>30</v>
      </c>
      <c r="P65" s="23" t="s">
        <v>302</v>
      </c>
      <c r="Q65" s="101"/>
      <c r="R65" s="70" t="s">
        <v>302</v>
      </c>
      <c r="S65" s="70"/>
      <c r="T65" s="65">
        <v>45757</v>
      </c>
      <c r="U65" s="65">
        <v>45787</v>
      </c>
      <c r="V65" s="65">
        <v>45787</v>
      </c>
      <c r="W65" s="64" t="s">
        <v>320</v>
      </c>
      <c r="X65" s="71"/>
      <c r="Y65" s="71" t="s">
        <v>321</v>
      </c>
      <c r="Z65" s="30">
        <v>1</v>
      </c>
      <c r="AA65" s="30">
        <v>1</v>
      </c>
      <c r="AB65" s="31">
        <v>5375088</v>
      </c>
      <c r="AC65" s="32" t="s">
        <v>1913</v>
      </c>
    </row>
    <row r="66" spans="1:29" ht="29" x14ac:dyDescent="0.35">
      <c r="A66" s="26" t="s">
        <v>310</v>
      </c>
      <c r="B66" s="27" t="s">
        <v>300</v>
      </c>
      <c r="C66" s="66" t="s">
        <v>1914</v>
      </c>
      <c r="D66" s="65">
        <v>45758</v>
      </c>
      <c r="E66" s="26" t="s">
        <v>142</v>
      </c>
      <c r="F66" s="67" t="s">
        <v>1915</v>
      </c>
      <c r="G66" s="42" t="s">
        <v>2587</v>
      </c>
      <c r="H66" s="2" t="s">
        <v>443</v>
      </c>
      <c r="I66" s="28">
        <v>1268400</v>
      </c>
      <c r="J66" s="28">
        <v>11476</v>
      </c>
      <c r="K66" s="36">
        <v>1279876</v>
      </c>
      <c r="L66" s="69" t="s">
        <v>302</v>
      </c>
      <c r="M66" s="3"/>
      <c r="N66" s="28">
        <f>+Tabla15132[[#This Row],[VALOR TOTAL DEL CONTRATO
(en pesos)
CON IVA
(inicial)]]+Tabla15132[[#This Row],[VALOR DE LAS ADICIONES
(en pesos)
CON IVA]]</f>
        <v>1279876</v>
      </c>
      <c r="O66" s="4">
        <f>+Tabla15132[[#This Row],[FECHA TERMINACIÓN CONTRATO
(inicial)]]-Tabla15132[[#This Row],[FECHA INICIO CONTRATO]]</f>
        <v>30</v>
      </c>
      <c r="P66" s="23" t="s">
        <v>302</v>
      </c>
      <c r="Q66" s="101"/>
      <c r="R66" s="70" t="s">
        <v>302</v>
      </c>
      <c r="S66" s="70"/>
      <c r="T66" s="65">
        <v>45758</v>
      </c>
      <c r="U66" s="65">
        <v>45788</v>
      </c>
      <c r="V66" s="65">
        <v>45788</v>
      </c>
      <c r="W66" s="64" t="s">
        <v>320</v>
      </c>
      <c r="X66" s="71"/>
      <c r="Y66" s="71" t="s">
        <v>321</v>
      </c>
      <c r="Z66" s="30">
        <v>1</v>
      </c>
      <c r="AA66" s="30">
        <v>1</v>
      </c>
      <c r="AB66" s="31">
        <v>1279876</v>
      </c>
      <c r="AC66" s="32" t="s">
        <v>1916</v>
      </c>
    </row>
    <row r="67" spans="1:29" ht="29" x14ac:dyDescent="0.35">
      <c r="A67" s="2" t="s">
        <v>314</v>
      </c>
      <c r="B67" s="27" t="s">
        <v>300</v>
      </c>
      <c r="C67" s="66" t="s">
        <v>1917</v>
      </c>
      <c r="D67" s="65">
        <v>45762</v>
      </c>
      <c r="E67" s="26" t="s">
        <v>142</v>
      </c>
      <c r="F67" s="67" t="s">
        <v>1918</v>
      </c>
      <c r="G67" s="104" t="s">
        <v>2602</v>
      </c>
      <c r="H67" s="2" t="s">
        <v>1919</v>
      </c>
      <c r="I67" s="33">
        <v>12179202</v>
      </c>
      <c r="J67" s="33">
        <v>2314048</v>
      </c>
      <c r="K67" s="6">
        <v>14493250</v>
      </c>
      <c r="L67" s="69" t="s">
        <v>302</v>
      </c>
      <c r="M67" s="3"/>
      <c r="N67" s="28">
        <f>+Tabla15132[[#This Row],[VALOR TOTAL DEL CONTRATO
(en pesos)
CON IVA
(inicial)]]+Tabla15132[[#This Row],[VALOR DE LAS ADICIONES
(en pesos)
CON IVA]]</f>
        <v>14493250</v>
      </c>
      <c r="O67" s="4">
        <f>+Tabla15132[[#This Row],[FECHA TERMINACIÓN CONTRATO
(inicial)]]-Tabla15132[[#This Row],[FECHA INICIO CONTRATO]]</f>
        <v>259</v>
      </c>
      <c r="P67" s="23" t="s">
        <v>302</v>
      </c>
      <c r="Q67" s="101"/>
      <c r="R67" s="70" t="s">
        <v>302</v>
      </c>
      <c r="S67" s="70"/>
      <c r="T67" s="65">
        <v>45763</v>
      </c>
      <c r="U67" s="65">
        <v>46022</v>
      </c>
      <c r="V67" s="65">
        <v>46022</v>
      </c>
      <c r="W67" s="64" t="s">
        <v>325</v>
      </c>
      <c r="X67" s="71"/>
      <c r="Y67" s="71" t="s">
        <v>321</v>
      </c>
      <c r="Z67" s="30">
        <v>0.72570000000000001</v>
      </c>
      <c r="AA67" s="30">
        <v>0.72570000000000001</v>
      </c>
      <c r="AB67" s="31">
        <v>10518410</v>
      </c>
      <c r="AC67" s="32" t="s">
        <v>1920</v>
      </c>
    </row>
    <row r="68" spans="1:29" ht="29" x14ac:dyDescent="0.35">
      <c r="A68" s="26" t="s">
        <v>311</v>
      </c>
      <c r="B68" s="27" t="s">
        <v>300</v>
      </c>
      <c r="C68" s="66" t="s">
        <v>1921</v>
      </c>
      <c r="D68" s="65">
        <v>45772</v>
      </c>
      <c r="E68" s="26" t="s">
        <v>142</v>
      </c>
      <c r="F68" s="67" t="s">
        <v>1922</v>
      </c>
      <c r="G68" s="42" t="s">
        <v>2559</v>
      </c>
      <c r="H68" s="2" t="s">
        <v>446</v>
      </c>
      <c r="I68" s="28">
        <v>1912248</v>
      </c>
      <c r="J68" s="28">
        <v>363327</v>
      </c>
      <c r="K68" s="36">
        <v>2275575</v>
      </c>
      <c r="L68" s="69" t="s">
        <v>302</v>
      </c>
      <c r="M68" s="3"/>
      <c r="N68" s="28">
        <f>+Tabla15132[[#This Row],[VALOR TOTAL DEL CONTRATO
(en pesos)
CON IVA
(inicial)]]+Tabla15132[[#This Row],[VALOR DE LAS ADICIONES
(en pesos)
CON IVA]]</f>
        <v>2275575</v>
      </c>
      <c r="O68" s="4">
        <f>+Tabla15132[[#This Row],[FECHA TERMINACIÓN CONTRATO
(inicial)]]-Tabla15132[[#This Row],[FECHA INICIO CONTRATO]]</f>
        <v>245</v>
      </c>
      <c r="P68" s="23" t="s">
        <v>302</v>
      </c>
      <c r="Q68" s="101"/>
      <c r="R68" s="70" t="s">
        <v>302</v>
      </c>
      <c r="S68" s="70"/>
      <c r="T68" s="65">
        <v>45777</v>
      </c>
      <c r="U68" s="65">
        <v>46022</v>
      </c>
      <c r="V68" s="65">
        <v>46022</v>
      </c>
      <c r="W68" s="64" t="s">
        <v>325</v>
      </c>
      <c r="X68" s="71"/>
      <c r="Y68" s="71" t="s">
        <v>321</v>
      </c>
      <c r="Z68" s="30">
        <v>1</v>
      </c>
      <c r="AA68" s="30">
        <v>1</v>
      </c>
      <c r="AB68" s="31">
        <v>2265760</v>
      </c>
      <c r="AC68" s="32" t="s">
        <v>1923</v>
      </c>
    </row>
    <row r="69" spans="1:29" ht="29" x14ac:dyDescent="0.35">
      <c r="A69" s="26" t="s">
        <v>441</v>
      </c>
      <c r="B69" s="27" t="s">
        <v>300</v>
      </c>
      <c r="C69" s="66" t="s">
        <v>1924</v>
      </c>
      <c r="D69" s="65">
        <v>45741</v>
      </c>
      <c r="E69" s="26" t="s">
        <v>150</v>
      </c>
      <c r="F69" s="67" t="s">
        <v>1925</v>
      </c>
      <c r="G69" s="42" t="s">
        <v>2578</v>
      </c>
      <c r="H69" s="2" t="s">
        <v>449</v>
      </c>
      <c r="I69" s="28">
        <v>1957058</v>
      </c>
      <c r="J69" s="28">
        <v>371842</v>
      </c>
      <c r="K69" s="36">
        <v>2328900</v>
      </c>
      <c r="L69" s="69" t="s">
        <v>302</v>
      </c>
      <c r="M69" s="3"/>
      <c r="N69" s="28">
        <f>+Tabla15132[[#This Row],[VALOR TOTAL DEL CONTRATO
(en pesos)
CON IVA
(inicial)]]+Tabla15132[[#This Row],[VALOR DE LAS ADICIONES
(en pesos)
CON IVA]]</f>
        <v>2328900</v>
      </c>
      <c r="O69" s="4">
        <f>+Tabla15132[[#This Row],[FECHA TERMINACIÓN CONTRATO
(inicial)]]-Tabla15132[[#This Row],[FECHA INICIO CONTRATO]]</f>
        <v>0</v>
      </c>
      <c r="P69" s="23" t="s">
        <v>302</v>
      </c>
      <c r="Q69" s="101"/>
      <c r="R69" s="70" t="s">
        <v>302</v>
      </c>
      <c r="S69" s="70"/>
      <c r="T69" s="65">
        <v>45743</v>
      </c>
      <c r="U69" s="65">
        <v>45743</v>
      </c>
      <c r="V69" s="65">
        <v>45743</v>
      </c>
      <c r="W69" s="64" t="s">
        <v>320</v>
      </c>
      <c r="X69" s="71"/>
      <c r="Y69" s="71" t="s">
        <v>321</v>
      </c>
      <c r="Z69" s="30">
        <v>1</v>
      </c>
      <c r="AA69" s="30">
        <v>1</v>
      </c>
      <c r="AB69" s="31">
        <v>2341500</v>
      </c>
      <c r="AC69" s="32" t="s">
        <v>1926</v>
      </c>
    </row>
    <row r="70" spans="1:29" ht="29" x14ac:dyDescent="0.35">
      <c r="A70" s="26" t="s">
        <v>438</v>
      </c>
      <c r="B70" s="27" t="s">
        <v>300</v>
      </c>
      <c r="C70" s="66" t="s">
        <v>1927</v>
      </c>
      <c r="D70" s="65">
        <v>45775</v>
      </c>
      <c r="E70" s="26" t="s">
        <v>113</v>
      </c>
      <c r="F70" s="67" t="s">
        <v>1928</v>
      </c>
      <c r="G70" s="42">
        <v>5348893</v>
      </c>
      <c r="H70" s="2" t="s">
        <v>445</v>
      </c>
      <c r="I70" s="28">
        <v>3160000</v>
      </c>
      <c r="J70" s="28">
        <v>0</v>
      </c>
      <c r="K70" s="36">
        <v>3160000</v>
      </c>
      <c r="L70" s="69" t="s">
        <v>302</v>
      </c>
      <c r="M70" s="3"/>
      <c r="N70" s="28">
        <f>+Tabla15132[[#This Row],[VALOR TOTAL DEL CONTRATO
(en pesos)
CON IVA
(inicial)]]+Tabla15132[[#This Row],[VALOR DE LAS ADICIONES
(en pesos)
CON IVA]]</f>
        <v>3160000</v>
      </c>
      <c r="O70" s="4">
        <f>+Tabla15132[[#This Row],[FECHA TERMINACIÓN CONTRATO
(inicial)]]-Tabla15132[[#This Row],[FECHA INICIO CONTRATO]]</f>
        <v>10</v>
      </c>
      <c r="P70" s="23" t="s">
        <v>302</v>
      </c>
      <c r="Q70" s="101"/>
      <c r="R70" s="70" t="s">
        <v>302</v>
      </c>
      <c r="S70" s="70"/>
      <c r="T70" s="65">
        <v>45779</v>
      </c>
      <c r="U70" s="65">
        <v>45789</v>
      </c>
      <c r="V70" s="65">
        <v>45789</v>
      </c>
      <c r="W70" s="64" t="s">
        <v>320</v>
      </c>
      <c r="X70" s="71"/>
      <c r="Y70" s="71" t="s">
        <v>321</v>
      </c>
      <c r="Z70" s="30">
        <v>1</v>
      </c>
      <c r="AA70" s="30">
        <v>1</v>
      </c>
      <c r="AB70" s="31">
        <v>3160000</v>
      </c>
      <c r="AC70" s="32" t="s">
        <v>1929</v>
      </c>
    </row>
    <row r="71" spans="1:29" ht="29" x14ac:dyDescent="0.35">
      <c r="A71" s="26" t="s">
        <v>438</v>
      </c>
      <c r="B71" s="27" t="s">
        <v>300</v>
      </c>
      <c r="C71" s="66" t="s">
        <v>1930</v>
      </c>
      <c r="D71" s="65">
        <v>45776</v>
      </c>
      <c r="E71" s="26" t="s">
        <v>142</v>
      </c>
      <c r="F71" s="67" t="s">
        <v>1931</v>
      </c>
      <c r="G71" s="42" t="s">
        <v>2585</v>
      </c>
      <c r="H71" s="2" t="s">
        <v>1779</v>
      </c>
      <c r="I71" s="28">
        <v>6500000</v>
      </c>
      <c r="J71" s="28">
        <v>1235000</v>
      </c>
      <c r="K71" s="36">
        <v>7735000</v>
      </c>
      <c r="L71" s="69" t="s">
        <v>301</v>
      </c>
      <c r="M71" s="3">
        <v>5664400</v>
      </c>
      <c r="N71" s="28">
        <f>+Tabla15132[[#This Row],[VALOR TOTAL DEL CONTRATO
(en pesos)
CON IVA
(inicial)]]+Tabla15132[[#This Row],[VALOR DE LAS ADICIONES
(en pesos)
CON IVA]]</f>
        <v>13399400</v>
      </c>
      <c r="O71" s="4">
        <f>+Tabla15132[[#This Row],[FECHA TERMINACIÓN CONTRATO
(inicial)]]-Tabla15132[[#This Row],[FECHA INICIO CONTRATO]]</f>
        <v>5</v>
      </c>
      <c r="P71" s="23" t="s">
        <v>301</v>
      </c>
      <c r="Q71" s="101">
        <f>+Tabla15132[[#This Row],[FECHA TERMINACIÓN DEL CONTRATO
(inicial + prórrogas)]]-Tabla15132[[#This Row],[FECHA TERMINACIÓN CONTRATO
(inicial)]]</f>
        <v>9</v>
      </c>
      <c r="R71" s="70" t="s">
        <v>302</v>
      </c>
      <c r="S71" s="70"/>
      <c r="T71" s="65">
        <v>45780</v>
      </c>
      <c r="U71" s="65">
        <v>45785</v>
      </c>
      <c r="V71" s="65">
        <v>45794</v>
      </c>
      <c r="W71" s="64" t="s">
        <v>320</v>
      </c>
      <c r="X71" s="71"/>
      <c r="Y71" s="71" t="s">
        <v>321</v>
      </c>
      <c r="Z71" s="30">
        <v>1</v>
      </c>
      <c r="AA71" s="30">
        <v>1</v>
      </c>
      <c r="AB71" s="31">
        <v>13399400</v>
      </c>
      <c r="AC71" s="91" t="s">
        <v>1932</v>
      </c>
    </row>
    <row r="72" spans="1:29" ht="29" x14ac:dyDescent="0.35">
      <c r="A72" s="26" t="s">
        <v>357</v>
      </c>
      <c r="B72" s="27" t="s">
        <v>365</v>
      </c>
      <c r="C72" s="66" t="s">
        <v>1933</v>
      </c>
      <c r="D72" s="65">
        <v>45776</v>
      </c>
      <c r="E72" s="26" t="s">
        <v>113</v>
      </c>
      <c r="F72" s="67" t="s">
        <v>1934</v>
      </c>
      <c r="G72" s="42" t="s">
        <v>2560</v>
      </c>
      <c r="H72" s="2" t="s">
        <v>468</v>
      </c>
      <c r="I72" s="28">
        <v>6120000</v>
      </c>
      <c r="J72" s="28">
        <v>48450</v>
      </c>
      <c r="K72" s="36">
        <v>6168450</v>
      </c>
      <c r="L72" s="69" t="s">
        <v>302</v>
      </c>
      <c r="M72" s="3"/>
      <c r="N72" s="28">
        <f>+Tabla15132[[#This Row],[VALOR TOTAL DEL CONTRATO
(en pesos)
CON IVA
(inicial)]]+Tabla15132[[#This Row],[VALOR DE LAS ADICIONES
(en pesos)
CON IVA]]</f>
        <v>6168450</v>
      </c>
      <c r="O72" s="4">
        <f>+Tabla15132[[#This Row],[FECHA TERMINACIÓN CONTRATO
(inicial)]]-Tabla15132[[#This Row],[FECHA INICIO CONTRATO]]</f>
        <v>9</v>
      </c>
      <c r="P72" s="23" t="s">
        <v>302</v>
      </c>
      <c r="Q72" s="101"/>
      <c r="R72" s="70" t="s">
        <v>302</v>
      </c>
      <c r="S72" s="70"/>
      <c r="T72" s="65">
        <v>45776</v>
      </c>
      <c r="U72" s="65">
        <v>45785</v>
      </c>
      <c r="V72" s="65">
        <v>45785</v>
      </c>
      <c r="W72" s="64" t="s">
        <v>320</v>
      </c>
      <c r="X72" s="71"/>
      <c r="Y72" s="71" t="s">
        <v>321</v>
      </c>
      <c r="Z72" s="30">
        <v>1</v>
      </c>
      <c r="AA72" s="30">
        <v>1</v>
      </c>
      <c r="AB72" s="31">
        <v>6168450</v>
      </c>
      <c r="AC72" s="32" t="s">
        <v>1935</v>
      </c>
    </row>
    <row r="73" spans="1:29" ht="29" x14ac:dyDescent="0.35">
      <c r="A73" s="26" t="s">
        <v>328</v>
      </c>
      <c r="B73" s="27" t="s">
        <v>300</v>
      </c>
      <c r="C73" s="66" t="s">
        <v>1936</v>
      </c>
      <c r="D73" s="65">
        <v>45776</v>
      </c>
      <c r="E73" s="26" t="s">
        <v>113</v>
      </c>
      <c r="F73" s="67" t="s">
        <v>1937</v>
      </c>
      <c r="G73" s="42" t="s">
        <v>2616</v>
      </c>
      <c r="H73" s="2" t="s">
        <v>1938</v>
      </c>
      <c r="I73" s="28">
        <v>15536400</v>
      </c>
      <c r="J73" s="28">
        <v>2951916</v>
      </c>
      <c r="K73" s="36">
        <v>18488316</v>
      </c>
      <c r="L73" s="69" t="s">
        <v>302</v>
      </c>
      <c r="M73" s="3"/>
      <c r="N73" s="28">
        <v>18488316</v>
      </c>
      <c r="O73" s="4">
        <f>+Tabla15132[[#This Row],[FECHA TERMINACIÓN CONTRATO
(inicial)]]-Tabla15132[[#This Row],[FECHA INICIO CONTRATO]]</f>
        <v>10</v>
      </c>
      <c r="P73" s="23" t="s">
        <v>302</v>
      </c>
      <c r="Q73" s="101"/>
      <c r="R73" s="70" t="s">
        <v>302</v>
      </c>
      <c r="S73" s="70"/>
      <c r="T73" s="65">
        <v>45776</v>
      </c>
      <c r="U73" s="65">
        <v>45786</v>
      </c>
      <c r="V73" s="65">
        <v>45786</v>
      </c>
      <c r="W73" s="64" t="s">
        <v>320</v>
      </c>
      <c r="X73" s="71"/>
      <c r="Y73" s="71" t="s">
        <v>321</v>
      </c>
      <c r="Z73" s="30">
        <v>1</v>
      </c>
      <c r="AA73" s="30">
        <v>1</v>
      </c>
      <c r="AB73" s="31">
        <v>18488316</v>
      </c>
      <c r="AC73" s="32" t="s">
        <v>1939</v>
      </c>
    </row>
    <row r="74" spans="1:29" ht="29" x14ac:dyDescent="0.35">
      <c r="A74" s="2" t="s">
        <v>304</v>
      </c>
      <c r="B74" s="27" t="s">
        <v>300</v>
      </c>
      <c r="C74" s="66" t="s">
        <v>1940</v>
      </c>
      <c r="D74" s="65">
        <v>45777</v>
      </c>
      <c r="E74" s="26" t="s">
        <v>113</v>
      </c>
      <c r="F74" s="67" t="s">
        <v>1941</v>
      </c>
      <c r="G74" s="42">
        <v>5348893</v>
      </c>
      <c r="H74" s="2" t="s">
        <v>445</v>
      </c>
      <c r="I74" s="28">
        <v>3740000</v>
      </c>
      <c r="J74" s="28">
        <v>0</v>
      </c>
      <c r="K74" s="36">
        <v>3740000</v>
      </c>
      <c r="L74" s="69" t="s">
        <v>302</v>
      </c>
      <c r="M74" s="3"/>
      <c r="N74" s="28">
        <f>+Tabla15132[[#This Row],[VALOR TOTAL DEL CONTRATO
(en pesos)
CON IVA
(inicial)]]+Tabla15132[[#This Row],[VALOR DE LAS ADICIONES
(en pesos)
CON IVA]]</f>
        <v>3740000</v>
      </c>
      <c r="O74" s="4">
        <f>+Tabla15132[[#This Row],[FECHA TERMINACIÓN CONTRATO
(inicial)]]-Tabla15132[[#This Row],[FECHA INICIO CONTRATO]]</f>
        <v>20</v>
      </c>
      <c r="P74" s="23" t="s">
        <v>302</v>
      </c>
      <c r="Q74" s="101"/>
      <c r="R74" s="70" t="s">
        <v>302</v>
      </c>
      <c r="S74" s="70"/>
      <c r="T74" s="65">
        <v>45777</v>
      </c>
      <c r="U74" s="65">
        <v>45797</v>
      </c>
      <c r="V74" s="65">
        <v>45797</v>
      </c>
      <c r="W74" s="64" t="s">
        <v>320</v>
      </c>
      <c r="X74" s="71"/>
      <c r="Y74" s="71" t="s">
        <v>321</v>
      </c>
      <c r="Z74" s="30">
        <v>1</v>
      </c>
      <c r="AA74" s="30">
        <v>1</v>
      </c>
      <c r="AB74" s="31">
        <v>3740000</v>
      </c>
      <c r="AC74" s="32" t="s">
        <v>1942</v>
      </c>
    </row>
    <row r="75" spans="1:29" ht="29" x14ac:dyDescent="0.35">
      <c r="A75" s="26" t="s">
        <v>315</v>
      </c>
      <c r="B75" s="27" t="s">
        <v>300</v>
      </c>
      <c r="C75" s="66" t="s">
        <v>1943</v>
      </c>
      <c r="D75" s="65">
        <v>45777</v>
      </c>
      <c r="E75" s="26" t="s">
        <v>113</v>
      </c>
      <c r="F75" s="67" t="s">
        <v>1944</v>
      </c>
      <c r="G75" s="42">
        <v>4144948</v>
      </c>
      <c r="H75" s="2" t="s">
        <v>1945</v>
      </c>
      <c r="I75" s="28">
        <v>4621848</v>
      </c>
      <c r="J75" s="28">
        <v>878151</v>
      </c>
      <c r="K75" s="36">
        <v>5499999</v>
      </c>
      <c r="L75" s="69" t="s">
        <v>302</v>
      </c>
      <c r="M75" s="3"/>
      <c r="N75" s="28">
        <f>+Tabla15132[[#This Row],[VALOR TOTAL DEL CONTRATO
(en pesos)
CON IVA
(inicial)]]+Tabla15132[[#This Row],[VALOR DE LAS ADICIONES
(en pesos)
CON IVA]]</f>
        <v>5499999</v>
      </c>
      <c r="O75" s="4">
        <f>+Tabla15132[[#This Row],[FECHA TERMINACIÓN CONTRATO
(inicial)]]-Tabla15132[[#This Row],[FECHA INICIO CONTRATO]]</f>
        <v>15</v>
      </c>
      <c r="P75" s="23" t="s">
        <v>302</v>
      </c>
      <c r="Q75" s="101"/>
      <c r="R75" s="70" t="s">
        <v>302</v>
      </c>
      <c r="S75" s="70"/>
      <c r="T75" s="65">
        <v>45790</v>
      </c>
      <c r="U75" s="65">
        <v>45805</v>
      </c>
      <c r="V75" s="65">
        <v>45805</v>
      </c>
      <c r="W75" s="64" t="s">
        <v>320</v>
      </c>
      <c r="X75" s="71"/>
      <c r="Y75" s="71" t="s">
        <v>321</v>
      </c>
      <c r="Z75" s="30">
        <v>1</v>
      </c>
      <c r="AA75" s="30">
        <v>1</v>
      </c>
      <c r="AB75" s="31">
        <v>5499999</v>
      </c>
      <c r="AC75" s="32" t="s">
        <v>1946</v>
      </c>
    </row>
    <row r="76" spans="1:29" ht="29" x14ac:dyDescent="0.35">
      <c r="A76" s="26" t="s">
        <v>328</v>
      </c>
      <c r="B76" s="27" t="s">
        <v>300</v>
      </c>
      <c r="C76" s="66" t="s">
        <v>1947</v>
      </c>
      <c r="D76" s="65">
        <v>45777</v>
      </c>
      <c r="E76" s="26" t="s">
        <v>113</v>
      </c>
      <c r="F76" s="67" t="s">
        <v>1948</v>
      </c>
      <c r="G76" s="42" t="s">
        <v>2561</v>
      </c>
      <c r="H76" s="2" t="s">
        <v>469</v>
      </c>
      <c r="I76" s="28">
        <v>12803023</v>
      </c>
      <c r="J76" s="28">
        <v>1075974</v>
      </c>
      <c r="K76" s="36">
        <v>13878997</v>
      </c>
      <c r="L76" s="69" t="s">
        <v>302</v>
      </c>
      <c r="M76" s="3"/>
      <c r="N76" s="28">
        <v>13878997</v>
      </c>
      <c r="O76" s="4">
        <f>+Tabla15132[[#This Row],[FECHA TERMINACIÓN CONTRATO
(inicial)]]-Tabla15132[[#This Row],[FECHA INICIO CONTRATO]]</f>
        <v>10</v>
      </c>
      <c r="P76" s="23" t="s">
        <v>302</v>
      </c>
      <c r="Q76" s="101"/>
      <c r="R76" s="70" t="s">
        <v>302</v>
      </c>
      <c r="S76" s="70"/>
      <c r="T76" s="65">
        <v>45777</v>
      </c>
      <c r="U76" s="65">
        <v>45787</v>
      </c>
      <c r="V76" s="65">
        <v>45787</v>
      </c>
      <c r="W76" s="64" t="s">
        <v>320</v>
      </c>
      <c r="X76" s="71"/>
      <c r="Y76" s="71" t="s">
        <v>321</v>
      </c>
      <c r="Z76" s="30">
        <v>1</v>
      </c>
      <c r="AA76" s="30">
        <v>1</v>
      </c>
      <c r="AB76" s="31">
        <v>13878997</v>
      </c>
      <c r="AC76" s="32" t="s">
        <v>1949</v>
      </c>
    </row>
    <row r="77" spans="1:29" ht="29" x14ac:dyDescent="0.35">
      <c r="A77" s="26" t="s">
        <v>1732</v>
      </c>
      <c r="B77" s="27" t="s">
        <v>365</v>
      </c>
      <c r="C77" s="66" t="s">
        <v>1950</v>
      </c>
      <c r="D77" s="65">
        <v>45742</v>
      </c>
      <c r="E77" s="26" t="s">
        <v>150</v>
      </c>
      <c r="F77" s="67" t="s">
        <v>1951</v>
      </c>
      <c r="G77" s="42" t="s">
        <v>2630</v>
      </c>
      <c r="H77" s="2" t="s">
        <v>480</v>
      </c>
      <c r="I77" s="28">
        <v>1589437</v>
      </c>
      <c r="J77" s="28">
        <v>184863</v>
      </c>
      <c r="K77" s="36">
        <v>1774300</v>
      </c>
      <c r="L77" s="69" t="s">
        <v>302</v>
      </c>
      <c r="M77" s="3"/>
      <c r="N77" s="28">
        <f>+Tabla15132[[#This Row],[VALOR TOTAL DEL CONTRATO
(en pesos)
CON IVA
(inicial)]]+Tabla15132[[#This Row],[VALOR DE LAS ADICIONES
(en pesos)
CON IVA]]</f>
        <v>1774300</v>
      </c>
      <c r="O77" s="4">
        <f>+Tabla15132[[#This Row],[FECHA TERMINACIÓN CONTRATO
(inicial)]]-Tabla15132[[#This Row],[FECHA INICIO CONTRATO]]</f>
        <v>0</v>
      </c>
      <c r="P77" s="23" t="s">
        <v>302</v>
      </c>
      <c r="Q77" s="101"/>
      <c r="R77" s="70" t="s">
        <v>302</v>
      </c>
      <c r="S77" s="70"/>
      <c r="T77" s="65">
        <v>45742</v>
      </c>
      <c r="U77" s="65">
        <v>45742</v>
      </c>
      <c r="V77" s="65">
        <v>45742</v>
      </c>
      <c r="W77" s="64" t="s">
        <v>320</v>
      </c>
      <c r="X77" s="71"/>
      <c r="Y77" s="71" t="s">
        <v>321</v>
      </c>
      <c r="Z77" s="30">
        <v>1</v>
      </c>
      <c r="AA77" s="30">
        <v>1</v>
      </c>
      <c r="AB77" s="31">
        <v>1774300</v>
      </c>
      <c r="AC77" s="32" t="s">
        <v>1952</v>
      </c>
    </row>
    <row r="78" spans="1:29" ht="29" x14ac:dyDescent="0.35">
      <c r="A78" s="2" t="s">
        <v>444</v>
      </c>
      <c r="B78" s="27" t="s">
        <v>300</v>
      </c>
      <c r="C78" s="66" t="s">
        <v>1953</v>
      </c>
      <c r="D78" s="65">
        <v>45783</v>
      </c>
      <c r="E78" s="26" t="s">
        <v>113</v>
      </c>
      <c r="F78" s="67" t="s">
        <v>1954</v>
      </c>
      <c r="G78" s="42">
        <v>84035828</v>
      </c>
      <c r="H78" s="2" t="s">
        <v>1955</v>
      </c>
      <c r="I78" s="28">
        <v>3730000</v>
      </c>
      <c r="J78" s="28">
        <v>0</v>
      </c>
      <c r="K78" s="36">
        <v>3730000</v>
      </c>
      <c r="L78" s="69" t="s">
        <v>302</v>
      </c>
      <c r="M78" s="3"/>
      <c r="N78" s="28">
        <f>+Tabla15132[[#This Row],[VALOR TOTAL DEL CONTRATO
(en pesos)
CON IVA
(inicial)]]+Tabla15132[[#This Row],[VALOR DE LAS ADICIONES
(en pesos)
CON IVA]]</f>
        <v>3730000</v>
      </c>
      <c r="O78" s="4">
        <f>+Tabla15132[[#This Row],[FECHA TERMINACIÓN CONTRATO
(inicial)]]-Tabla15132[[#This Row],[FECHA INICIO CONTRATO]]</f>
        <v>31</v>
      </c>
      <c r="P78" s="23" t="s">
        <v>302</v>
      </c>
      <c r="Q78" s="101"/>
      <c r="R78" s="70" t="s">
        <v>302</v>
      </c>
      <c r="S78" s="70"/>
      <c r="T78" s="65">
        <v>45783</v>
      </c>
      <c r="U78" s="65">
        <v>45814</v>
      </c>
      <c r="V78" s="65">
        <v>45814</v>
      </c>
      <c r="W78" s="64" t="s">
        <v>320</v>
      </c>
      <c r="X78" s="71"/>
      <c r="Y78" s="71" t="s">
        <v>321</v>
      </c>
      <c r="Z78" s="30">
        <v>1</v>
      </c>
      <c r="AA78" s="30">
        <v>1</v>
      </c>
      <c r="AB78" s="31">
        <v>3730000</v>
      </c>
      <c r="AC78" s="32" t="s">
        <v>1956</v>
      </c>
    </row>
    <row r="79" spans="1:29" ht="29" x14ac:dyDescent="0.35">
      <c r="A79" s="2" t="s">
        <v>319</v>
      </c>
      <c r="B79" s="27" t="s">
        <v>300</v>
      </c>
      <c r="C79" s="66" t="s">
        <v>1957</v>
      </c>
      <c r="D79" s="65">
        <v>45776</v>
      </c>
      <c r="E79" s="26" t="s">
        <v>142</v>
      </c>
      <c r="F79" s="67" t="s">
        <v>1958</v>
      </c>
      <c r="G79" s="42">
        <v>5348893</v>
      </c>
      <c r="H79" s="2" t="s">
        <v>445</v>
      </c>
      <c r="I79" s="28">
        <v>2800000</v>
      </c>
      <c r="J79" s="28">
        <v>0</v>
      </c>
      <c r="K79" s="36">
        <v>2800000</v>
      </c>
      <c r="L79" s="69" t="s">
        <v>302</v>
      </c>
      <c r="M79" s="3"/>
      <c r="N79" s="28">
        <f>+Tabla15132[[#This Row],[VALOR TOTAL DEL CONTRATO
(en pesos)
CON IVA
(inicial)]]+Tabla15132[[#This Row],[VALOR DE LAS ADICIONES
(en pesos)
CON IVA]]</f>
        <v>2800000</v>
      </c>
      <c r="O79" s="4">
        <f>+Tabla15132[[#This Row],[FECHA TERMINACIÓN CONTRATO
(inicial)]]-Tabla15132[[#This Row],[FECHA INICIO CONTRATO]]</f>
        <v>243</v>
      </c>
      <c r="P79" s="23" t="s">
        <v>302</v>
      </c>
      <c r="Q79" s="101"/>
      <c r="R79" s="70" t="s">
        <v>302</v>
      </c>
      <c r="S79" s="70"/>
      <c r="T79" s="65">
        <v>45779</v>
      </c>
      <c r="U79" s="65">
        <v>46022</v>
      </c>
      <c r="V79" s="65">
        <v>45941</v>
      </c>
      <c r="W79" s="64" t="s">
        <v>323</v>
      </c>
      <c r="X79" s="105">
        <v>45994</v>
      </c>
      <c r="Y79" s="71" t="s">
        <v>364</v>
      </c>
      <c r="Z79" s="30">
        <v>0.75</v>
      </c>
      <c r="AA79" s="30">
        <v>0.75</v>
      </c>
      <c r="AB79" s="31">
        <v>2100000</v>
      </c>
      <c r="AC79" s="32" t="s">
        <v>1959</v>
      </c>
    </row>
    <row r="80" spans="1:29" ht="29" x14ac:dyDescent="0.35">
      <c r="A80" s="2" t="s">
        <v>307</v>
      </c>
      <c r="B80" s="27" t="s">
        <v>365</v>
      </c>
      <c r="C80" s="66" t="s">
        <v>1960</v>
      </c>
      <c r="D80" s="65">
        <v>45797</v>
      </c>
      <c r="E80" s="26" t="s">
        <v>142</v>
      </c>
      <c r="F80" s="67" t="s">
        <v>1961</v>
      </c>
      <c r="G80" s="42" t="s">
        <v>2623</v>
      </c>
      <c r="H80" s="2" t="s">
        <v>1962</v>
      </c>
      <c r="I80" s="28">
        <v>4624000</v>
      </c>
      <c r="J80" s="28">
        <v>878560</v>
      </c>
      <c r="K80" s="36">
        <v>5502560</v>
      </c>
      <c r="L80" s="69" t="s">
        <v>302</v>
      </c>
      <c r="M80" s="3"/>
      <c r="N80" s="28">
        <f>+Tabla15132[[#This Row],[VALOR TOTAL DEL CONTRATO
(en pesos)
CON IVA
(inicial)]]+Tabla15132[[#This Row],[VALOR DE LAS ADICIONES
(en pesos)
CON IVA]]</f>
        <v>5502560</v>
      </c>
      <c r="O80" s="4">
        <f>+Tabla15132[[#This Row],[FECHA TERMINACIÓN CONTRATO
(inicial)]]-Tabla15132[[#This Row],[FECHA INICIO CONTRATO]]</f>
        <v>225</v>
      </c>
      <c r="P80" s="23" t="s">
        <v>302</v>
      </c>
      <c r="Q80" s="101"/>
      <c r="R80" s="70" t="s">
        <v>302</v>
      </c>
      <c r="S80" s="70"/>
      <c r="T80" s="65">
        <v>45797</v>
      </c>
      <c r="U80" s="65">
        <v>46022</v>
      </c>
      <c r="V80" s="65">
        <v>46022</v>
      </c>
      <c r="W80" s="64" t="s">
        <v>320</v>
      </c>
      <c r="X80" s="71"/>
      <c r="Y80" s="71" t="s">
        <v>321</v>
      </c>
      <c r="Z80" s="30">
        <v>1</v>
      </c>
      <c r="AA80" s="30">
        <v>0.51919999999999999</v>
      </c>
      <c r="AB80" s="31">
        <v>2857190</v>
      </c>
      <c r="AC80" s="32" t="s">
        <v>1963</v>
      </c>
    </row>
    <row r="81" spans="1:29" ht="29" x14ac:dyDescent="0.35">
      <c r="A81" s="2" t="s">
        <v>305</v>
      </c>
      <c r="B81" s="27" t="s">
        <v>365</v>
      </c>
      <c r="C81" s="66" t="s">
        <v>1964</v>
      </c>
      <c r="D81" s="65">
        <v>45799</v>
      </c>
      <c r="E81" s="26" t="s">
        <v>150</v>
      </c>
      <c r="F81" s="67" t="s">
        <v>1965</v>
      </c>
      <c r="G81" s="104">
        <v>79468945</v>
      </c>
      <c r="H81" s="2" t="s">
        <v>1764</v>
      </c>
      <c r="I81" s="33">
        <v>5000000</v>
      </c>
      <c r="J81" s="33">
        <v>0</v>
      </c>
      <c r="K81" s="6">
        <v>5000000</v>
      </c>
      <c r="L81" s="69" t="s">
        <v>302</v>
      </c>
      <c r="M81" s="3"/>
      <c r="N81" s="28">
        <f>+Tabla15132[[#This Row],[VALOR TOTAL DEL CONTRATO
(en pesos)
CON IVA
(inicial)]]+Tabla15132[[#This Row],[VALOR DE LAS ADICIONES
(en pesos)
CON IVA]]</f>
        <v>5000000</v>
      </c>
      <c r="O81" s="4">
        <f>+Tabla15132[[#This Row],[FECHA TERMINACIÓN CONTRATO
(inicial)]]-Tabla15132[[#This Row],[FECHA INICIO CONTRATO]]</f>
        <v>223</v>
      </c>
      <c r="P81" s="23" t="s">
        <v>302</v>
      </c>
      <c r="Q81" s="101"/>
      <c r="R81" s="70" t="s">
        <v>302</v>
      </c>
      <c r="S81" s="70"/>
      <c r="T81" s="65">
        <v>45799</v>
      </c>
      <c r="U81" s="65">
        <v>46022</v>
      </c>
      <c r="V81" s="65">
        <v>46022</v>
      </c>
      <c r="W81" s="64" t="s">
        <v>320</v>
      </c>
      <c r="X81" s="71"/>
      <c r="Y81" s="71" t="s">
        <v>321</v>
      </c>
      <c r="Z81" s="30">
        <v>3.4799999999999998E-2</v>
      </c>
      <c r="AA81" s="30">
        <v>3.1800000000000002E-2</v>
      </c>
      <c r="AB81" s="31">
        <v>174000</v>
      </c>
      <c r="AC81" s="32" t="s">
        <v>1966</v>
      </c>
    </row>
    <row r="82" spans="1:29" ht="29" x14ac:dyDescent="0.35">
      <c r="A82" s="2" t="s">
        <v>304</v>
      </c>
      <c r="B82" s="27" t="s">
        <v>365</v>
      </c>
      <c r="C82" s="66" t="s">
        <v>1967</v>
      </c>
      <c r="D82" s="65">
        <v>45800</v>
      </c>
      <c r="E82" s="26" t="s">
        <v>113</v>
      </c>
      <c r="F82" s="67" t="s">
        <v>1968</v>
      </c>
      <c r="G82" s="42" t="s">
        <v>2549</v>
      </c>
      <c r="H82" s="2" t="s">
        <v>1969</v>
      </c>
      <c r="I82" s="28">
        <v>250000</v>
      </c>
      <c r="J82" s="28">
        <v>47500</v>
      </c>
      <c r="K82" s="36">
        <v>297500</v>
      </c>
      <c r="L82" s="69" t="s">
        <v>302</v>
      </c>
      <c r="M82" s="3"/>
      <c r="N82" s="28">
        <f>+Tabla15132[[#This Row],[VALOR TOTAL DEL CONTRATO
(en pesos)
CON IVA
(inicial)]]+Tabla15132[[#This Row],[VALOR DE LAS ADICIONES
(en pesos)
CON IVA]]</f>
        <v>297500</v>
      </c>
      <c r="O82" s="4">
        <f>+Tabla15132[[#This Row],[FECHA TERMINACIÓN CONTRATO
(inicial)]]-Tabla15132[[#This Row],[FECHA INICIO CONTRATO]]</f>
        <v>10</v>
      </c>
      <c r="P82" s="23" t="s">
        <v>302</v>
      </c>
      <c r="Q82" s="101"/>
      <c r="R82" s="70" t="s">
        <v>302</v>
      </c>
      <c r="S82" s="70"/>
      <c r="T82" s="65">
        <v>45803</v>
      </c>
      <c r="U82" s="65">
        <v>45813</v>
      </c>
      <c r="V82" s="65">
        <v>45813</v>
      </c>
      <c r="W82" s="64" t="s">
        <v>320</v>
      </c>
      <c r="X82" s="71"/>
      <c r="Y82" s="71" t="s">
        <v>321</v>
      </c>
      <c r="Z82" s="30">
        <v>1</v>
      </c>
      <c r="AA82" s="30">
        <v>1</v>
      </c>
      <c r="AB82" s="31">
        <v>297500</v>
      </c>
      <c r="AC82" s="32" t="s">
        <v>1970</v>
      </c>
    </row>
    <row r="83" spans="1:29" ht="29" x14ac:dyDescent="0.35">
      <c r="A83" s="2" t="s">
        <v>309</v>
      </c>
      <c r="B83" s="27" t="s">
        <v>300</v>
      </c>
      <c r="C83" s="66" t="s">
        <v>1971</v>
      </c>
      <c r="D83" s="65">
        <v>45805</v>
      </c>
      <c r="E83" s="26" t="s">
        <v>142</v>
      </c>
      <c r="F83" s="67" t="s">
        <v>1972</v>
      </c>
      <c r="G83" s="104" t="s">
        <v>2624</v>
      </c>
      <c r="H83" s="2" t="s">
        <v>455</v>
      </c>
      <c r="I83" s="33">
        <v>4568526</v>
      </c>
      <c r="J83" s="33">
        <v>868020</v>
      </c>
      <c r="K83" s="6">
        <v>5436546</v>
      </c>
      <c r="L83" s="69" t="s">
        <v>302</v>
      </c>
      <c r="M83" s="3"/>
      <c r="N83" s="28">
        <f>+Tabla15132[[#This Row],[VALOR TOTAL DEL CONTRATO
(en pesos)
CON IVA
(inicial)]]+Tabla15132[[#This Row],[VALOR DE LAS ADICIONES
(en pesos)
CON IVA]]</f>
        <v>5436546</v>
      </c>
      <c r="O83" s="4">
        <f>+Tabla15132[[#This Row],[FECHA TERMINACIÓN CONTRATO
(inicial)]]-Tabla15132[[#This Row],[FECHA INICIO CONTRATO]]</f>
        <v>217</v>
      </c>
      <c r="P83" s="23" t="s">
        <v>302</v>
      </c>
      <c r="Q83" s="101"/>
      <c r="R83" s="70" t="s">
        <v>302</v>
      </c>
      <c r="S83" s="70"/>
      <c r="T83" s="65">
        <v>45805</v>
      </c>
      <c r="U83" s="65">
        <v>46022</v>
      </c>
      <c r="V83" s="65">
        <v>46022</v>
      </c>
      <c r="W83" s="64" t="s">
        <v>325</v>
      </c>
      <c r="X83" s="71"/>
      <c r="Y83" s="71" t="s">
        <v>321</v>
      </c>
      <c r="Z83" s="30">
        <v>1</v>
      </c>
      <c r="AA83" s="30">
        <v>0.82</v>
      </c>
      <c r="AB83" s="31">
        <v>4437510</v>
      </c>
      <c r="AC83" s="32" t="s">
        <v>1973</v>
      </c>
    </row>
    <row r="84" spans="1:29" ht="29" x14ac:dyDescent="0.35">
      <c r="A84" s="2" t="s">
        <v>309</v>
      </c>
      <c r="B84" s="27" t="s">
        <v>300</v>
      </c>
      <c r="C84" s="66" t="s">
        <v>1974</v>
      </c>
      <c r="D84" s="65">
        <v>45806</v>
      </c>
      <c r="E84" s="26" t="s">
        <v>142</v>
      </c>
      <c r="F84" s="67" t="s">
        <v>1975</v>
      </c>
      <c r="G84" s="104" t="s">
        <v>2576</v>
      </c>
      <c r="H84" s="2" t="s">
        <v>1976</v>
      </c>
      <c r="I84" s="33">
        <v>4176996</v>
      </c>
      <c r="J84" s="33">
        <v>793629</v>
      </c>
      <c r="K84" s="6">
        <v>4970625</v>
      </c>
      <c r="L84" s="69" t="s">
        <v>302</v>
      </c>
      <c r="M84" s="3"/>
      <c r="N84" s="28">
        <f>+Tabla15132[[#This Row],[VALOR TOTAL DEL CONTRATO
(en pesos)
CON IVA
(inicial)]]+Tabla15132[[#This Row],[VALOR DE LAS ADICIONES
(en pesos)
CON IVA]]</f>
        <v>4970625</v>
      </c>
      <c r="O84" s="4">
        <f>+Tabla15132[[#This Row],[FECHA TERMINACIÓN CONTRATO
(inicial)]]-Tabla15132[[#This Row],[FECHA INICIO CONTRATO]]</f>
        <v>216</v>
      </c>
      <c r="P84" s="23" t="s">
        <v>302</v>
      </c>
      <c r="Q84" s="101"/>
      <c r="R84" s="70" t="s">
        <v>302</v>
      </c>
      <c r="S84" s="70"/>
      <c r="T84" s="65">
        <v>45806</v>
      </c>
      <c r="U84" s="65">
        <v>46022</v>
      </c>
      <c r="V84" s="65">
        <v>46022</v>
      </c>
      <c r="W84" s="64" t="s">
        <v>325</v>
      </c>
      <c r="X84" s="71"/>
      <c r="Y84" s="71" t="s">
        <v>321</v>
      </c>
      <c r="Z84" s="30">
        <v>1</v>
      </c>
      <c r="AA84" s="30">
        <v>0.8</v>
      </c>
      <c r="AB84" s="31">
        <v>3955212</v>
      </c>
      <c r="AC84" s="32" t="s">
        <v>1977</v>
      </c>
    </row>
    <row r="85" spans="1:29" ht="43.5" x14ac:dyDescent="0.35">
      <c r="A85" s="2" t="s">
        <v>314</v>
      </c>
      <c r="B85" s="27" t="s">
        <v>300</v>
      </c>
      <c r="C85" s="66" t="s">
        <v>1978</v>
      </c>
      <c r="D85" s="65">
        <v>45807</v>
      </c>
      <c r="E85" s="26" t="s">
        <v>88</v>
      </c>
      <c r="F85" s="67" t="s">
        <v>1979</v>
      </c>
      <c r="G85" s="104">
        <v>91282210</v>
      </c>
      <c r="H85" s="2" t="s">
        <v>1980</v>
      </c>
      <c r="I85" s="33">
        <v>2600000</v>
      </c>
      <c r="J85" s="33">
        <v>494000</v>
      </c>
      <c r="K85" s="6">
        <v>3094000</v>
      </c>
      <c r="L85" s="69" t="s">
        <v>302</v>
      </c>
      <c r="M85" s="3"/>
      <c r="N85" s="28">
        <f>+Tabla15132[[#This Row],[VALOR TOTAL DEL CONTRATO
(en pesos)
CON IVA
(inicial)]]+Tabla15132[[#This Row],[VALOR DE LAS ADICIONES
(en pesos)
CON IVA]]</f>
        <v>3094000</v>
      </c>
      <c r="O85" s="4">
        <f>+Tabla15132[[#This Row],[FECHA TERMINACIÓN CONTRATO
(inicial)]]-Tabla15132[[#This Row],[FECHA INICIO CONTRATO]]</f>
        <v>215</v>
      </c>
      <c r="P85" s="23" t="s">
        <v>302</v>
      </c>
      <c r="Q85" s="101"/>
      <c r="R85" s="70" t="s">
        <v>302</v>
      </c>
      <c r="S85" s="70"/>
      <c r="T85" s="65">
        <v>45807</v>
      </c>
      <c r="U85" s="65">
        <v>46022</v>
      </c>
      <c r="V85" s="65">
        <v>46022</v>
      </c>
      <c r="W85" s="64" t="s">
        <v>320</v>
      </c>
      <c r="X85" s="71">
        <v>46052</v>
      </c>
      <c r="Y85" s="71" t="s">
        <v>321</v>
      </c>
      <c r="Z85" s="30">
        <v>0.79190000000000005</v>
      </c>
      <c r="AA85" s="30">
        <v>0.20810000000000001</v>
      </c>
      <c r="AB85" s="31">
        <v>3094000</v>
      </c>
      <c r="AC85" s="32" t="s">
        <v>1981</v>
      </c>
    </row>
    <row r="86" spans="1:29" ht="29" x14ac:dyDescent="0.35">
      <c r="A86" s="2" t="s">
        <v>441</v>
      </c>
      <c r="B86" s="27" t="s">
        <v>365</v>
      </c>
      <c r="C86" s="66" t="s">
        <v>1982</v>
      </c>
      <c r="D86" s="65">
        <v>45779</v>
      </c>
      <c r="E86" s="26" t="s">
        <v>142</v>
      </c>
      <c r="F86" s="67" t="s">
        <v>1983</v>
      </c>
      <c r="G86" s="104">
        <v>98397457</v>
      </c>
      <c r="H86" s="2" t="s">
        <v>1984</v>
      </c>
      <c r="I86" s="33">
        <v>1270000</v>
      </c>
      <c r="J86" s="33">
        <v>0</v>
      </c>
      <c r="K86" s="6">
        <v>1270000</v>
      </c>
      <c r="L86" s="69" t="s">
        <v>302</v>
      </c>
      <c r="M86" s="3"/>
      <c r="N86" s="28">
        <f>+Tabla15132[[#This Row],[VALOR TOTAL DEL CONTRATO
(en pesos)
CON IVA
(inicial)]]+Tabla15132[[#This Row],[VALOR DE LAS ADICIONES
(en pesos)
CON IVA]]</f>
        <v>1270000</v>
      </c>
      <c r="O86" s="4">
        <f>+Tabla15132[[#This Row],[FECHA TERMINACIÓN CONTRATO
(inicial)]]-Tabla15132[[#This Row],[FECHA INICIO CONTRATO]]</f>
        <v>214</v>
      </c>
      <c r="P86" s="23" t="s">
        <v>302</v>
      </c>
      <c r="Q86" s="101"/>
      <c r="R86" s="70" t="s">
        <v>302</v>
      </c>
      <c r="S86" s="70"/>
      <c r="T86" s="65">
        <v>45779</v>
      </c>
      <c r="U86" s="65">
        <v>45993</v>
      </c>
      <c r="V86" s="65">
        <v>45993</v>
      </c>
      <c r="W86" s="64" t="s">
        <v>325</v>
      </c>
      <c r="X86" s="71"/>
      <c r="Y86" s="71" t="s">
        <v>321</v>
      </c>
      <c r="Z86" s="30">
        <v>1</v>
      </c>
      <c r="AA86" s="30">
        <v>1</v>
      </c>
      <c r="AB86" s="31">
        <v>1270000</v>
      </c>
      <c r="AC86" s="32" t="s">
        <v>1985</v>
      </c>
    </row>
    <row r="87" spans="1:29" ht="29" x14ac:dyDescent="0.35">
      <c r="A87" s="2" t="s">
        <v>308</v>
      </c>
      <c r="B87" s="27" t="s">
        <v>300</v>
      </c>
      <c r="C87" s="66" t="s">
        <v>1986</v>
      </c>
      <c r="D87" s="65">
        <v>45807</v>
      </c>
      <c r="E87" s="26" t="s">
        <v>113</v>
      </c>
      <c r="F87" s="67" t="s">
        <v>1987</v>
      </c>
      <c r="G87" s="42">
        <v>5348893</v>
      </c>
      <c r="H87" s="2" t="s">
        <v>445</v>
      </c>
      <c r="I87" s="28">
        <v>2142000</v>
      </c>
      <c r="J87" s="28">
        <v>0</v>
      </c>
      <c r="K87" s="36">
        <v>2142000</v>
      </c>
      <c r="L87" s="69" t="s">
        <v>302</v>
      </c>
      <c r="M87" s="3"/>
      <c r="N87" s="28">
        <f>+Tabla15132[[#This Row],[VALOR TOTAL DEL CONTRATO
(en pesos)
CON IVA
(inicial)]]+Tabla15132[[#This Row],[VALOR DE LAS ADICIONES
(en pesos)
CON IVA]]</f>
        <v>2142000</v>
      </c>
      <c r="O87" s="4">
        <f>+Tabla15132[[#This Row],[FECHA TERMINACIÓN CONTRATO
(inicial)]]-Tabla15132[[#This Row],[FECHA INICIO CONTRATO]]</f>
        <v>30</v>
      </c>
      <c r="P87" s="23" t="s">
        <v>302</v>
      </c>
      <c r="Q87" s="101"/>
      <c r="R87" s="70" t="s">
        <v>302</v>
      </c>
      <c r="S87" s="70"/>
      <c r="T87" s="65">
        <v>45807</v>
      </c>
      <c r="U87" s="65">
        <v>45837</v>
      </c>
      <c r="V87" s="65">
        <v>45837</v>
      </c>
      <c r="W87" s="64" t="s">
        <v>320</v>
      </c>
      <c r="X87" s="71"/>
      <c r="Y87" s="71" t="s">
        <v>321</v>
      </c>
      <c r="Z87" s="30">
        <v>1</v>
      </c>
      <c r="AA87" s="30">
        <v>1</v>
      </c>
      <c r="AB87" s="31">
        <v>2142000</v>
      </c>
      <c r="AC87" s="32" t="s">
        <v>1988</v>
      </c>
    </row>
    <row r="88" spans="1:29" ht="29" x14ac:dyDescent="0.35">
      <c r="A88" s="2" t="s">
        <v>308</v>
      </c>
      <c r="B88" s="27" t="s">
        <v>300</v>
      </c>
      <c r="C88" s="66" t="s">
        <v>1989</v>
      </c>
      <c r="D88" s="65">
        <v>45807</v>
      </c>
      <c r="E88" s="26" t="s">
        <v>142</v>
      </c>
      <c r="F88" s="67" t="s">
        <v>1990</v>
      </c>
      <c r="G88" s="104">
        <v>80436938</v>
      </c>
      <c r="H88" s="2" t="s">
        <v>1991</v>
      </c>
      <c r="I88" s="33">
        <v>6350000</v>
      </c>
      <c r="J88" s="33">
        <v>0</v>
      </c>
      <c r="K88" s="6">
        <v>6350000</v>
      </c>
      <c r="L88" s="69" t="s">
        <v>302</v>
      </c>
      <c r="M88" s="3"/>
      <c r="N88" s="28">
        <f>+Tabla15132[[#This Row],[VALOR TOTAL DEL CONTRATO
(en pesos)
CON IVA
(inicial)]]+Tabla15132[[#This Row],[VALOR DE LAS ADICIONES
(en pesos)
CON IVA]]</f>
        <v>6350000</v>
      </c>
      <c r="O88" s="4">
        <f>+Tabla15132[[#This Row],[FECHA TERMINACIÓN CONTRATO
(inicial)]]-Tabla15132[[#This Row],[FECHA INICIO CONTRATO]]</f>
        <v>31</v>
      </c>
      <c r="P88" s="23" t="s">
        <v>302</v>
      </c>
      <c r="Q88" s="101"/>
      <c r="R88" s="70" t="s">
        <v>302</v>
      </c>
      <c r="S88" s="70"/>
      <c r="T88" s="65">
        <v>45807</v>
      </c>
      <c r="U88" s="65">
        <v>45838</v>
      </c>
      <c r="V88" s="65">
        <v>45838</v>
      </c>
      <c r="W88" s="64" t="s">
        <v>320</v>
      </c>
      <c r="X88" s="71"/>
      <c r="Y88" s="71" t="s">
        <v>321</v>
      </c>
      <c r="Z88" s="30">
        <v>1</v>
      </c>
      <c r="AA88" s="30">
        <v>1</v>
      </c>
      <c r="AB88" s="31">
        <v>6350000</v>
      </c>
      <c r="AC88" s="32" t="s">
        <v>1992</v>
      </c>
    </row>
    <row r="89" spans="1:29" ht="29" x14ac:dyDescent="0.35">
      <c r="A89" s="2" t="s">
        <v>308</v>
      </c>
      <c r="B89" s="27" t="s">
        <v>300</v>
      </c>
      <c r="C89" s="66" t="s">
        <v>1993</v>
      </c>
      <c r="D89" s="65">
        <v>45808</v>
      </c>
      <c r="E89" s="26" t="s">
        <v>113</v>
      </c>
      <c r="F89" s="67" t="s">
        <v>1994</v>
      </c>
      <c r="G89" s="104">
        <v>5348893</v>
      </c>
      <c r="H89" s="2" t="s">
        <v>445</v>
      </c>
      <c r="I89" s="33">
        <v>1482946</v>
      </c>
      <c r="J89" s="33">
        <v>281760</v>
      </c>
      <c r="K89" s="6">
        <v>1764706</v>
      </c>
      <c r="L89" s="69" t="s">
        <v>302</v>
      </c>
      <c r="M89" s="3"/>
      <c r="N89" s="28">
        <f>+Tabla15132[[#This Row],[VALOR TOTAL DEL CONTRATO
(en pesos)
CON IVA
(inicial)]]+Tabla15132[[#This Row],[VALOR DE LAS ADICIONES
(en pesos)
CON IVA]]</f>
        <v>1764706</v>
      </c>
      <c r="O89" s="4">
        <f>+Tabla15132[[#This Row],[FECHA TERMINACIÓN CONTRATO
(inicial)]]-Tabla15132[[#This Row],[FECHA INICIO CONTRATO]]</f>
        <v>30</v>
      </c>
      <c r="P89" s="23" t="s">
        <v>302</v>
      </c>
      <c r="Q89" s="101"/>
      <c r="R89" s="70" t="s">
        <v>302</v>
      </c>
      <c r="S89" s="70"/>
      <c r="T89" s="65">
        <v>45808</v>
      </c>
      <c r="U89" s="65">
        <v>45838</v>
      </c>
      <c r="V89" s="65">
        <v>45838</v>
      </c>
      <c r="W89" s="64" t="s">
        <v>320</v>
      </c>
      <c r="X89" s="71"/>
      <c r="Y89" s="71" t="s">
        <v>321</v>
      </c>
      <c r="Z89" s="30">
        <v>1</v>
      </c>
      <c r="AA89" s="30">
        <v>1</v>
      </c>
      <c r="AB89" s="31">
        <v>1764706</v>
      </c>
      <c r="AC89" s="32" t="s">
        <v>1995</v>
      </c>
    </row>
    <row r="90" spans="1:29" ht="29" x14ac:dyDescent="0.35">
      <c r="A90" s="2" t="s">
        <v>304</v>
      </c>
      <c r="B90" s="27" t="s">
        <v>365</v>
      </c>
      <c r="C90" s="66" t="s">
        <v>1996</v>
      </c>
      <c r="D90" s="65">
        <v>45814</v>
      </c>
      <c r="E90" s="26" t="s">
        <v>142</v>
      </c>
      <c r="F90" s="67" t="s">
        <v>1997</v>
      </c>
      <c r="G90" s="104">
        <v>5822623</v>
      </c>
      <c r="H90" s="2" t="s">
        <v>479</v>
      </c>
      <c r="I90" s="33">
        <v>880000</v>
      </c>
      <c r="J90" s="33">
        <v>167200</v>
      </c>
      <c r="K90" s="6">
        <v>1047200</v>
      </c>
      <c r="L90" s="69" t="s">
        <v>302</v>
      </c>
      <c r="M90" s="3"/>
      <c r="N90" s="28">
        <f>+Tabla15132[[#This Row],[VALOR TOTAL DEL CONTRATO
(en pesos)
CON IVA
(inicial)]]+Tabla15132[[#This Row],[VALOR DE LAS ADICIONES
(en pesos)
CON IVA]]</f>
        <v>1047200</v>
      </c>
      <c r="O90" s="4">
        <f>+Tabla15132[[#This Row],[FECHA TERMINACIÓN CONTRATO
(inicial)]]-Tabla15132[[#This Row],[FECHA INICIO CONTRATO]]</f>
        <v>8</v>
      </c>
      <c r="P90" s="23" t="s">
        <v>302</v>
      </c>
      <c r="Q90" s="101"/>
      <c r="R90" s="70" t="s">
        <v>302</v>
      </c>
      <c r="S90" s="70"/>
      <c r="T90" s="65">
        <v>45817</v>
      </c>
      <c r="U90" s="65">
        <v>45825</v>
      </c>
      <c r="V90" s="65">
        <v>45825</v>
      </c>
      <c r="W90" s="64" t="s">
        <v>320</v>
      </c>
      <c r="X90" s="71"/>
      <c r="Y90" s="71" t="s">
        <v>321</v>
      </c>
      <c r="Z90" s="30">
        <v>1</v>
      </c>
      <c r="AA90" s="30">
        <v>1</v>
      </c>
      <c r="AB90" s="31">
        <v>1047200</v>
      </c>
      <c r="AC90" s="32" t="s">
        <v>1998</v>
      </c>
    </row>
    <row r="91" spans="1:29" ht="29" x14ac:dyDescent="0.35">
      <c r="A91" s="2" t="s">
        <v>304</v>
      </c>
      <c r="B91" s="27" t="s">
        <v>365</v>
      </c>
      <c r="C91" s="66" t="s">
        <v>1999</v>
      </c>
      <c r="D91" s="65">
        <v>45818</v>
      </c>
      <c r="E91" s="26" t="s">
        <v>142</v>
      </c>
      <c r="F91" s="67" t="s">
        <v>2000</v>
      </c>
      <c r="G91" s="104" t="s">
        <v>2549</v>
      </c>
      <c r="H91" s="2" t="s">
        <v>1969</v>
      </c>
      <c r="I91" s="33">
        <v>118000</v>
      </c>
      <c r="J91" s="33">
        <v>22420</v>
      </c>
      <c r="K91" s="6">
        <v>140420</v>
      </c>
      <c r="L91" s="69" t="s">
        <v>302</v>
      </c>
      <c r="M91" s="3"/>
      <c r="N91" s="28">
        <f>+Tabla15132[[#This Row],[VALOR TOTAL DEL CONTRATO
(en pesos)
CON IVA
(inicial)]]+Tabla15132[[#This Row],[VALOR DE LAS ADICIONES
(en pesos)
CON IVA]]</f>
        <v>140420</v>
      </c>
      <c r="O91" s="4">
        <f>+Tabla15132[[#This Row],[FECHA TERMINACIÓN CONTRATO
(inicial)]]-Tabla15132[[#This Row],[FECHA INICIO CONTRATO]]</f>
        <v>5</v>
      </c>
      <c r="P91" s="23" t="s">
        <v>302</v>
      </c>
      <c r="Q91" s="101"/>
      <c r="R91" s="70" t="s">
        <v>302</v>
      </c>
      <c r="S91" s="70"/>
      <c r="T91" s="65">
        <v>45819</v>
      </c>
      <c r="U91" s="65">
        <v>45824</v>
      </c>
      <c r="V91" s="65">
        <v>45824</v>
      </c>
      <c r="W91" s="64" t="s">
        <v>320</v>
      </c>
      <c r="X91" s="71"/>
      <c r="Y91" s="71" t="s">
        <v>321</v>
      </c>
      <c r="Z91" s="30">
        <v>1</v>
      </c>
      <c r="AA91" s="30">
        <v>1</v>
      </c>
      <c r="AB91" s="31">
        <v>140420</v>
      </c>
      <c r="AC91" s="32" t="s">
        <v>2001</v>
      </c>
    </row>
    <row r="92" spans="1:29" ht="29" x14ac:dyDescent="0.35">
      <c r="A92" s="2" t="s">
        <v>305</v>
      </c>
      <c r="B92" s="27" t="s">
        <v>365</v>
      </c>
      <c r="C92" s="66" t="s">
        <v>2002</v>
      </c>
      <c r="D92" s="65">
        <v>45819</v>
      </c>
      <c r="E92" s="26" t="s">
        <v>142</v>
      </c>
      <c r="F92" s="67" t="s">
        <v>2003</v>
      </c>
      <c r="G92" s="104" t="s">
        <v>2562</v>
      </c>
      <c r="H92" s="2" t="s">
        <v>2004</v>
      </c>
      <c r="I92" s="33">
        <v>3030000</v>
      </c>
      <c r="J92" s="33">
        <v>575700</v>
      </c>
      <c r="K92" s="6">
        <v>3605700</v>
      </c>
      <c r="L92" s="69" t="s">
        <v>302</v>
      </c>
      <c r="M92" s="3"/>
      <c r="N92" s="28">
        <f>+Tabla15132[[#This Row],[VALOR TOTAL DEL CONTRATO
(en pesos)
CON IVA
(inicial)]]+Tabla15132[[#This Row],[VALOR DE LAS ADICIONES
(en pesos)
CON IVA]]</f>
        <v>3605700</v>
      </c>
      <c r="O92" s="4">
        <f>+Tabla15132[[#This Row],[FECHA TERMINACIÓN CONTRATO
(inicial)]]-Tabla15132[[#This Row],[FECHA INICIO CONTRATO]]</f>
        <v>5</v>
      </c>
      <c r="P92" s="23" t="s">
        <v>302</v>
      </c>
      <c r="Q92" s="101"/>
      <c r="R92" s="70" t="s">
        <v>302</v>
      </c>
      <c r="S92" s="70"/>
      <c r="T92" s="65">
        <v>45819</v>
      </c>
      <c r="U92" s="65">
        <v>45824</v>
      </c>
      <c r="V92" s="65">
        <v>45824</v>
      </c>
      <c r="W92" s="64" t="s">
        <v>320</v>
      </c>
      <c r="X92" s="71"/>
      <c r="Y92" s="71" t="s">
        <v>321</v>
      </c>
      <c r="Z92" s="30">
        <v>1</v>
      </c>
      <c r="AA92" s="30">
        <v>1</v>
      </c>
      <c r="AB92" s="31">
        <v>3605700</v>
      </c>
      <c r="AC92" s="32" t="s">
        <v>2005</v>
      </c>
    </row>
    <row r="93" spans="1:29" ht="29" x14ac:dyDescent="0.35">
      <c r="A93" s="2" t="s">
        <v>299</v>
      </c>
      <c r="B93" s="27" t="s">
        <v>365</v>
      </c>
      <c r="C93" s="66" t="s">
        <v>2006</v>
      </c>
      <c r="D93" s="65">
        <v>45826</v>
      </c>
      <c r="E93" s="26" t="s">
        <v>142</v>
      </c>
      <c r="F93" s="67" t="s">
        <v>2007</v>
      </c>
      <c r="G93" s="104">
        <v>1116800873</v>
      </c>
      <c r="H93" s="2" t="s">
        <v>2008</v>
      </c>
      <c r="I93" s="33">
        <v>920000</v>
      </c>
      <c r="J93" s="33">
        <v>0</v>
      </c>
      <c r="K93" s="6">
        <v>920000</v>
      </c>
      <c r="L93" s="69" t="s">
        <v>302</v>
      </c>
      <c r="M93" s="3"/>
      <c r="N93" s="28">
        <f>+Tabla15132[[#This Row],[VALOR TOTAL DEL CONTRATO
(en pesos)
CON IVA
(inicial)]]+Tabla15132[[#This Row],[VALOR DE LAS ADICIONES
(en pesos)
CON IVA]]</f>
        <v>920000</v>
      </c>
      <c r="O93" s="4">
        <f>+Tabla15132[[#This Row],[FECHA TERMINACIÓN CONTRATO
(inicial)]]-Tabla15132[[#This Row],[FECHA INICIO CONTRATO]]</f>
        <v>6</v>
      </c>
      <c r="P93" s="23" t="s">
        <v>301</v>
      </c>
      <c r="Q93" s="101">
        <f>+Tabla15132[[#This Row],[FECHA TERMINACIÓN DEL CONTRATO
(inicial + prórrogas)]]-Tabla15132[[#This Row],[FECHA TERMINACIÓN CONTRATO
(inicial)]]</f>
        <v>23</v>
      </c>
      <c r="R93" s="70" t="s">
        <v>302</v>
      </c>
      <c r="S93" s="70"/>
      <c r="T93" s="65">
        <v>45827</v>
      </c>
      <c r="U93" s="65">
        <v>45833</v>
      </c>
      <c r="V93" s="65">
        <v>45856</v>
      </c>
      <c r="W93" s="64" t="s">
        <v>320</v>
      </c>
      <c r="X93" s="71"/>
      <c r="Y93" s="71" t="s">
        <v>321</v>
      </c>
      <c r="Z93" s="30">
        <v>1</v>
      </c>
      <c r="AA93" s="30">
        <v>1</v>
      </c>
      <c r="AB93" s="31">
        <v>920000</v>
      </c>
      <c r="AC93" s="93" t="s">
        <v>2009</v>
      </c>
    </row>
    <row r="94" spans="1:29" ht="29" x14ac:dyDescent="0.35">
      <c r="A94" s="2" t="s">
        <v>328</v>
      </c>
      <c r="B94" s="27" t="s">
        <v>365</v>
      </c>
      <c r="C94" s="66" t="s">
        <v>2010</v>
      </c>
      <c r="D94" s="65">
        <v>45827</v>
      </c>
      <c r="E94" s="26" t="s">
        <v>113</v>
      </c>
      <c r="F94" s="67" t="s">
        <v>2011</v>
      </c>
      <c r="G94" s="104" t="s">
        <v>2561</v>
      </c>
      <c r="H94" s="2" t="s">
        <v>469</v>
      </c>
      <c r="I94" s="33">
        <v>2422250</v>
      </c>
      <c r="J94" s="33">
        <v>460228</v>
      </c>
      <c r="K94" s="6">
        <v>2882478</v>
      </c>
      <c r="L94" s="69" t="s">
        <v>302</v>
      </c>
      <c r="M94" s="3"/>
      <c r="N94" s="106">
        <v>2882478</v>
      </c>
      <c r="O94" s="4">
        <f>+Tabla15132[[#This Row],[FECHA TERMINACIÓN CONTRATO
(inicial)]]-Tabla15132[[#This Row],[FECHA INICIO CONTRATO]]</f>
        <v>10</v>
      </c>
      <c r="P94" s="23" t="s">
        <v>302</v>
      </c>
      <c r="Q94" s="101"/>
      <c r="R94" s="70" t="s">
        <v>302</v>
      </c>
      <c r="S94" s="70"/>
      <c r="T94" s="65">
        <v>45828</v>
      </c>
      <c r="U94" s="65">
        <v>45838</v>
      </c>
      <c r="V94" s="65">
        <v>45838</v>
      </c>
      <c r="W94" s="64" t="s">
        <v>320</v>
      </c>
      <c r="X94" s="71"/>
      <c r="Y94" s="71" t="s">
        <v>321</v>
      </c>
      <c r="Z94" s="30">
        <v>1</v>
      </c>
      <c r="AA94" s="30">
        <v>1</v>
      </c>
      <c r="AB94" s="31">
        <v>2882478</v>
      </c>
      <c r="AC94" s="32" t="s">
        <v>2012</v>
      </c>
    </row>
    <row r="95" spans="1:29" ht="29" x14ac:dyDescent="0.35">
      <c r="A95" s="2" t="s">
        <v>299</v>
      </c>
      <c r="B95" s="27" t="s">
        <v>300</v>
      </c>
      <c r="C95" s="66" t="s">
        <v>2013</v>
      </c>
      <c r="D95" s="65">
        <v>45828</v>
      </c>
      <c r="E95" s="26" t="s">
        <v>142</v>
      </c>
      <c r="F95" s="67" t="s">
        <v>2014</v>
      </c>
      <c r="G95" s="104">
        <v>1116795039</v>
      </c>
      <c r="H95" s="2" t="s">
        <v>2015</v>
      </c>
      <c r="I95" s="33">
        <v>7444000</v>
      </c>
      <c r="J95" s="33">
        <v>0</v>
      </c>
      <c r="K95" s="6">
        <v>7444000</v>
      </c>
      <c r="L95" s="69" t="s">
        <v>302</v>
      </c>
      <c r="M95" s="3"/>
      <c r="N95" s="28">
        <f>+Tabla15132[[#This Row],[VALOR TOTAL DEL CONTRATO
(en pesos)
CON IVA
(inicial)]]+Tabla15132[[#This Row],[VALOR DE LAS ADICIONES
(en pesos)
CON IVA]]</f>
        <v>7444000</v>
      </c>
      <c r="O95" s="4">
        <f>+Tabla15132[[#This Row],[FECHA TERMINACIÓN CONTRATO
(inicial)]]-Tabla15132[[#This Row],[FECHA INICIO CONTRATO]]</f>
        <v>174</v>
      </c>
      <c r="P95" s="23" t="s">
        <v>302</v>
      </c>
      <c r="Q95" s="101"/>
      <c r="R95" s="70" t="s">
        <v>302</v>
      </c>
      <c r="S95" s="70"/>
      <c r="T95" s="65">
        <v>45832</v>
      </c>
      <c r="U95" s="65">
        <v>46006</v>
      </c>
      <c r="V95" s="65">
        <v>46006</v>
      </c>
      <c r="W95" s="64" t="s">
        <v>320</v>
      </c>
      <c r="X95" s="71"/>
      <c r="Y95" s="71" t="s">
        <v>321</v>
      </c>
      <c r="Z95" s="59">
        <v>1</v>
      </c>
      <c r="AA95" s="59">
        <v>1</v>
      </c>
      <c r="AB95" s="98">
        <v>7444000</v>
      </c>
      <c r="AC95" s="32" t="s">
        <v>2016</v>
      </c>
    </row>
    <row r="96" spans="1:29" ht="29" x14ac:dyDescent="0.35">
      <c r="A96" s="2" t="s">
        <v>305</v>
      </c>
      <c r="B96" s="27" t="s">
        <v>365</v>
      </c>
      <c r="C96" s="66" t="s">
        <v>2017</v>
      </c>
      <c r="D96" s="65">
        <v>45834</v>
      </c>
      <c r="E96" s="26" t="s">
        <v>142</v>
      </c>
      <c r="F96" s="67" t="s">
        <v>2018</v>
      </c>
      <c r="G96" s="104" t="s">
        <v>2579</v>
      </c>
      <c r="H96" s="2" t="s">
        <v>462</v>
      </c>
      <c r="I96" s="33">
        <v>3015000</v>
      </c>
      <c r="J96" s="33">
        <v>572850</v>
      </c>
      <c r="K96" s="6">
        <v>3587850</v>
      </c>
      <c r="L96" s="69" t="s">
        <v>302</v>
      </c>
      <c r="M96" s="3"/>
      <c r="N96" s="28">
        <f>+Tabla15132[[#This Row],[VALOR TOTAL DEL CONTRATO
(en pesos)
CON IVA
(inicial)]]+Tabla15132[[#This Row],[VALOR DE LAS ADICIONES
(en pesos)
CON IVA]]</f>
        <v>3587850</v>
      </c>
      <c r="O96" s="4">
        <f>+Tabla15132[[#This Row],[FECHA TERMINACIÓN CONTRATO
(inicial)]]-Tabla15132[[#This Row],[FECHA INICIO CONTRATO]]</f>
        <v>10</v>
      </c>
      <c r="P96" s="23" t="s">
        <v>302</v>
      </c>
      <c r="Q96" s="101"/>
      <c r="R96" s="70" t="s">
        <v>302</v>
      </c>
      <c r="S96" s="70"/>
      <c r="T96" s="65">
        <v>45834</v>
      </c>
      <c r="U96" s="65">
        <v>45844</v>
      </c>
      <c r="V96" s="65">
        <v>45844</v>
      </c>
      <c r="W96" s="64" t="s">
        <v>320</v>
      </c>
      <c r="X96" s="71"/>
      <c r="Y96" s="71" t="s">
        <v>321</v>
      </c>
      <c r="Z96" s="30">
        <v>1</v>
      </c>
      <c r="AA96" s="30">
        <v>1</v>
      </c>
      <c r="AB96" s="31">
        <v>3587850</v>
      </c>
      <c r="AC96" s="32" t="s">
        <v>2019</v>
      </c>
    </row>
    <row r="97" spans="1:29" ht="43.5" x14ac:dyDescent="0.35">
      <c r="A97" s="2" t="s">
        <v>313</v>
      </c>
      <c r="B97" s="27" t="s">
        <v>300</v>
      </c>
      <c r="C97" s="66" t="s">
        <v>2020</v>
      </c>
      <c r="D97" s="65">
        <v>45835</v>
      </c>
      <c r="E97" s="26" t="s">
        <v>113</v>
      </c>
      <c r="F97" s="67" t="s">
        <v>2021</v>
      </c>
      <c r="G97" s="104" t="s">
        <v>2563</v>
      </c>
      <c r="H97" s="2" t="s">
        <v>2022</v>
      </c>
      <c r="I97" s="33">
        <v>10008023</v>
      </c>
      <c r="J97" s="33">
        <v>1901524</v>
      </c>
      <c r="K97" s="6">
        <v>11909547</v>
      </c>
      <c r="L97" s="69" t="s">
        <v>302</v>
      </c>
      <c r="M97" s="3"/>
      <c r="N97" s="28">
        <f>+Tabla15132[[#This Row],[VALOR TOTAL DEL CONTRATO
(en pesos)
CON IVA
(inicial)]]+Tabla15132[[#This Row],[VALOR DE LAS ADICIONES
(en pesos)
CON IVA]]</f>
        <v>11909547</v>
      </c>
      <c r="O97" s="4">
        <f>+Tabla15132[[#This Row],[FECHA TERMINACIÓN CONTRATO
(inicial)]]-Tabla15132[[#This Row],[FECHA INICIO CONTRATO]]</f>
        <v>60</v>
      </c>
      <c r="P97" s="23" t="s">
        <v>302</v>
      </c>
      <c r="Q97" s="101"/>
      <c r="R97" s="70" t="s">
        <v>302</v>
      </c>
      <c r="S97" s="70"/>
      <c r="T97" s="65">
        <v>45839</v>
      </c>
      <c r="U97" s="65">
        <v>45899</v>
      </c>
      <c r="V97" s="65">
        <v>45899</v>
      </c>
      <c r="W97" s="64" t="s">
        <v>323</v>
      </c>
      <c r="X97" s="71">
        <v>45946</v>
      </c>
      <c r="Y97" s="71" t="s">
        <v>321</v>
      </c>
      <c r="Z97" s="30">
        <v>1</v>
      </c>
      <c r="AA97" s="30">
        <v>1</v>
      </c>
      <c r="AB97" s="31">
        <v>11909547</v>
      </c>
      <c r="AC97" s="32" t="s">
        <v>2023</v>
      </c>
    </row>
    <row r="98" spans="1:29" ht="29" x14ac:dyDescent="0.35">
      <c r="A98" s="2" t="s">
        <v>299</v>
      </c>
      <c r="B98" s="27" t="s">
        <v>365</v>
      </c>
      <c r="C98" s="66" t="s">
        <v>2024</v>
      </c>
      <c r="D98" s="65">
        <v>45834</v>
      </c>
      <c r="E98" s="26" t="s">
        <v>150</v>
      </c>
      <c r="F98" s="67" t="s">
        <v>2025</v>
      </c>
      <c r="G98" s="104">
        <v>17596837</v>
      </c>
      <c r="H98" s="2" t="s">
        <v>2026</v>
      </c>
      <c r="I98" s="33">
        <v>1000000</v>
      </c>
      <c r="J98" s="33">
        <v>0</v>
      </c>
      <c r="K98" s="6">
        <v>1000000</v>
      </c>
      <c r="L98" s="69" t="s">
        <v>302</v>
      </c>
      <c r="M98" s="3"/>
      <c r="N98" s="28">
        <f>+Tabla15132[[#This Row],[VALOR TOTAL DEL CONTRATO
(en pesos)
CON IVA
(inicial)]]+Tabla15132[[#This Row],[VALOR DE LAS ADICIONES
(en pesos)
CON IVA]]</f>
        <v>1000000</v>
      </c>
      <c r="O98" s="4">
        <v>1</v>
      </c>
      <c r="P98" s="23" t="s">
        <v>302</v>
      </c>
      <c r="Q98" s="101"/>
      <c r="R98" s="70" t="s">
        <v>302</v>
      </c>
      <c r="S98" s="70"/>
      <c r="T98" s="65">
        <v>45850</v>
      </c>
      <c r="U98" s="65">
        <v>45850</v>
      </c>
      <c r="V98" s="65">
        <v>45850</v>
      </c>
      <c r="W98" s="64" t="s">
        <v>320</v>
      </c>
      <c r="X98" s="71"/>
      <c r="Y98" s="71" t="s">
        <v>321</v>
      </c>
      <c r="Z98" s="30">
        <v>1</v>
      </c>
      <c r="AA98" s="30">
        <v>1</v>
      </c>
      <c r="AB98" s="31">
        <v>1000000</v>
      </c>
      <c r="AC98" s="32" t="s">
        <v>2027</v>
      </c>
    </row>
    <row r="99" spans="1:29" ht="29" x14ac:dyDescent="0.35">
      <c r="A99" s="2" t="s">
        <v>1797</v>
      </c>
      <c r="B99" s="27" t="s">
        <v>365</v>
      </c>
      <c r="C99" s="66" t="s">
        <v>2028</v>
      </c>
      <c r="D99" s="65">
        <v>45835</v>
      </c>
      <c r="E99" s="26" t="s">
        <v>142</v>
      </c>
      <c r="F99" s="67" t="s">
        <v>2029</v>
      </c>
      <c r="G99" s="104">
        <v>76304191</v>
      </c>
      <c r="H99" s="2" t="s">
        <v>476</v>
      </c>
      <c r="I99" s="33">
        <v>1587329</v>
      </c>
      <c r="J99" s="33">
        <v>0</v>
      </c>
      <c r="K99" s="6">
        <v>1587329</v>
      </c>
      <c r="L99" s="69" t="s">
        <v>302</v>
      </c>
      <c r="M99" s="3"/>
      <c r="N99" s="28">
        <f>+Tabla15132[[#This Row],[VALOR TOTAL DEL CONTRATO
(en pesos)
CON IVA
(inicial)]]+Tabla15132[[#This Row],[VALOR DE LAS ADICIONES
(en pesos)
CON IVA]]</f>
        <v>1587329</v>
      </c>
      <c r="O99" s="4">
        <f>+Tabla15132[[#This Row],[FECHA TERMINACIÓN CONTRATO
(inicial)]]-Tabla15132[[#This Row],[FECHA INICIO CONTRATO]]</f>
        <v>60</v>
      </c>
      <c r="P99" s="23" t="s">
        <v>302</v>
      </c>
      <c r="Q99" s="101"/>
      <c r="R99" s="70" t="s">
        <v>302</v>
      </c>
      <c r="S99" s="70"/>
      <c r="T99" s="65">
        <v>45845</v>
      </c>
      <c r="U99" s="65">
        <v>45905</v>
      </c>
      <c r="V99" s="65">
        <v>45905</v>
      </c>
      <c r="W99" s="64" t="s">
        <v>320</v>
      </c>
      <c r="X99" s="71"/>
      <c r="Y99" s="71" t="s">
        <v>321</v>
      </c>
      <c r="Z99" s="30">
        <v>1</v>
      </c>
      <c r="AA99" s="30">
        <v>1</v>
      </c>
      <c r="AB99" s="31">
        <v>1587329</v>
      </c>
      <c r="AC99" s="32" t="s">
        <v>2030</v>
      </c>
    </row>
    <row r="100" spans="1:29" ht="29" x14ac:dyDescent="0.35">
      <c r="A100" s="2" t="s">
        <v>307</v>
      </c>
      <c r="B100" s="27" t="s">
        <v>365</v>
      </c>
      <c r="C100" s="66" t="s">
        <v>2031</v>
      </c>
      <c r="D100" s="65">
        <v>45835</v>
      </c>
      <c r="E100" s="26" t="s">
        <v>142</v>
      </c>
      <c r="F100" s="67" t="s">
        <v>2032</v>
      </c>
      <c r="G100" s="104" t="s">
        <v>2623</v>
      </c>
      <c r="H100" s="2" t="s">
        <v>1962</v>
      </c>
      <c r="I100" s="33">
        <v>420000</v>
      </c>
      <c r="J100" s="33">
        <v>79800</v>
      </c>
      <c r="K100" s="6">
        <v>499800</v>
      </c>
      <c r="L100" s="69" t="s">
        <v>302</v>
      </c>
      <c r="M100" s="3"/>
      <c r="N100" s="28">
        <f>+Tabla15132[[#This Row],[VALOR TOTAL DEL CONTRATO
(en pesos)
CON IVA
(inicial)]]+Tabla15132[[#This Row],[VALOR DE LAS ADICIONES
(en pesos)
CON IVA]]</f>
        <v>499800</v>
      </c>
      <c r="O100" s="4">
        <f>+Tabla15132[[#This Row],[FECHA TERMINACIÓN CONTRATO
(inicial)]]-Tabla15132[[#This Row],[FECHA INICIO CONTRATO]]</f>
        <v>30</v>
      </c>
      <c r="P100" s="23" t="s">
        <v>302</v>
      </c>
      <c r="Q100" s="101"/>
      <c r="R100" s="70" t="s">
        <v>302</v>
      </c>
      <c r="S100" s="70"/>
      <c r="T100" s="65">
        <v>45841</v>
      </c>
      <c r="U100" s="65">
        <v>45871</v>
      </c>
      <c r="V100" s="65">
        <v>45871</v>
      </c>
      <c r="W100" s="64" t="s">
        <v>320</v>
      </c>
      <c r="X100" s="71"/>
      <c r="Y100" s="71" t="s">
        <v>321</v>
      </c>
      <c r="Z100" s="30">
        <v>1</v>
      </c>
      <c r="AA100" s="30">
        <v>1</v>
      </c>
      <c r="AB100" s="31">
        <v>499800</v>
      </c>
      <c r="AC100" s="32" t="s">
        <v>2033</v>
      </c>
    </row>
    <row r="101" spans="1:29" ht="29" x14ac:dyDescent="0.35">
      <c r="A101" s="2" t="s">
        <v>307</v>
      </c>
      <c r="B101" s="27" t="s">
        <v>365</v>
      </c>
      <c r="C101" s="66" t="s">
        <v>2034</v>
      </c>
      <c r="D101" s="65">
        <v>45835</v>
      </c>
      <c r="E101" s="26" t="s">
        <v>142</v>
      </c>
      <c r="F101" s="67" t="s">
        <v>2035</v>
      </c>
      <c r="G101" s="104" t="s">
        <v>2564</v>
      </c>
      <c r="H101" s="2" t="s">
        <v>2036</v>
      </c>
      <c r="I101" s="33">
        <v>1939000</v>
      </c>
      <c r="J101" s="33">
        <v>368410</v>
      </c>
      <c r="K101" s="6">
        <v>2307410</v>
      </c>
      <c r="L101" s="69" t="s">
        <v>302</v>
      </c>
      <c r="M101" s="3"/>
      <c r="N101" s="28">
        <f>+Tabla15132[[#This Row],[VALOR TOTAL DEL CONTRATO
(en pesos)
CON IVA
(inicial)]]+Tabla15132[[#This Row],[VALOR DE LAS ADICIONES
(en pesos)
CON IVA]]</f>
        <v>2307410</v>
      </c>
      <c r="O101" s="4">
        <f>+Tabla15132[[#This Row],[FECHA TERMINACIÓN CONTRATO
(inicial)]]-Tabla15132[[#This Row],[FECHA INICIO CONTRATO]]</f>
        <v>30</v>
      </c>
      <c r="P101" s="23" t="s">
        <v>302</v>
      </c>
      <c r="Q101" s="101"/>
      <c r="R101" s="70" t="s">
        <v>302</v>
      </c>
      <c r="S101" s="70"/>
      <c r="T101" s="65">
        <v>45841</v>
      </c>
      <c r="U101" s="65">
        <v>45871</v>
      </c>
      <c r="V101" s="65">
        <v>45871</v>
      </c>
      <c r="W101" s="64" t="s">
        <v>320</v>
      </c>
      <c r="X101" s="71"/>
      <c r="Y101" s="71" t="s">
        <v>321</v>
      </c>
      <c r="Z101" s="30">
        <v>1</v>
      </c>
      <c r="AA101" s="30">
        <v>1</v>
      </c>
      <c r="AB101" s="31">
        <v>2307410</v>
      </c>
      <c r="AC101" s="32" t="s">
        <v>2037</v>
      </c>
    </row>
    <row r="102" spans="1:29" ht="29" x14ac:dyDescent="0.35">
      <c r="A102" s="2" t="s">
        <v>305</v>
      </c>
      <c r="B102" s="27" t="s">
        <v>365</v>
      </c>
      <c r="C102" s="66" t="s">
        <v>2038</v>
      </c>
      <c r="D102" s="65">
        <v>45835</v>
      </c>
      <c r="E102" s="26" t="s">
        <v>142</v>
      </c>
      <c r="F102" s="67" t="s">
        <v>2039</v>
      </c>
      <c r="G102" s="104" t="s">
        <v>2579</v>
      </c>
      <c r="H102" s="2" t="s">
        <v>462</v>
      </c>
      <c r="I102" s="33">
        <v>4837500</v>
      </c>
      <c r="J102" s="33">
        <v>110295</v>
      </c>
      <c r="K102" s="6">
        <v>4947795</v>
      </c>
      <c r="L102" s="69" t="s">
        <v>302</v>
      </c>
      <c r="M102" s="3"/>
      <c r="N102" s="28">
        <f>+Tabla15132[[#This Row],[VALOR TOTAL DEL CONTRATO
(en pesos)
CON IVA
(inicial)]]+Tabla15132[[#This Row],[VALOR DE LAS ADICIONES
(en pesos)
CON IVA]]</f>
        <v>4947795</v>
      </c>
      <c r="O102" s="4">
        <f>+Tabla15132[[#This Row],[FECHA TERMINACIÓN CONTRATO
(inicial)]]-Tabla15132[[#This Row],[FECHA INICIO CONTRATO]]</f>
        <v>10</v>
      </c>
      <c r="P102" s="23" t="s">
        <v>302</v>
      </c>
      <c r="Q102" s="101"/>
      <c r="R102" s="70" t="s">
        <v>302</v>
      </c>
      <c r="S102" s="70"/>
      <c r="T102" s="65">
        <v>45835</v>
      </c>
      <c r="U102" s="65">
        <v>45845</v>
      </c>
      <c r="V102" s="65">
        <v>45845</v>
      </c>
      <c r="W102" s="64" t="s">
        <v>320</v>
      </c>
      <c r="X102" s="71"/>
      <c r="Y102" s="71" t="s">
        <v>321</v>
      </c>
      <c r="Z102" s="30">
        <v>1</v>
      </c>
      <c r="AA102" s="30">
        <v>1</v>
      </c>
      <c r="AB102" s="31">
        <v>4947795</v>
      </c>
      <c r="AC102" s="32" t="s">
        <v>2040</v>
      </c>
    </row>
    <row r="103" spans="1:29" ht="29" x14ac:dyDescent="0.35">
      <c r="A103" s="2" t="s">
        <v>441</v>
      </c>
      <c r="B103" s="27" t="s">
        <v>365</v>
      </c>
      <c r="C103" s="66" t="s">
        <v>2041</v>
      </c>
      <c r="D103" s="65">
        <v>45840</v>
      </c>
      <c r="E103" s="26" t="s">
        <v>113</v>
      </c>
      <c r="F103" s="67" t="s">
        <v>2042</v>
      </c>
      <c r="G103" s="104" t="s">
        <v>2565</v>
      </c>
      <c r="H103" s="2" t="s">
        <v>465</v>
      </c>
      <c r="I103" s="33">
        <v>1924369</v>
      </c>
      <c r="J103" s="33">
        <v>365631</v>
      </c>
      <c r="K103" s="6">
        <v>2290000</v>
      </c>
      <c r="L103" s="69" t="s">
        <v>302</v>
      </c>
      <c r="M103" s="3"/>
      <c r="N103" s="28">
        <f>+Tabla15132[[#This Row],[VALOR TOTAL DEL CONTRATO
(en pesos)
CON IVA
(inicial)]]+Tabla15132[[#This Row],[VALOR DE LAS ADICIONES
(en pesos)
CON IVA]]</f>
        <v>2290000</v>
      </c>
      <c r="O103" s="4">
        <f>+Tabla15132[[#This Row],[FECHA TERMINACIÓN CONTRATO
(inicial)]]-Tabla15132[[#This Row],[FECHA INICIO CONTRATO]]</f>
        <v>7</v>
      </c>
      <c r="P103" s="23" t="s">
        <v>302</v>
      </c>
      <c r="Q103" s="101"/>
      <c r="R103" s="70" t="s">
        <v>302</v>
      </c>
      <c r="S103" s="70"/>
      <c r="T103" s="65">
        <v>45840</v>
      </c>
      <c r="U103" s="65">
        <v>45847</v>
      </c>
      <c r="V103" s="65">
        <v>45847</v>
      </c>
      <c r="W103" s="64" t="s">
        <v>320</v>
      </c>
      <c r="X103" s="71"/>
      <c r="Y103" s="71" t="s">
        <v>321</v>
      </c>
      <c r="Z103" s="30">
        <v>1</v>
      </c>
      <c r="AA103" s="30">
        <v>1</v>
      </c>
      <c r="AB103" s="31">
        <v>2290000</v>
      </c>
      <c r="AC103" s="32" t="s">
        <v>2043</v>
      </c>
    </row>
    <row r="104" spans="1:29" ht="29" x14ac:dyDescent="0.35">
      <c r="A104" s="2" t="s">
        <v>441</v>
      </c>
      <c r="B104" s="27" t="s">
        <v>365</v>
      </c>
      <c r="C104" s="66" t="s">
        <v>2044</v>
      </c>
      <c r="D104" s="65">
        <v>45749</v>
      </c>
      <c r="E104" s="26" t="s">
        <v>142</v>
      </c>
      <c r="F104" s="67" t="s">
        <v>2045</v>
      </c>
      <c r="G104" s="42" t="s">
        <v>2565</v>
      </c>
      <c r="H104" s="2" t="s">
        <v>465</v>
      </c>
      <c r="I104" s="33">
        <v>588235</v>
      </c>
      <c r="J104" s="33">
        <v>111765</v>
      </c>
      <c r="K104" s="36">
        <v>700000</v>
      </c>
      <c r="L104" s="69" t="s">
        <v>302</v>
      </c>
      <c r="M104" s="3"/>
      <c r="N104" s="28">
        <f>+Tabla15132[[#This Row],[VALOR TOTAL DEL CONTRATO
(en pesos)
CON IVA
(inicial)]]+Tabla15132[[#This Row],[VALOR DE LAS ADICIONES
(en pesos)
CON IVA]]</f>
        <v>700000</v>
      </c>
      <c r="O104" s="37">
        <f>+Tabla15132[[#This Row],[FECHA TERMINACIÓN CONTRATO
(inicial)]]-Tabla15132[[#This Row],[FECHA INICIO CONTRATO]]</f>
        <v>244</v>
      </c>
      <c r="P104" s="23" t="s">
        <v>302</v>
      </c>
      <c r="Q104" s="107"/>
      <c r="R104" s="92" t="s">
        <v>302</v>
      </c>
      <c r="S104" s="92"/>
      <c r="T104" s="108">
        <v>45749</v>
      </c>
      <c r="U104" s="108">
        <v>45993</v>
      </c>
      <c r="V104" s="108">
        <v>45993</v>
      </c>
      <c r="W104" s="64" t="s">
        <v>320</v>
      </c>
      <c r="X104" s="109"/>
      <c r="Y104" s="71" t="s">
        <v>321</v>
      </c>
      <c r="Z104" s="30">
        <v>1</v>
      </c>
      <c r="AA104" s="30">
        <v>1</v>
      </c>
      <c r="AB104" s="31">
        <v>700000</v>
      </c>
      <c r="AC104" s="32" t="s">
        <v>2046</v>
      </c>
    </row>
    <row r="105" spans="1:29" ht="29" x14ac:dyDescent="0.35">
      <c r="A105" s="2" t="s">
        <v>438</v>
      </c>
      <c r="B105" s="27" t="s">
        <v>365</v>
      </c>
      <c r="C105" s="66" t="s">
        <v>2047</v>
      </c>
      <c r="D105" s="65">
        <v>45841</v>
      </c>
      <c r="E105" s="26" t="s">
        <v>150</v>
      </c>
      <c r="F105" s="67" t="s">
        <v>2048</v>
      </c>
      <c r="G105" s="104">
        <v>24714939</v>
      </c>
      <c r="H105" s="2" t="s">
        <v>470</v>
      </c>
      <c r="I105" s="33">
        <v>1300000</v>
      </c>
      <c r="J105" s="33">
        <v>0</v>
      </c>
      <c r="K105" s="6">
        <v>1300000</v>
      </c>
      <c r="L105" s="69" t="s">
        <v>302</v>
      </c>
      <c r="M105" s="3"/>
      <c r="N105" s="28">
        <f>+Tabla15132[[#This Row],[VALOR TOTAL DEL CONTRATO
(en pesos)
CON IVA
(inicial)]]+Tabla15132[[#This Row],[VALOR DE LAS ADICIONES
(en pesos)
CON IVA]]</f>
        <v>1300000</v>
      </c>
      <c r="O105" s="4">
        <f>+Tabla15132[[#This Row],[FECHA TERMINACIÓN CONTRATO
(inicial)]]-Tabla15132[[#This Row],[FECHA INICIO CONTRATO]]</f>
        <v>0</v>
      </c>
      <c r="P105" s="23" t="s">
        <v>302</v>
      </c>
      <c r="Q105" s="101"/>
      <c r="R105" s="70" t="s">
        <v>302</v>
      </c>
      <c r="S105" s="70"/>
      <c r="T105" s="65">
        <v>45842</v>
      </c>
      <c r="U105" s="65">
        <v>45842</v>
      </c>
      <c r="V105" s="65">
        <v>45842</v>
      </c>
      <c r="W105" s="64" t="s">
        <v>320</v>
      </c>
      <c r="X105" s="71"/>
      <c r="Y105" s="71" t="s">
        <v>321</v>
      </c>
      <c r="Z105" s="30">
        <v>1</v>
      </c>
      <c r="AA105" s="30">
        <v>1</v>
      </c>
      <c r="AB105" s="31">
        <v>1300000</v>
      </c>
      <c r="AC105" s="32" t="s">
        <v>2049</v>
      </c>
    </row>
    <row r="106" spans="1:29" ht="29" x14ac:dyDescent="0.35">
      <c r="A106" s="2" t="s">
        <v>328</v>
      </c>
      <c r="B106" s="27" t="s">
        <v>365</v>
      </c>
      <c r="C106" s="66" t="s">
        <v>2050</v>
      </c>
      <c r="D106" s="65">
        <v>45841</v>
      </c>
      <c r="E106" s="26" t="s">
        <v>150</v>
      </c>
      <c r="F106" s="67" t="s">
        <v>2051</v>
      </c>
      <c r="G106" s="104" t="s">
        <v>2588</v>
      </c>
      <c r="H106" s="2" t="s">
        <v>2052</v>
      </c>
      <c r="I106" s="33">
        <v>2520000</v>
      </c>
      <c r="J106" s="33">
        <v>201600</v>
      </c>
      <c r="K106" s="6">
        <v>2721600</v>
      </c>
      <c r="L106" s="69" t="s">
        <v>302</v>
      </c>
      <c r="M106" s="3"/>
      <c r="N106" s="28">
        <v>2721600</v>
      </c>
      <c r="O106" s="4">
        <f>+Tabla15132[[#This Row],[FECHA TERMINACIÓN CONTRATO
(inicial)]]-Tabla15132[[#This Row],[FECHA INICIO CONTRATO]]</f>
        <v>0</v>
      </c>
      <c r="P106" s="23" t="s">
        <v>302</v>
      </c>
      <c r="Q106" s="101"/>
      <c r="R106" s="70" t="s">
        <v>302</v>
      </c>
      <c r="S106" s="70"/>
      <c r="T106" s="65">
        <v>45842</v>
      </c>
      <c r="U106" s="65">
        <v>45842</v>
      </c>
      <c r="V106" s="65">
        <v>45842</v>
      </c>
      <c r="W106" s="64" t="s">
        <v>320</v>
      </c>
      <c r="X106" s="71"/>
      <c r="Y106" s="71" t="s">
        <v>321</v>
      </c>
      <c r="Z106" s="30">
        <v>1</v>
      </c>
      <c r="AA106" s="30">
        <v>1</v>
      </c>
      <c r="AB106" s="31">
        <v>2721600</v>
      </c>
      <c r="AC106" s="32" t="s">
        <v>2053</v>
      </c>
    </row>
    <row r="107" spans="1:29" ht="29" x14ac:dyDescent="0.35">
      <c r="A107" s="2" t="s">
        <v>305</v>
      </c>
      <c r="B107" s="27" t="s">
        <v>365</v>
      </c>
      <c r="C107" s="66" t="s">
        <v>2054</v>
      </c>
      <c r="D107" s="65">
        <v>45848</v>
      </c>
      <c r="E107" s="26" t="s">
        <v>150</v>
      </c>
      <c r="F107" s="67" t="s">
        <v>2055</v>
      </c>
      <c r="G107" s="104" t="s">
        <v>2617</v>
      </c>
      <c r="H107" s="2" t="s">
        <v>2056</v>
      </c>
      <c r="I107" s="33">
        <v>2180000</v>
      </c>
      <c r="J107" s="33">
        <v>414200</v>
      </c>
      <c r="K107" s="6">
        <v>2594200</v>
      </c>
      <c r="L107" s="69" t="s">
        <v>302</v>
      </c>
      <c r="M107" s="3"/>
      <c r="N107" s="28">
        <f>+Tabla15132[[#This Row],[VALOR TOTAL DEL CONTRATO
(en pesos)
CON IVA
(inicial)]]+Tabla15132[[#This Row],[VALOR DE LAS ADICIONES
(en pesos)
CON IVA]]</f>
        <v>2594200</v>
      </c>
      <c r="O107" s="4">
        <f>+Tabla15132[[#This Row],[FECHA TERMINACIÓN CONTRATO
(inicial)]]-Tabla15132[[#This Row],[FECHA INICIO CONTRATO]]</f>
        <v>0</v>
      </c>
      <c r="P107" s="23" t="s">
        <v>302</v>
      </c>
      <c r="Q107" s="101"/>
      <c r="R107" s="70" t="s">
        <v>302</v>
      </c>
      <c r="S107" s="70"/>
      <c r="T107" s="65">
        <v>45848</v>
      </c>
      <c r="U107" s="65">
        <v>45848</v>
      </c>
      <c r="V107" s="65">
        <v>45848</v>
      </c>
      <c r="W107" s="64" t="s">
        <v>320</v>
      </c>
      <c r="X107" s="71"/>
      <c r="Y107" s="71" t="s">
        <v>321</v>
      </c>
      <c r="Z107" s="30">
        <v>1</v>
      </c>
      <c r="AA107" s="30">
        <v>1</v>
      </c>
      <c r="AB107" s="31">
        <v>2594200</v>
      </c>
      <c r="AC107" s="32" t="s">
        <v>2057</v>
      </c>
    </row>
    <row r="108" spans="1:29" ht="29" x14ac:dyDescent="0.35">
      <c r="A108" s="2" t="s">
        <v>316</v>
      </c>
      <c r="B108" s="27" t="s">
        <v>365</v>
      </c>
      <c r="C108" s="66" t="s">
        <v>2058</v>
      </c>
      <c r="D108" s="65">
        <v>45833</v>
      </c>
      <c r="E108" s="26" t="s">
        <v>142</v>
      </c>
      <c r="F108" s="67" t="s">
        <v>2059</v>
      </c>
      <c r="G108" s="104" t="s">
        <v>2589</v>
      </c>
      <c r="H108" s="2" t="s">
        <v>2060</v>
      </c>
      <c r="I108" s="33">
        <v>4100000</v>
      </c>
      <c r="J108" s="33">
        <v>779000</v>
      </c>
      <c r="K108" s="6">
        <v>4879000</v>
      </c>
      <c r="L108" s="69" t="s">
        <v>302</v>
      </c>
      <c r="M108" s="3"/>
      <c r="N108" s="28">
        <f>+Tabla15132[[#This Row],[VALOR TOTAL DEL CONTRATO
(en pesos)
CON IVA
(inicial)]]+Tabla15132[[#This Row],[VALOR DE LAS ADICIONES
(en pesos)
CON IVA]]</f>
        <v>4879000</v>
      </c>
      <c r="O108" s="4">
        <f>+Tabla15132[[#This Row],[FECHA TERMINACIÓN CONTRATO
(inicial)]]-Tabla15132[[#This Row],[FECHA INICIO CONTRATO]]</f>
        <v>30</v>
      </c>
      <c r="P108" s="23" t="s">
        <v>302</v>
      </c>
      <c r="Q108" s="101"/>
      <c r="R108" s="70" t="s">
        <v>302</v>
      </c>
      <c r="S108" s="70"/>
      <c r="T108" s="65">
        <v>45833</v>
      </c>
      <c r="U108" s="65">
        <v>45863</v>
      </c>
      <c r="V108" s="65">
        <v>45863</v>
      </c>
      <c r="W108" s="64" t="s">
        <v>320</v>
      </c>
      <c r="X108" s="71"/>
      <c r="Y108" s="71" t="s">
        <v>321</v>
      </c>
      <c r="Z108" s="30">
        <v>1</v>
      </c>
      <c r="AA108" s="30">
        <v>1</v>
      </c>
      <c r="AB108" s="31">
        <v>4879000</v>
      </c>
      <c r="AC108" s="32" t="s">
        <v>2061</v>
      </c>
    </row>
    <row r="109" spans="1:29" ht="29" x14ac:dyDescent="0.35">
      <c r="A109" s="2" t="s">
        <v>316</v>
      </c>
      <c r="B109" s="27" t="s">
        <v>365</v>
      </c>
      <c r="C109" s="66" t="s">
        <v>2062</v>
      </c>
      <c r="D109" s="65">
        <v>45848</v>
      </c>
      <c r="E109" s="26" t="s">
        <v>150</v>
      </c>
      <c r="F109" s="67" t="s">
        <v>2063</v>
      </c>
      <c r="G109" s="104" t="s">
        <v>2625</v>
      </c>
      <c r="H109" s="2" t="s">
        <v>2064</v>
      </c>
      <c r="I109" s="33">
        <v>2603798</v>
      </c>
      <c r="J109" s="33">
        <v>356202</v>
      </c>
      <c r="K109" s="6">
        <v>2960000</v>
      </c>
      <c r="L109" s="69" t="s">
        <v>302</v>
      </c>
      <c r="M109" s="3"/>
      <c r="N109" s="28">
        <f>+Tabla15132[[#This Row],[VALOR TOTAL DEL CONTRATO
(en pesos)
CON IVA
(inicial)]]+Tabla15132[[#This Row],[VALOR DE LAS ADICIONES
(en pesos)
CON IVA]]</f>
        <v>2960000</v>
      </c>
      <c r="O109" s="4">
        <f>+Tabla15132[[#This Row],[FECHA TERMINACIÓN CONTRATO
(inicial)]]-Tabla15132[[#This Row],[FECHA INICIO CONTRATO]]</f>
        <v>0</v>
      </c>
      <c r="P109" s="23" t="s">
        <v>302</v>
      </c>
      <c r="Q109" s="101"/>
      <c r="R109" s="70" t="s">
        <v>302</v>
      </c>
      <c r="S109" s="70"/>
      <c r="T109" s="65">
        <v>45849</v>
      </c>
      <c r="U109" s="65">
        <v>45849</v>
      </c>
      <c r="V109" s="65">
        <v>45849</v>
      </c>
      <c r="W109" s="64" t="s">
        <v>320</v>
      </c>
      <c r="X109" s="71"/>
      <c r="Y109" s="71" t="s">
        <v>321</v>
      </c>
      <c r="Z109" s="30">
        <v>1</v>
      </c>
      <c r="AA109" s="30">
        <v>1</v>
      </c>
      <c r="AB109" s="31">
        <v>2959935</v>
      </c>
      <c r="AC109" s="32" t="s">
        <v>2065</v>
      </c>
    </row>
    <row r="110" spans="1:29" ht="29" x14ac:dyDescent="0.35">
      <c r="A110" s="2" t="s">
        <v>299</v>
      </c>
      <c r="B110" s="27" t="s">
        <v>365</v>
      </c>
      <c r="C110" s="66" t="s">
        <v>2066</v>
      </c>
      <c r="D110" s="65">
        <v>45848</v>
      </c>
      <c r="E110" s="26" t="s">
        <v>142</v>
      </c>
      <c r="F110" s="67" t="s">
        <v>2067</v>
      </c>
      <c r="G110" s="104">
        <v>1116800873</v>
      </c>
      <c r="H110" s="2" t="s">
        <v>2008</v>
      </c>
      <c r="I110" s="33">
        <v>390000</v>
      </c>
      <c r="J110" s="33">
        <v>95000</v>
      </c>
      <c r="K110" s="6">
        <v>485000</v>
      </c>
      <c r="L110" s="69" t="s">
        <v>302</v>
      </c>
      <c r="M110" s="3"/>
      <c r="N110" s="28">
        <f>+Tabla15132[[#This Row],[VALOR TOTAL DEL CONTRATO
(en pesos)
CON IVA
(inicial)]]+Tabla15132[[#This Row],[VALOR DE LAS ADICIONES
(en pesos)
CON IVA]]</f>
        <v>485000</v>
      </c>
      <c r="O110" s="4">
        <f>+Tabla15132[[#This Row],[FECHA TERMINACIÓN CONTRATO
(inicial)]]-Tabla15132[[#This Row],[FECHA INICIO CONTRATO]]</f>
        <v>6</v>
      </c>
      <c r="P110" s="23" t="s">
        <v>302</v>
      </c>
      <c r="Q110" s="101"/>
      <c r="R110" s="70" t="s">
        <v>302</v>
      </c>
      <c r="S110" s="70"/>
      <c r="T110" s="65">
        <v>45849</v>
      </c>
      <c r="U110" s="65">
        <v>45855</v>
      </c>
      <c r="V110" s="65">
        <v>45855</v>
      </c>
      <c r="W110" s="64" t="s">
        <v>320</v>
      </c>
      <c r="X110" s="71"/>
      <c r="Y110" s="71" t="s">
        <v>321</v>
      </c>
      <c r="Z110" s="30">
        <v>1</v>
      </c>
      <c r="AA110" s="30">
        <v>1</v>
      </c>
      <c r="AB110" s="31">
        <v>485000</v>
      </c>
      <c r="AC110" s="32" t="s">
        <v>2068</v>
      </c>
    </row>
    <row r="111" spans="1:29" ht="29" x14ac:dyDescent="0.35">
      <c r="A111" s="2" t="s">
        <v>316</v>
      </c>
      <c r="B111" s="27" t="s">
        <v>365</v>
      </c>
      <c r="C111" s="66" t="s">
        <v>2069</v>
      </c>
      <c r="D111" s="65">
        <v>45855</v>
      </c>
      <c r="E111" s="26" t="s">
        <v>113</v>
      </c>
      <c r="F111" s="67" t="s">
        <v>2070</v>
      </c>
      <c r="G111" s="104" t="s">
        <v>2566</v>
      </c>
      <c r="H111" s="2" t="s">
        <v>2071</v>
      </c>
      <c r="I111" s="33">
        <v>5000800</v>
      </c>
      <c r="J111" s="33">
        <v>0</v>
      </c>
      <c r="K111" s="6">
        <v>5000800</v>
      </c>
      <c r="L111" s="69" t="s">
        <v>302</v>
      </c>
      <c r="M111" s="3"/>
      <c r="N111" s="28">
        <f>+Tabla15132[[#This Row],[VALOR TOTAL DEL CONTRATO
(en pesos)
CON IVA
(inicial)]]+Tabla15132[[#This Row],[VALOR DE LAS ADICIONES
(en pesos)
CON IVA]]</f>
        <v>5000800</v>
      </c>
      <c r="O111" s="4">
        <f>+Tabla15132[[#This Row],[FECHA TERMINACIÓN CONTRATO
(inicial)]]-Tabla15132[[#This Row],[FECHA INICIO CONTRATO]]</f>
        <v>30</v>
      </c>
      <c r="P111" s="23" t="s">
        <v>302</v>
      </c>
      <c r="Q111" s="101"/>
      <c r="R111" s="70" t="s">
        <v>302</v>
      </c>
      <c r="S111" s="70"/>
      <c r="T111" s="65">
        <v>45855</v>
      </c>
      <c r="U111" s="65">
        <v>45885</v>
      </c>
      <c r="V111" s="65">
        <v>45885</v>
      </c>
      <c r="W111" s="64" t="s">
        <v>320</v>
      </c>
      <c r="X111" s="71"/>
      <c r="Y111" s="71" t="s">
        <v>321</v>
      </c>
      <c r="Z111" s="30">
        <v>1</v>
      </c>
      <c r="AA111" s="30">
        <v>1</v>
      </c>
      <c r="AB111" s="31">
        <v>5000800</v>
      </c>
      <c r="AC111" s="32" t="s">
        <v>2072</v>
      </c>
    </row>
    <row r="112" spans="1:29" ht="29" x14ac:dyDescent="0.35">
      <c r="A112" s="2" t="s">
        <v>441</v>
      </c>
      <c r="B112" s="27" t="s">
        <v>300</v>
      </c>
      <c r="C112" s="66" t="s">
        <v>2073</v>
      </c>
      <c r="D112" s="65">
        <v>45856</v>
      </c>
      <c r="E112" s="26" t="s">
        <v>150</v>
      </c>
      <c r="F112" s="67" t="s">
        <v>2074</v>
      </c>
      <c r="G112" s="104" t="s">
        <v>2603</v>
      </c>
      <c r="H112" s="2" t="s">
        <v>2075</v>
      </c>
      <c r="I112" s="33">
        <v>2620000</v>
      </c>
      <c r="J112" s="33">
        <v>497000</v>
      </c>
      <c r="K112" s="6">
        <v>3117000</v>
      </c>
      <c r="L112" s="69" t="s">
        <v>302</v>
      </c>
      <c r="M112" s="3"/>
      <c r="N112" s="28">
        <f>+Tabla15132[[#This Row],[VALOR TOTAL DEL CONTRATO
(en pesos)
CON IVA
(inicial)]]+Tabla15132[[#This Row],[VALOR DE LAS ADICIONES
(en pesos)
CON IVA]]</f>
        <v>3117000</v>
      </c>
      <c r="O112" s="4">
        <f>+Tabla15132[[#This Row],[FECHA TERMINACIÓN CONTRATO
(inicial)]]-Tabla15132[[#This Row],[FECHA INICIO CONTRATO]]</f>
        <v>0</v>
      </c>
      <c r="P112" s="23" t="s">
        <v>302</v>
      </c>
      <c r="Q112" s="101"/>
      <c r="R112" s="70" t="s">
        <v>302</v>
      </c>
      <c r="S112" s="70"/>
      <c r="T112" s="65">
        <v>45857</v>
      </c>
      <c r="U112" s="65">
        <v>45857</v>
      </c>
      <c r="V112" s="65">
        <v>45857</v>
      </c>
      <c r="W112" s="64" t="s">
        <v>320</v>
      </c>
      <c r="X112" s="71"/>
      <c r="Y112" s="71" t="s">
        <v>321</v>
      </c>
      <c r="Z112" s="30">
        <v>1</v>
      </c>
      <c r="AA112" s="30">
        <v>1</v>
      </c>
      <c r="AB112" s="31">
        <v>2747065</v>
      </c>
      <c r="AC112" s="32" t="s">
        <v>2076</v>
      </c>
    </row>
    <row r="113" spans="1:29" ht="29" x14ac:dyDescent="0.35">
      <c r="A113" s="2" t="s">
        <v>1797</v>
      </c>
      <c r="B113" s="27" t="s">
        <v>365</v>
      </c>
      <c r="C113" s="66" t="s">
        <v>2077</v>
      </c>
      <c r="D113" s="65">
        <v>45856</v>
      </c>
      <c r="E113" s="26" t="s">
        <v>150</v>
      </c>
      <c r="F113" s="67" t="s">
        <v>2078</v>
      </c>
      <c r="G113" s="104">
        <v>43630836</v>
      </c>
      <c r="H113" s="2" t="s">
        <v>2079</v>
      </c>
      <c r="I113" s="33">
        <v>2300000</v>
      </c>
      <c r="J113" s="33">
        <v>0</v>
      </c>
      <c r="K113" s="6">
        <v>2300000</v>
      </c>
      <c r="L113" s="69" t="s">
        <v>302</v>
      </c>
      <c r="M113" s="3"/>
      <c r="N113" s="28">
        <f>+Tabla15132[[#This Row],[VALOR TOTAL DEL CONTRATO
(en pesos)
CON IVA
(inicial)]]+Tabla15132[[#This Row],[VALOR DE LAS ADICIONES
(en pesos)
CON IVA]]</f>
        <v>2300000</v>
      </c>
      <c r="O113" s="4">
        <f>+Tabla15132[[#This Row],[FECHA TERMINACIÓN CONTRATO
(inicial)]]-Tabla15132[[#This Row],[FECHA INICIO CONTRATO]]</f>
        <v>0</v>
      </c>
      <c r="P113" s="23" t="s">
        <v>302</v>
      </c>
      <c r="Q113" s="101"/>
      <c r="R113" s="70" t="s">
        <v>302</v>
      </c>
      <c r="S113" s="70"/>
      <c r="T113" s="65">
        <v>45857</v>
      </c>
      <c r="U113" s="65">
        <v>45857</v>
      </c>
      <c r="V113" s="65">
        <v>45857</v>
      </c>
      <c r="W113" s="64" t="s">
        <v>320</v>
      </c>
      <c r="X113" s="71"/>
      <c r="Y113" s="71" t="s">
        <v>321</v>
      </c>
      <c r="Z113" s="30">
        <v>1</v>
      </c>
      <c r="AA113" s="30">
        <v>1</v>
      </c>
      <c r="AB113" s="31">
        <v>2300000</v>
      </c>
      <c r="AC113" s="32" t="s">
        <v>2080</v>
      </c>
    </row>
    <row r="114" spans="1:29" ht="29" x14ac:dyDescent="0.35">
      <c r="A114" s="2" t="s">
        <v>436</v>
      </c>
      <c r="B114" s="27" t="s">
        <v>365</v>
      </c>
      <c r="C114" s="66" t="s">
        <v>2081</v>
      </c>
      <c r="D114" s="65">
        <v>45856</v>
      </c>
      <c r="E114" s="26" t="s">
        <v>150</v>
      </c>
      <c r="F114" s="67" t="s">
        <v>2082</v>
      </c>
      <c r="G114" s="104" t="s">
        <v>2590</v>
      </c>
      <c r="H114" s="2" t="s">
        <v>2083</v>
      </c>
      <c r="I114" s="33">
        <v>2564000</v>
      </c>
      <c r="J114" s="33">
        <v>0</v>
      </c>
      <c r="K114" s="6">
        <v>2564000</v>
      </c>
      <c r="L114" s="69" t="s">
        <v>302</v>
      </c>
      <c r="M114" s="3"/>
      <c r="N114" s="28">
        <f>+Tabla15132[[#This Row],[VALOR TOTAL DEL CONTRATO
(en pesos)
CON IVA
(inicial)]]+Tabla15132[[#This Row],[VALOR DE LAS ADICIONES
(en pesos)
CON IVA]]</f>
        <v>2564000</v>
      </c>
      <c r="O114" s="4">
        <f>+Tabla15132[[#This Row],[FECHA TERMINACIÓN CONTRATO
(inicial)]]-Tabla15132[[#This Row],[FECHA INICIO CONTRATO]]</f>
        <v>0</v>
      </c>
      <c r="P114" s="23" t="s">
        <v>302</v>
      </c>
      <c r="Q114" s="101"/>
      <c r="R114" s="70" t="s">
        <v>302</v>
      </c>
      <c r="S114" s="70"/>
      <c r="T114" s="65">
        <v>45864</v>
      </c>
      <c r="U114" s="65">
        <v>45864</v>
      </c>
      <c r="V114" s="65">
        <v>45864</v>
      </c>
      <c r="W114" s="64" t="s">
        <v>320</v>
      </c>
      <c r="X114" s="71"/>
      <c r="Y114" s="71" t="s">
        <v>321</v>
      </c>
      <c r="Z114" s="30">
        <v>1</v>
      </c>
      <c r="AA114" s="30">
        <v>1</v>
      </c>
      <c r="AB114" s="31">
        <v>2564000</v>
      </c>
      <c r="AC114" s="32" t="s">
        <v>2084</v>
      </c>
    </row>
    <row r="115" spans="1:29" ht="29" x14ac:dyDescent="0.35">
      <c r="A115" s="2" t="s">
        <v>444</v>
      </c>
      <c r="B115" s="27" t="s">
        <v>365</v>
      </c>
      <c r="C115" s="66" t="s">
        <v>2085</v>
      </c>
      <c r="D115" s="65">
        <v>45860</v>
      </c>
      <c r="E115" s="26" t="s">
        <v>150</v>
      </c>
      <c r="F115" s="67" t="s">
        <v>2086</v>
      </c>
      <c r="G115" s="104">
        <v>12552821</v>
      </c>
      <c r="H115" s="2" t="s">
        <v>475</v>
      </c>
      <c r="I115" s="33">
        <v>1540000</v>
      </c>
      <c r="J115" s="33">
        <v>123200</v>
      </c>
      <c r="K115" s="6">
        <v>1663200</v>
      </c>
      <c r="L115" s="69" t="s">
        <v>302</v>
      </c>
      <c r="M115" s="3"/>
      <c r="N115" s="28">
        <f>+Tabla15132[[#This Row],[VALOR TOTAL DEL CONTRATO
(en pesos)
CON IVA
(inicial)]]+Tabla15132[[#This Row],[VALOR DE LAS ADICIONES
(en pesos)
CON IVA]]</f>
        <v>1663200</v>
      </c>
      <c r="O115" s="4">
        <f>+Tabla15132[[#This Row],[FECHA TERMINACIÓN CONTRATO
(inicial)]]-Tabla15132[[#This Row],[FECHA INICIO CONTRATO]]</f>
        <v>14</v>
      </c>
      <c r="P115" s="23" t="s">
        <v>302</v>
      </c>
      <c r="Q115" s="101"/>
      <c r="R115" s="70" t="s">
        <v>302</v>
      </c>
      <c r="S115" s="70"/>
      <c r="T115" s="65">
        <v>45860</v>
      </c>
      <c r="U115" s="65">
        <v>45874</v>
      </c>
      <c r="V115" s="65">
        <v>45874</v>
      </c>
      <c r="W115" s="64" t="s">
        <v>320</v>
      </c>
      <c r="X115" s="71"/>
      <c r="Y115" s="71" t="s">
        <v>321</v>
      </c>
      <c r="Z115" s="30">
        <v>1</v>
      </c>
      <c r="AA115" s="30">
        <v>1</v>
      </c>
      <c r="AB115" s="31">
        <v>1663200</v>
      </c>
      <c r="AC115" s="32" t="s">
        <v>2087</v>
      </c>
    </row>
    <row r="116" spans="1:29" ht="29" x14ac:dyDescent="0.35">
      <c r="A116" s="2" t="s">
        <v>304</v>
      </c>
      <c r="B116" s="27" t="s">
        <v>365</v>
      </c>
      <c r="C116" s="66" t="s">
        <v>2088</v>
      </c>
      <c r="D116" s="65">
        <v>45862</v>
      </c>
      <c r="E116" s="26" t="s">
        <v>150</v>
      </c>
      <c r="F116" s="67" t="s">
        <v>2089</v>
      </c>
      <c r="G116" s="104">
        <v>1110061665</v>
      </c>
      <c r="H116" s="2" t="s">
        <v>2090</v>
      </c>
      <c r="I116" s="33">
        <v>2960000</v>
      </c>
      <c r="J116" s="33">
        <v>562400</v>
      </c>
      <c r="K116" s="6">
        <v>3522400</v>
      </c>
      <c r="L116" s="69" t="s">
        <v>302</v>
      </c>
      <c r="M116" s="3"/>
      <c r="N116" s="28">
        <f>+Tabla15132[[#This Row],[VALOR TOTAL DEL CONTRATO
(en pesos)
CON IVA
(inicial)]]+Tabla15132[[#This Row],[VALOR DE LAS ADICIONES
(en pesos)
CON IVA]]</f>
        <v>3522400</v>
      </c>
      <c r="O116" s="4">
        <f>+Tabla15132[[#This Row],[FECHA TERMINACIÓN CONTRATO
(inicial)]]-Tabla15132[[#This Row],[FECHA INICIO CONTRATO]]</f>
        <v>10</v>
      </c>
      <c r="P116" s="23" t="s">
        <v>302</v>
      </c>
      <c r="Q116" s="101"/>
      <c r="R116" s="70" t="s">
        <v>302</v>
      </c>
      <c r="S116" s="70"/>
      <c r="T116" s="65">
        <v>45863</v>
      </c>
      <c r="U116" s="65">
        <v>45873</v>
      </c>
      <c r="V116" s="65">
        <v>45873</v>
      </c>
      <c r="W116" s="64" t="s">
        <v>320</v>
      </c>
      <c r="X116" s="71"/>
      <c r="Y116" s="71" t="s">
        <v>321</v>
      </c>
      <c r="Z116" s="30">
        <v>1</v>
      </c>
      <c r="AA116" s="30">
        <v>1</v>
      </c>
      <c r="AB116" s="31">
        <v>3522400</v>
      </c>
      <c r="AC116" s="32" t="s">
        <v>2091</v>
      </c>
    </row>
    <row r="117" spans="1:29" ht="29" x14ac:dyDescent="0.35">
      <c r="A117" s="2" t="s">
        <v>315</v>
      </c>
      <c r="B117" s="27" t="s">
        <v>365</v>
      </c>
      <c r="C117" s="66" t="s">
        <v>2092</v>
      </c>
      <c r="D117" s="65">
        <v>45863</v>
      </c>
      <c r="E117" s="26" t="s">
        <v>150</v>
      </c>
      <c r="F117" s="67" t="s">
        <v>2093</v>
      </c>
      <c r="G117" s="104">
        <v>1100691246</v>
      </c>
      <c r="H117" s="2" t="s">
        <v>2094</v>
      </c>
      <c r="I117" s="33">
        <v>1460000</v>
      </c>
      <c r="J117" s="33">
        <v>0</v>
      </c>
      <c r="K117" s="6">
        <v>1460000</v>
      </c>
      <c r="L117" s="69" t="s">
        <v>302</v>
      </c>
      <c r="M117" s="3"/>
      <c r="N117" s="28">
        <f>+Tabla15132[[#This Row],[VALOR TOTAL DEL CONTRATO
(en pesos)
CON IVA
(inicial)]]+Tabla15132[[#This Row],[VALOR DE LAS ADICIONES
(en pesos)
CON IVA]]</f>
        <v>1460000</v>
      </c>
      <c r="O117" s="4">
        <f>+Tabla15132[[#This Row],[FECHA TERMINACIÓN CONTRATO
(inicial)]]-Tabla15132[[#This Row],[FECHA INICIO CONTRATO]]</f>
        <v>12</v>
      </c>
      <c r="P117" s="23" t="s">
        <v>302</v>
      </c>
      <c r="Q117" s="101"/>
      <c r="R117" s="70" t="s">
        <v>302</v>
      </c>
      <c r="S117" s="70"/>
      <c r="T117" s="65">
        <v>45863</v>
      </c>
      <c r="U117" s="65">
        <v>45875</v>
      </c>
      <c r="V117" s="65">
        <v>45875</v>
      </c>
      <c r="W117" s="64" t="s">
        <v>320</v>
      </c>
      <c r="X117" s="71"/>
      <c r="Y117" s="71" t="s">
        <v>321</v>
      </c>
      <c r="Z117" s="30">
        <v>1</v>
      </c>
      <c r="AA117" s="30">
        <v>1</v>
      </c>
      <c r="AB117" s="31">
        <v>1460000</v>
      </c>
      <c r="AC117" s="32" t="s">
        <v>2095</v>
      </c>
    </row>
    <row r="118" spans="1:29" ht="29" x14ac:dyDescent="0.35">
      <c r="A118" s="2" t="s">
        <v>309</v>
      </c>
      <c r="B118" s="27" t="s">
        <v>365</v>
      </c>
      <c r="C118" s="66" t="s">
        <v>2096</v>
      </c>
      <c r="D118" s="65">
        <v>45856</v>
      </c>
      <c r="E118" s="26" t="s">
        <v>150</v>
      </c>
      <c r="F118" s="67" t="s">
        <v>2097</v>
      </c>
      <c r="G118" s="104">
        <v>900594137</v>
      </c>
      <c r="H118" s="2" t="s">
        <v>2098</v>
      </c>
      <c r="I118" s="33">
        <v>3160000</v>
      </c>
      <c r="J118" s="33">
        <v>229818</v>
      </c>
      <c r="K118" s="6">
        <v>3389818</v>
      </c>
      <c r="L118" s="69" t="s">
        <v>302</v>
      </c>
      <c r="M118" s="3"/>
      <c r="N118" s="28">
        <f>+Tabla15132[[#This Row],[VALOR TOTAL DEL CONTRATO
(en pesos)
CON IVA
(inicial)]]+Tabla15132[[#This Row],[VALOR DE LAS ADICIONES
(en pesos)
CON IVA]]</f>
        <v>3389818</v>
      </c>
      <c r="O118" s="4">
        <f>+Tabla15132[[#This Row],[FECHA TERMINACIÓN CONTRATO
(inicial)]]-Tabla15132[[#This Row],[FECHA INICIO CONTRATO]]</f>
        <v>8</v>
      </c>
      <c r="P118" s="23" t="s">
        <v>302</v>
      </c>
      <c r="Q118" s="101"/>
      <c r="R118" s="70" t="s">
        <v>302</v>
      </c>
      <c r="S118" s="70"/>
      <c r="T118" s="65">
        <v>45856</v>
      </c>
      <c r="U118" s="65">
        <v>45864</v>
      </c>
      <c r="V118" s="65">
        <v>45864</v>
      </c>
      <c r="W118" s="64" t="s">
        <v>320</v>
      </c>
      <c r="X118" s="71"/>
      <c r="Y118" s="71" t="s">
        <v>321</v>
      </c>
      <c r="Z118" s="30">
        <v>1</v>
      </c>
      <c r="AA118" s="30">
        <v>1</v>
      </c>
      <c r="AB118" s="31">
        <v>3389818</v>
      </c>
      <c r="AC118" s="32" t="s">
        <v>2099</v>
      </c>
    </row>
    <row r="119" spans="1:29" ht="29" x14ac:dyDescent="0.35">
      <c r="A119" s="2" t="s">
        <v>319</v>
      </c>
      <c r="B119" s="27" t="s">
        <v>365</v>
      </c>
      <c r="C119" s="66" t="s">
        <v>2100</v>
      </c>
      <c r="D119" s="65">
        <v>45862</v>
      </c>
      <c r="E119" s="26" t="s">
        <v>113</v>
      </c>
      <c r="F119" s="67" t="s">
        <v>2101</v>
      </c>
      <c r="G119" s="104">
        <v>5348893</v>
      </c>
      <c r="H119" s="2" t="s">
        <v>445</v>
      </c>
      <c r="I119" s="33">
        <v>4699000</v>
      </c>
      <c r="J119" s="33">
        <v>0</v>
      </c>
      <c r="K119" s="6">
        <v>4699000</v>
      </c>
      <c r="L119" s="69" t="s">
        <v>302</v>
      </c>
      <c r="M119" s="3"/>
      <c r="N119" s="28">
        <f>+Tabla15132[[#This Row],[VALOR TOTAL DEL CONTRATO
(en pesos)
CON IVA
(inicial)]]+Tabla15132[[#This Row],[VALOR DE LAS ADICIONES
(en pesos)
CON IVA]]</f>
        <v>4699000</v>
      </c>
      <c r="O119" s="4">
        <f>+Tabla15132[[#This Row],[FECHA TERMINACIÓN CONTRATO
(inicial)]]-Tabla15132[[#This Row],[FECHA INICIO CONTRATO]]</f>
        <v>152</v>
      </c>
      <c r="P119" s="23" t="s">
        <v>302</v>
      </c>
      <c r="Q119" s="101"/>
      <c r="R119" s="70" t="s">
        <v>302</v>
      </c>
      <c r="S119" s="70"/>
      <c r="T119" s="65">
        <v>45862</v>
      </c>
      <c r="U119" s="65">
        <v>46014</v>
      </c>
      <c r="V119" s="65">
        <v>46014</v>
      </c>
      <c r="W119" s="64" t="s">
        <v>320</v>
      </c>
      <c r="X119" s="71"/>
      <c r="Y119" s="71" t="s">
        <v>321</v>
      </c>
      <c r="Z119" s="30">
        <v>1</v>
      </c>
      <c r="AA119" s="30">
        <v>1</v>
      </c>
      <c r="AB119" s="31">
        <v>4699000</v>
      </c>
      <c r="AC119" s="32" t="s">
        <v>2102</v>
      </c>
    </row>
    <row r="120" spans="1:29" ht="29" x14ac:dyDescent="0.35">
      <c r="A120" s="2" t="s">
        <v>310</v>
      </c>
      <c r="B120" s="27" t="s">
        <v>365</v>
      </c>
      <c r="C120" s="66" t="s">
        <v>2103</v>
      </c>
      <c r="D120" s="65">
        <v>45867</v>
      </c>
      <c r="E120" s="26" t="s">
        <v>113</v>
      </c>
      <c r="F120" s="67" t="s">
        <v>2104</v>
      </c>
      <c r="G120" s="104" t="s">
        <v>1637</v>
      </c>
      <c r="H120" s="2" t="s">
        <v>1098</v>
      </c>
      <c r="I120" s="33">
        <v>1875000</v>
      </c>
      <c r="J120" s="33">
        <v>356250</v>
      </c>
      <c r="K120" s="6">
        <v>2231250</v>
      </c>
      <c r="L120" s="69" t="s">
        <v>302</v>
      </c>
      <c r="M120" s="3"/>
      <c r="N120" s="28">
        <f>+Tabla15132[[#This Row],[VALOR TOTAL DEL CONTRATO
(en pesos)
CON IVA
(inicial)]]+Tabla15132[[#This Row],[VALOR DE LAS ADICIONES
(en pesos)
CON IVA]]</f>
        <v>2231250</v>
      </c>
      <c r="O120" s="4">
        <f>+Tabla15132[[#This Row],[FECHA TERMINACIÓN CONTRATO
(inicial)]]-Tabla15132[[#This Row],[FECHA INICIO CONTRATO]]</f>
        <v>60</v>
      </c>
      <c r="P120" s="23" t="s">
        <v>302</v>
      </c>
      <c r="Q120" s="101"/>
      <c r="R120" s="70" t="s">
        <v>302</v>
      </c>
      <c r="S120" s="70"/>
      <c r="T120" s="65">
        <v>45867</v>
      </c>
      <c r="U120" s="65">
        <v>45927</v>
      </c>
      <c r="V120" s="65">
        <v>45927</v>
      </c>
      <c r="W120" s="64" t="s">
        <v>320</v>
      </c>
      <c r="X120" s="71"/>
      <c r="Y120" s="71" t="s">
        <v>321</v>
      </c>
      <c r="Z120" s="30">
        <v>1</v>
      </c>
      <c r="AA120" s="30">
        <v>1</v>
      </c>
      <c r="AB120" s="31">
        <v>2231250</v>
      </c>
      <c r="AC120" s="32" t="s">
        <v>2105</v>
      </c>
    </row>
    <row r="121" spans="1:29" ht="29" x14ac:dyDescent="0.35">
      <c r="A121" s="2" t="s">
        <v>299</v>
      </c>
      <c r="B121" s="27" t="s">
        <v>365</v>
      </c>
      <c r="C121" s="66" t="s">
        <v>2106</v>
      </c>
      <c r="D121" s="65">
        <v>45870</v>
      </c>
      <c r="E121" s="26" t="s">
        <v>113</v>
      </c>
      <c r="F121" s="67" t="s">
        <v>2107</v>
      </c>
      <c r="G121" s="104">
        <v>5348893</v>
      </c>
      <c r="H121" s="2" t="s">
        <v>445</v>
      </c>
      <c r="I121" s="33">
        <v>50300000</v>
      </c>
      <c r="J121" s="33">
        <v>0</v>
      </c>
      <c r="K121" s="6">
        <v>50300000</v>
      </c>
      <c r="L121" s="69" t="s">
        <v>302</v>
      </c>
      <c r="M121" s="3"/>
      <c r="N121" s="28">
        <f>+Tabla15132[[#This Row],[VALOR TOTAL DEL CONTRATO
(en pesos)
CON IVA
(inicial)]]+Tabla15132[[#This Row],[VALOR DE LAS ADICIONES
(en pesos)
CON IVA]]</f>
        <v>50300000</v>
      </c>
      <c r="O121" s="4">
        <f>+Tabla15132[[#This Row],[FECHA TERMINACIÓN CONTRATO
(inicial)]]-Tabla15132[[#This Row],[FECHA INICIO CONTRATO]]</f>
        <v>365</v>
      </c>
      <c r="P121" s="23" t="s">
        <v>302</v>
      </c>
      <c r="Q121" s="101"/>
      <c r="R121" s="70" t="s">
        <v>302</v>
      </c>
      <c r="S121" s="70"/>
      <c r="T121" s="65">
        <v>45875</v>
      </c>
      <c r="U121" s="65">
        <v>46240</v>
      </c>
      <c r="V121" s="65">
        <v>46240</v>
      </c>
      <c r="W121" s="64" t="s">
        <v>320</v>
      </c>
      <c r="X121" s="71"/>
      <c r="Y121" s="71" t="s">
        <v>321</v>
      </c>
      <c r="Z121" s="30">
        <v>0.98399999999999999</v>
      </c>
      <c r="AA121" s="30">
        <v>0.98399999999999999</v>
      </c>
      <c r="AB121" s="31">
        <v>49500000</v>
      </c>
      <c r="AC121" s="32" t="s">
        <v>2108</v>
      </c>
    </row>
    <row r="122" spans="1:29" ht="29" x14ac:dyDescent="0.35">
      <c r="A122" s="2" t="s">
        <v>308</v>
      </c>
      <c r="B122" s="27" t="s">
        <v>365</v>
      </c>
      <c r="C122" s="66" t="s">
        <v>2109</v>
      </c>
      <c r="D122" s="65">
        <v>45869</v>
      </c>
      <c r="E122" s="26" t="s">
        <v>150</v>
      </c>
      <c r="F122" s="67" t="s">
        <v>2110</v>
      </c>
      <c r="G122" s="104" t="s">
        <v>2591</v>
      </c>
      <c r="H122" s="2" t="s">
        <v>2111</v>
      </c>
      <c r="I122" s="33">
        <v>1558140</v>
      </c>
      <c r="J122" s="33">
        <v>135260</v>
      </c>
      <c r="K122" s="6">
        <v>1693400</v>
      </c>
      <c r="L122" s="69" t="s">
        <v>302</v>
      </c>
      <c r="M122" s="3"/>
      <c r="N122" s="28">
        <f>+Tabla15132[[#This Row],[VALOR TOTAL DEL CONTRATO
(en pesos)
CON IVA
(inicial)]]+Tabla15132[[#This Row],[VALOR DE LAS ADICIONES
(en pesos)
CON IVA]]</f>
        <v>1693400</v>
      </c>
      <c r="O122" s="4">
        <f>+Tabla15132[[#This Row],[FECHA TERMINACIÓN CONTRATO
(inicial)]]-Tabla15132[[#This Row],[FECHA INICIO CONTRATO]]</f>
        <v>9</v>
      </c>
      <c r="P122" s="23" t="s">
        <v>302</v>
      </c>
      <c r="Q122" s="101"/>
      <c r="R122" s="70" t="s">
        <v>302</v>
      </c>
      <c r="S122" s="70"/>
      <c r="T122" s="65">
        <v>45869</v>
      </c>
      <c r="U122" s="65">
        <v>45878</v>
      </c>
      <c r="V122" s="65">
        <v>45878</v>
      </c>
      <c r="W122" s="64" t="s">
        <v>320</v>
      </c>
      <c r="X122" s="71"/>
      <c r="Y122" s="71" t="s">
        <v>321</v>
      </c>
      <c r="Z122" s="30">
        <v>1</v>
      </c>
      <c r="AA122" s="30">
        <v>1</v>
      </c>
      <c r="AB122" s="31">
        <v>1693400</v>
      </c>
      <c r="AC122" s="32" t="s">
        <v>2112</v>
      </c>
    </row>
    <row r="123" spans="1:29" ht="29" x14ac:dyDescent="0.35">
      <c r="A123" s="2" t="s">
        <v>435</v>
      </c>
      <c r="B123" s="27" t="s">
        <v>365</v>
      </c>
      <c r="C123" s="66" t="s">
        <v>2113</v>
      </c>
      <c r="D123" s="65">
        <v>45869</v>
      </c>
      <c r="E123" s="26" t="s">
        <v>150</v>
      </c>
      <c r="F123" s="67" t="s">
        <v>2114</v>
      </c>
      <c r="G123" s="104" t="s">
        <v>2631</v>
      </c>
      <c r="H123" s="2" t="s">
        <v>2115</v>
      </c>
      <c r="I123" s="33">
        <v>2850111</v>
      </c>
      <c r="J123" s="33">
        <v>170889</v>
      </c>
      <c r="K123" s="6">
        <v>3021000</v>
      </c>
      <c r="L123" s="69" t="s">
        <v>302</v>
      </c>
      <c r="M123" s="3"/>
      <c r="N123" s="28">
        <f>+Tabla15132[[#This Row],[VALOR TOTAL DEL CONTRATO
(en pesos)
CON IVA
(inicial)]]+Tabla15132[[#This Row],[VALOR DE LAS ADICIONES
(en pesos)
CON IVA]]</f>
        <v>3021000</v>
      </c>
      <c r="O123" s="4">
        <f>+Tabla15132[[#This Row],[FECHA TERMINACIÓN CONTRATO
(inicial)]]-Tabla15132[[#This Row],[FECHA INICIO CONTRATO]]</f>
        <v>0</v>
      </c>
      <c r="P123" s="23" t="s">
        <v>302</v>
      </c>
      <c r="Q123" s="101"/>
      <c r="R123" s="70" t="s">
        <v>302</v>
      </c>
      <c r="S123" s="70"/>
      <c r="T123" s="65">
        <v>45870</v>
      </c>
      <c r="U123" s="65">
        <v>45870</v>
      </c>
      <c r="V123" s="65">
        <v>45870</v>
      </c>
      <c r="W123" s="64" t="s">
        <v>320</v>
      </c>
      <c r="X123" s="71"/>
      <c r="Y123" s="71" t="s">
        <v>321</v>
      </c>
      <c r="Z123" s="30">
        <v>1</v>
      </c>
      <c r="AA123" s="30">
        <v>1</v>
      </c>
      <c r="AB123" s="31">
        <v>3021000</v>
      </c>
      <c r="AC123" s="32" t="s">
        <v>2116</v>
      </c>
    </row>
    <row r="124" spans="1:29" ht="29" x14ac:dyDescent="0.35">
      <c r="A124" s="2" t="s">
        <v>1797</v>
      </c>
      <c r="B124" s="27" t="s">
        <v>365</v>
      </c>
      <c r="C124" s="66" t="s">
        <v>2117</v>
      </c>
      <c r="D124" s="65">
        <v>45870</v>
      </c>
      <c r="E124" s="26" t="s">
        <v>113</v>
      </c>
      <c r="F124" s="67" t="s">
        <v>2118</v>
      </c>
      <c r="G124" s="104">
        <v>76304191</v>
      </c>
      <c r="H124" s="2" t="s">
        <v>476</v>
      </c>
      <c r="I124" s="33">
        <v>4900000</v>
      </c>
      <c r="J124" s="33">
        <v>0</v>
      </c>
      <c r="K124" s="6">
        <v>4900000</v>
      </c>
      <c r="L124" s="69" t="s">
        <v>302</v>
      </c>
      <c r="M124" s="3"/>
      <c r="N124" s="28">
        <f>+Tabla15132[[#This Row],[VALOR TOTAL DEL CONTRATO
(en pesos)
CON IVA
(inicial)]]+Tabla15132[[#This Row],[VALOR DE LAS ADICIONES
(en pesos)
CON IVA]]</f>
        <v>4900000</v>
      </c>
      <c r="O124" s="4">
        <f>+Tabla15132[[#This Row],[FECHA TERMINACIÓN CONTRATO
(inicial)]]-Tabla15132[[#This Row],[FECHA INICIO CONTRATO]]</f>
        <v>4</v>
      </c>
      <c r="P124" s="23" t="s">
        <v>302</v>
      </c>
      <c r="Q124" s="101"/>
      <c r="R124" s="70" t="s">
        <v>302</v>
      </c>
      <c r="S124" s="70"/>
      <c r="T124" s="65">
        <v>45870</v>
      </c>
      <c r="U124" s="65">
        <v>45874</v>
      </c>
      <c r="V124" s="65">
        <v>45874</v>
      </c>
      <c r="W124" s="64" t="s">
        <v>320</v>
      </c>
      <c r="X124" s="71"/>
      <c r="Y124" s="71" t="s">
        <v>321</v>
      </c>
      <c r="Z124" s="30">
        <v>1</v>
      </c>
      <c r="AA124" s="30">
        <v>1</v>
      </c>
      <c r="AB124" s="31">
        <v>4900000</v>
      </c>
      <c r="AC124" s="32" t="s">
        <v>2119</v>
      </c>
    </row>
    <row r="125" spans="1:29" ht="29" x14ac:dyDescent="0.35">
      <c r="A125" s="2" t="s">
        <v>316</v>
      </c>
      <c r="B125" s="27" t="s">
        <v>365</v>
      </c>
      <c r="C125" s="66" t="s">
        <v>2120</v>
      </c>
      <c r="D125" s="65">
        <v>45873</v>
      </c>
      <c r="E125" s="26" t="s">
        <v>150</v>
      </c>
      <c r="F125" s="67" t="s">
        <v>2121</v>
      </c>
      <c r="G125" s="104" t="s">
        <v>2558</v>
      </c>
      <c r="H125" s="2" t="s">
        <v>1853</v>
      </c>
      <c r="I125" s="33">
        <v>1520000</v>
      </c>
      <c r="J125" s="33">
        <v>121600</v>
      </c>
      <c r="K125" s="6">
        <v>1641600</v>
      </c>
      <c r="L125" s="69" t="s">
        <v>302</v>
      </c>
      <c r="M125" s="3"/>
      <c r="N125" s="28">
        <f>+Tabla15132[[#This Row],[VALOR TOTAL DEL CONTRATO
(en pesos)
CON IVA
(inicial)]]+Tabla15132[[#This Row],[VALOR DE LAS ADICIONES
(en pesos)
CON IVA]]</f>
        <v>1641600</v>
      </c>
      <c r="O125" s="4">
        <f>+Tabla15132[[#This Row],[FECHA TERMINACIÓN CONTRATO
(inicial)]]-Tabla15132[[#This Row],[FECHA INICIO CONTRATO]]</f>
        <v>0</v>
      </c>
      <c r="P125" s="23" t="s">
        <v>302</v>
      </c>
      <c r="Q125" s="101"/>
      <c r="R125" s="70" t="s">
        <v>302</v>
      </c>
      <c r="S125" s="70"/>
      <c r="T125" s="65">
        <v>45875</v>
      </c>
      <c r="U125" s="65">
        <v>45875</v>
      </c>
      <c r="V125" s="65">
        <v>45875</v>
      </c>
      <c r="W125" s="64" t="s">
        <v>320</v>
      </c>
      <c r="X125" s="71"/>
      <c r="Y125" s="71" t="s">
        <v>321</v>
      </c>
      <c r="Z125" s="30">
        <v>1</v>
      </c>
      <c r="AA125" s="30">
        <v>1</v>
      </c>
      <c r="AB125" s="31">
        <v>1641588</v>
      </c>
      <c r="AC125" s="32" t="s">
        <v>2122</v>
      </c>
    </row>
    <row r="126" spans="1:29" ht="29" x14ac:dyDescent="0.35">
      <c r="A126" s="2" t="s">
        <v>314</v>
      </c>
      <c r="B126" s="27" t="s">
        <v>365</v>
      </c>
      <c r="C126" s="66" t="s">
        <v>2123</v>
      </c>
      <c r="D126" s="65">
        <v>45874</v>
      </c>
      <c r="E126" s="26" t="s">
        <v>150</v>
      </c>
      <c r="F126" s="67" t="s">
        <v>2124</v>
      </c>
      <c r="G126" s="104" t="s">
        <v>2567</v>
      </c>
      <c r="H126" s="2" t="s">
        <v>2125</v>
      </c>
      <c r="I126" s="33">
        <v>2080000</v>
      </c>
      <c r="J126" s="33">
        <v>395200</v>
      </c>
      <c r="K126" s="6">
        <v>2475200</v>
      </c>
      <c r="L126" s="69" t="s">
        <v>302</v>
      </c>
      <c r="M126" s="3"/>
      <c r="N126" s="28">
        <f>+Tabla15132[[#This Row],[VALOR TOTAL DEL CONTRATO
(en pesos)
CON IVA
(inicial)]]+Tabla15132[[#This Row],[VALOR DE LAS ADICIONES
(en pesos)
CON IVA]]</f>
        <v>2475200</v>
      </c>
      <c r="O126" s="4">
        <f>+Tabla15132[[#This Row],[FECHA TERMINACIÓN CONTRATO
(inicial)]]-Tabla15132[[#This Row],[FECHA INICIO CONTRATO]]</f>
        <v>1</v>
      </c>
      <c r="P126" s="23" t="s">
        <v>302</v>
      </c>
      <c r="Q126" s="101"/>
      <c r="R126" s="70" t="s">
        <v>302</v>
      </c>
      <c r="S126" s="70"/>
      <c r="T126" s="65">
        <v>45875</v>
      </c>
      <c r="U126" s="65">
        <v>45876</v>
      </c>
      <c r="V126" s="65">
        <v>45876</v>
      </c>
      <c r="W126" s="64" t="s">
        <v>320</v>
      </c>
      <c r="X126" s="71"/>
      <c r="Y126" s="71" t="s">
        <v>321</v>
      </c>
      <c r="Z126" s="30">
        <v>0.92800000000000005</v>
      </c>
      <c r="AA126" s="30">
        <v>0.92800000000000005</v>
      </c>
      <c r="AB126" s="31">
        <v>2297040</v>
      </c>
      <c r="AC126" s="32" t="s">
        <v>2126</v>
      </c>
    </row>
    <row r="127" spans="1:29" ht="29" x14ac:dyDescent="0.35">
      <c r="A127" s="2" t="s">
        <v>307</v>
      </c>
      <c r="B127" s="27" t="s">
        <v>365</v>
      </c>
      <c r="C127" s="66" t="s">
        <v>2127</v>
      </c>
      <c r="D127" s="65">
        <v>45874</v>
      </c>
      <c r="E127" s="26" t="s">
        <v>150</v>
      </c>
      <c r="F127" s="67" t="s">
        <v>2128</v>
      </c>
      <c r="G127" s="104" t="s">
        <v>2609</v>
      </c>
      <c r="H127" s="2" t="s">
        <v>2129</v>
      </c>
      <c r="I127" s="33">
        <v>1400000</v>
      </c>
      <c r="J127" s="33">
        <v>112000</v>
      </c>
      <c r="K127" s="6">
        <v>1512000</v>
      </c>
      <c r="L127" s="69" t="s">
        <v>302</v>
      </c>
      <c r="M127" s="3"/>
      <c r="N127" s="28">
        <f>+Tabla15132[[#This Row],[VALOR TOTAL DEL CONTRATO
(en pesos)
CON IVA
(inicial)]]+Tabla15132[[#This Row],[VALOR DE LAS ADICIONES
(en pesos)
CON IVA]]</f>
        <v>1512000</v>
      </c>
      <c r="O127" s="4">
        <f>+Tabla15132[[#This Row],[FECHA TERMINACIÓN CONTRATO
(inicial)]]-Tabla15132[[#This Row],[FECHA INICIO CONTRATO]]</f>
        <v>0</v>
      </c>
      <c r="P127" s="23" t="s">
        <v>302</v>
      </c>
      <c r="Q127" s="101"/>
      <c r="R127" s="70" t="s">
        <v>302</v>
      </c>
      <c r="S127" s="70"/>
      <c r="T127" s="65">
        <v>45875</v>
      </c>
      <c r="U127" s="65">
        <v>45875</v>
      </c>
      <c r="V127" s="65">
        <v>45875</v>
      </c>
      <c r="W127" s="64" t="s">
        <v>320</v>
      </c>
      <c r="X127" s="71"/>
      <c r="Y127" s="71" t="s">
        <v>321</v>
      </c>
      <c r="Z127" s="30">
        <v>1</v>
      </c>
      <c r="AA127" s="30">
        <v>1</v>
      </c>
      <c r="AB127" s="31">
        <v>1512000</v>
      </c>
      <c r="AC127" s="32" t="s">
        <v>2130</v>
      </c>
    </row>
    <row r="128" spans="1:29" ht="29" x14ac:dyDescent="0.35">
      <c r="A128" s="2" t="s">
        <v>305</v>
      </c>
      <c r="B128" s="27" t="s">
        <v>365</v>
      </c>
      <c r="C128" s="66" t="s">
        <v>2131</v>
      </c>
      <c r="D128" s="65">
        <v>45874</v>
      </c>
      <c r="E128" s="26" t="s">
        <v>150</v>
      </c>
      <c r="F128" s="67" t="s">
        <v>2132</v>
      </c>
      <c r="G128" s="104">
        <v>50929989</v>
      </c>
      <c r="H128" s="2" t="s">
        <v>1888</v>
      </c>
      <c r="I128" s="33">
        <v>1280000</v>
      </c>
      <c r="J128" s="33">
        <v>102400</v>
      </c>
      <c r="K128" s="6">
        <v>1382400</v>
      </c>
      <c r="L128" s="69" t="s">
        <v>302</v>
      </c>
      <c r="M128" s="3"/>
      <c r="N128" s="28">
        <f>+Tabla15132[[#This Row],[VALOR TOTAL DEL CONTRATO
(en pesos)
CON IVA
(inicial)]]+Tabla15132[[#This Row],[VALOR DE LAS ADICIONES
(en pesos)
CON IVA]]</f>
        <v>1382400</v>
      </c>
      <c r="O128" s="4">
        <f>+Tabla15132[[#This Row],[FECHA TERMINACIÓN CONTRATO
(inicial)]]-Tabla15132[[#This Row],[FECHA INICIO CONTRATO]]</f>
        <v>0</v>
      </c>
      <c r="P128" s="23" t="s">
        <v>302</v>
      </c>
      <c r="Q128" s="101"/>
      <c r="R128" s="70" t="s">
        <v>302</v>
      </c>
      <c r="S128" s="70"/>
      <c r="T128" s="65">
        <v>45875</v>
      </c>
      <c r="U128" s="65">
        <v>45875</v>
      </c>
      <c r="V128" s="65">
        <v>45875</v>
      </c>
      <c r="W128" s="64" t="s">
        <v>320</v>
      </c>
      <c r="X128" s="71"/>
      <c r="Y128" s="71" t="s">
        <v>321</v>
      </c>
      <c r="Z128" s="30">
        <v>0.99860000000000004</v>
      </c>
      <c r="AA128" s="30">
        <v>0.99860000000000004</v>
      </c>
      <c r="AB128" s="31">
        <v>1380586.14</v>
      </c>
      <c r="AC128" s="32" t="s">
        <v>2133</v>
      </c>
    </row>
    <row r="129" spans="1:29" ht="29" x14ac:dyDescent="0.35">
      <c r="A129" s="2" t="s">
        <v>317</v>
      </c>
      <c r="B129" s="27" t="s">
        <v>365</v>
      </c>
      <c r="C129" s="66" t="s">
        <v>2134</v>
      </c>
      <c r="D129" s="65">
        <v>45874</v>
      </c>
      <c r="E129" s="26" t="s">
        <v>150</v>
      </c>
      <c r="F129" s="67" t="s">
        <v>2135</v>
      </c>
      <c r="G129" s="104" t="s">
        <v>2550</v>
      </c>
      <c r="H129" s="2" t="s">
        <v>2136</v>
      </c>
      <c r="I129" s="33">
        <v>3775234</v>
      </c>
      <c r="J129" s="33">
        <v>374766</v>
      </c>
      <c r="K129" s="6">
        <v>4150000</v>
      </c>
      <c r="L129" s="69" t="s">
        <v>302</v>
      </c>
      <c r="M129" s="3"/>
      <c r="N129" s="28">
        <f>+Tabla15132[[#This Row],[VALOR TOTAL DEL CONTRATO
(en pesos)
CON IVA
(inicial)]]+Tabla15132[[#This Row],[VALOR DE LAS ADICIONES
(en pesos)
CON IVA]]</f>
        <v>4150000</v>
      </c>
      <c r="O129" s="4">
        <v>1</v>
      </c>
      <c r="P129" s="23" t="s">
        <v>302</v>
      </c>
      <c r="Q129" s="101">
        <v>0</v>
      </c>
      <c r="R129" s="70" t="s">
        <v>302</v>
      </c>
      <c r="S129" s="70"/>
      <c r="T129" s="65">
        <v>45875</v>
      </c>
      <c r="U129" s="65">
        <v>45875</v>
      </c>
      <c r="V129" s="65">
        <v>45875</v>
      </c>
      <c r="W129" s="64" t="s">
        <v>320</v>
      </c>
      <c r="X129" s="71"/>
      <c r="Y129" s="71" t="s">
        <v>321</v>
      </c>
      <c r="Z129" s="30">
        <v>1</v>
      </c>
      <c r="AA129" s="30">
        <v>1</v>
      </c>
      <c r="AB129" s="31">
        <v>4150000</v>
      </c>
      <c r="AC129" s="32" t="s">
        <v>2137</v>
      </c>
    </row>
    <row r="130" spans="1:29" ht="29" x14ac:dyDescent="0.35">
      <c r="A130" s="2" t="s">
        <v>1797</v>
      </c>
      <c r="B130" s="27" t="s">
        <v>365</v>
      </c>
      <c r="C130" s="66" t="s">
        <v>2138</v>
      </c>
      <c r="D130" s="65">
        <v>45874</v>
      </c>
      <c r="E130" s="26" t="s">
        <v>150</v>
      </c>
      <c r="F130" s="67" t="s">
        <v>2139</v>
      </c>
      <c r="G130" s="104" t="s">
        <v>2610</v>
      </c>
      <c r="H130" s="2" t="s">
        <v>2140</v>
      </c>
      <c r="I130" s="33">
        <v>1180000</v>
      </c>
      <c r="J130" s="33">
        <v>94400</v>
      </c>
      <c r="K130" s="6">
        <v>1274400</v>
      </c>
      <c r="L130" s="69" t="s">
        <v>302</v>
      </c>
      <c r="M130" s="3"/>
      <c r="N130" s="28">
        <f>+Tabla15132[[#This Row],[VALOR TOTAL DEL CONTRATO
(en pesos)
CON IVA
(inicial)]]+Tabla15132[[#This Row],[VALOR DE LAS ADICIONES
(en pesos)
CON IVA]]</f>
        <v>1274400</v>
      </c>
      <c r="O130" s="4">
        <f>+Tabla15132[[#This Row],[FECHA TERMINACIÓN CONTRATO
(inicial)]]-Tabla15132[[#This Row],[FECHA INICIO CONTRATO]]</f>
        <v>0</v>
      </c>
      <c r="P130" s="23" t="s">
        <v>302</v>
      </c>
      <c r="Q130" s="101"/>
      <c r="R130" s="70" t="s">
        <v>302</v>
      </c>
      <c r="S130" s="70"/>
      <c r="T130" s="65">
        <v>45875</v>
      </c>
      <c r="U130" s="65">
        <v>45875</v>
      </c>
      <c r="V130" s="65">
        <v>45875</v>
      </c>
      <c r="W130" s="64" t="s">
        <v>320</v>
      </c>
      <c r="X130" s="71"/>
      <c r="Y130" s="71" t="s">
        <v>321</v>
      </c>
      <c r="Z130" s="30">
        <v>0.98</v>
      </c>
      <c r="AA130" s="30">
        <v>0.98</v>
      </c>
      <c r="AB130" s="31">
        <v>1252050</v>
      </c>
      <c r="AC130" s="32" t="s">
        <v>2141</v>
      </c>
    </row>
    <row r="131" spans="1:29" ht="29" x14ac:dyDescent="0.35">
      <c r="A131" s="2" t="s">
        <v>328</v>
      </c>
      <c r="B131" s="27" t="s">
        <v>365</v>
      </c>
      <c r="C131" s="66" t="s">
        <v>2142</v>
      </c>
      <c r="D131" s="65">
        <v>45875</v>
      </c>
      <c r="E131" s="26" t="s">
        <v>150</v>
      </c>
      <c r="F131" s="67" t="s">
        <v>2132</v>
      </c>
      <c r="G131" s="104" t="s">
        <v>2628</v>
      </c>
      <c r="H131" s="2" t="s">
        <v>1857</v>
      </c>
      <c r="I131" s="33">
        <v>1241261</v>
      </c>
      <c r="J131" s="33">
        <v>235839</v>
      </c>
      <c r="K131" s="6">
        <v>1477100</v>
      </c>
      <c r="L131" s="69" t="s">
        <v>302</v>
      </c>
      <c r="M131" s="3"/>
      <c r="N131" s="28">
        <f>+Tabla15132[[#This Row],[VALOR TOTAL DEL CONTRATO
(en pesos)
CON IVA
(inicial)]]+Tabla15132[[#This Row],[VALOR DE LAS ADICIONES
(en pesos)
CON IVA]]</f>
        <v>1477100</v>
      </c>
      <c r="O131" s="4">
        <f>+Tabla15132[[#This Row],[FECHA TERMINACIÓN CONTRATO
(inicial)]]-Tabla15132[[#This Row],[FECHA INICIO CONTRATO]]</f>
        <v>0</v>
      </c>
      <c r="P131" s="23" t="s">
        <v>302</v>
      </c>
      <c r="Q131" s="101"/>
      <c r="R131" s="70" t="s">
        <v>302</v>
      </c>
      <c r="S131" s="70"/>
      <c r="T131" s="65">
        <v>45875</v>
      </c>
      <c r="U131" s="65">
        <v>45875</v>
      </c>
      <c r="V131" s="65">
        <v>45875</v>
      </c>
      <c r="W131" s="64" t="s">
        <v>320</v>
      </c>
      <c r="X131" s="71"/>
      <c r="Y131" s="71" t="s">
        <v>321</v>
      </c>
      <c r="Z131" s="30">
        <v>1</v>
      </c>
      <c r="AA131" s="30">
        <v>1</v>
      </c>
      <c r="AB131" s="31">
        <v>1477100</v>
      </c>
      <c r="AC131" s="32" t="s">
        <v>2143</v>
      </c>
    </row>
    <row r="132" spans="1:29" ht="29" x14ac:dyDescent="0.35">
      <c r="A132" s="2" t="s">
        <v>310</v>
      </c>
      <c r="B132" s="27" t="s">
        <v>365</v>
      </c>
      <c r="C132" s="66" t="s">
        <v>2144</v>
      </c>
      <c r="D132" s="65">
        <v>45873</v>
      </c>
      <c r="E132" s="26" t="s">
        <v>150</v>
      </c>
      <c r="F132" s="67" t="s">
        <v>2145</v>
      </c>
      <c r="G132" s="104" t="s">
        <v>2537</v>
      </c>
      <c r="H132" s="2" t="s">
        <v>2146</v>
      </c>
      <c r="I132" s="33">
        <v>5240000</v>
      </c>
      <c r="J132" s="33">
        <v>419200</v>
      </c>
      <c r="K132" s="6">
        <v>5659200</v>
      </c>
      <c r="L132" s="69" t="s">
        <v>302</v>
      </c>
      <c r="M132" s="3"/>
      <c r="N132" s="28">
        <f>+Tabla15132[[#This Row],[VALOR TOTAL DEL CONTRATO
(en pesos)
CON IVA
(inicial)]]+Tabla15132[[#This Row],[VALOR DE LAS ADICIONES
(en pesos)
CON IVA]]</f>
        <v>5659200</v>
      </c>
      <c r="O132" s="4">
        <f>+Tabla15132[[#This Row],[FECHA TERMINACIÓN CONTRATO
(inicial)]]-Tabla15132[[#This Row],[FECHA INICIO CONTRATO]]</f>
        <v>0</v>
      </c>
      <c r="P132" s="23" t="s">
        <v>302</v>
      </c>
      <c r="Q132" s="101"/>
      <c r="R132" s="70" t="s">
        <v>302</v>
      </c>
      <c r="S132" s="70"/>
      <c r="T132" s="65">
        <v>45875</v>
      </c>
      <c r="U132" s="65">
        <v>45875</v>
      </c>
      <c r="V132" s="65">
        <v>45875</v>
      </c>
      <c r="W132" s="64" t="s">
        <v>320</v>
      </c>
      <c r="X132" s="71"/>
      <c r="Y132" s="71" t="s">
        <v>321</v>
      </c>
      <c r="Z132" s="30">
        <v>1</v>
      </c>
      <c r="AA132" s="30">
        <v>1</v>
      </c>
      <c r="AB132" s="31">
        <v>5240000</v>
      </c>
      <c r="AC132" s="32" t="s">
        <v>2147</v>
      </c>
    </row>
    <row r="133" spans="1:29" ht="29" x14ac:dyDescent="0.35">
      <c r="A133" s="2" t="s">
        <v>436</v>
      </c>
      <c r="B133" s="27" t="s">
        <v>365</v>
      </c>
      <c r="C133" s="66" t="s">
        <v>2148</v>
      </c>
      <c r="D133" s="65">
        <v>45874</v>
      </c>
      <c r="E133" s="26" t="s">
        <v>150</v>
      </c>
      <c r="F133" s="67" t="s">
        <v>2149</v>
      </c>
      <c r="G133" s="104" t="s">
        <v>2538</v>
      </c>
      <c r="H133" s="2" t="s">
        <v>2150</v>
      </c>
      <c r="I133" s="33">
        <v>1572593</v>
      </c>
      <c r="J133" s="33">
        <v>125807</v>
      </c>
      <c r="K133" s="6">
        <v>1698400</v>
      </c>
      <c r="L133" s="69" t="s">
        <v>302</v>
      </c>
      <c r="M133" s="3"/>
      <c r="N133" s="28">
        <f>+Tabla15132[[#This Row],[VALOR TOTAL DEL CONTRATO
(en pesos)
CON IVA
(inicial)]]+Tabla15132[[#This Row],[VALOR DE LAS ADICIONES
(en pesos)
CON IVA]]</f>
        <v>1698400</v>
      </c>
      <c r="O133" s="4">
        <f>+Tabla15132[[#This Row],[FECHA TERMINACIÓN CONTRATO
(inicial)]]-Tabla15132[[#This Row],[FECHA INICIO CONTRATO]]</f>
        <v>0</v>
      </c>
      <c r="P133" s="23" t="s">
        <v>302</v>
      </c>
      <c r="Q133" s="101"/>
      <c r="R133" s="70" t="s">
        <v>302</v>
      </c>
      <c r="S133" s="70"/>
      <c r="T133" s="65">
        <v>45875</v>
      </c>
      <c r="U133" s="65">
        <v>45875</v>
      </c>
      <c r="V133" s="65">
        <v>45875</v>
      </c>
      <c r="W133" s="64" t="s">
        <v>320</v>
      </c>
      <c r="X133" s="71"/>
      <c r="Y133" s="71" t="s">
        <v>321</v>
      </c>
      <c r="Z133" s="30">
        <v>1</v>
      </c>
      <c r="AA133" s="30">
        <v>1</v>
      </c>
      <c r="AB133" s="31">
        <v>1698400</v>
      </c>
      <c r="AC133" s="32" t="s">
        <v>2151</v>
      </c>
    </row>
    <row r="134" spans="1:29" ht="29" x14ac:dyDescent="0.35">
      <c r="A134" s="2" t="s">
        <v>308</v>
      </c>
      <c r="B134" s="27" t="s">
        <v>365</v>
      </c>
      <c r="C134" s="66" t="s">
        <v>2152</v>
      </c>
      <c r="D134" s="65">
        <v>45874</v>
      </c>
      <c r="E134" s="26" t="s">
        <v>150</v>
      </c>
      <c r="F134" s="67" t="s">
        <v>2153</v>
      </c>
      <c r="G134" s="104" t="s">
        <v>2629</v>
      </c>
      <c r="H134" s="2" t="s">
        <v>2154</v>
      </c>
      <c r="I134" s="33">
        <v>1161470</v>
      </c>
      <c r="J134" s="33">
        <v>122498</v>
      </c>
      <c r="K134" s="6">
        <v>1283967</v>
      </c>
      <c r="L134" s="69" t="s">
        <v>302</v>
      </c>
      <c r="M134" s="3"/>
      <c r="N134" s="28">
        <f>+Tabla15132[[#This Row],[VALOR TOTAL DEL CONTRATO
(en pesos)
CON IVA
(inicial)]]+Tabla15132[[#This Row],[VALOR DE LAS ADICIONES
(en pesos)
CON IVA]]</f>
        <v>1283967</v>
      </c>
      <c r="O134" s="4">
        <f>+Tabla15132[[#This Row],[FECHA TERMINACIÓN CONTRATO
(inicial)]]-Tabla15132[[#This Row],[FECHA INICIO CONTRATO]]</f>
        <v>9</v>
      </c>
      <c r="P134" s="23" t="s">
        <v>302</v>
      </c>
      <c r="Q134" s="101"/>
      <c r="R134" s="70" t="s">
        <v>302</v>
      </c>
      <c r="S134" s="70"/>
      <c r="T134" s="65">
        <v>45874</v>
      </c>
      <c r="U134" s="65">
        <v>45883</v>
      </c>
      <c r="V134" s="65">
        <v>45883</v>
      </c>
      <c r="W134" s="64" t="s">
        <v>320</v>
      </c>
      <c r="X134" s="71"/>
      <c r="Y134" s="71" t="s">
        <v>321</v>
      </c>
      <c r="Z134" s="30">
        <v>1</v>
      </c>
      <c r="AA134" s="30">
        <v>1</v>
      </c>
      <c r="AB134" s="31">
        <v>1283697</v>
      </c>
      <c r="AC134" s="32" t="s">
        <v>2155</v>
      </c>
    </row>
    <row r="135" spans="1:29" ht="29" x14ac:dyDescent="0.35">
      <c r="A135" s="2" t="s">
        <v>435</v>
      </c>
      <c r="B135" s="27" t="s">
        <v>365</v>
      </c>
      <c r="C135" s="66" t="s">
        <v>2156</v>
      </c>
      <c r="D135" s="65">
        <v>45875</v>
      </c>
      <c r="E135" s="26" t="s">
        <v>150</v>
      </c>
      <c r="F135" s="67" t="s">
        <v>2153</v>
      </c>
      <c r="G135" s="104" t="s">
        <v>2631</v>
      </c>
      <c r="H135" s="2" t="s">
        <v>2115</v>
      </c>
      <c r="I135" s="33">
        <v>1713000</v>
      </c>
      <c r="J135" s="33"/>
      <c r="K135" s="6">
        <v>1713000</v>
      </c>
      <c r="L135" s="69" t="s">
        <v>302</v>
      </c>
      <c r="M135" s="3"/>
      <c r="N135" s="28">
        <f>+Tabla15132[[#This Row],[VALOR TOTAL DEL CONTRATO
(en pesos)
CON IVA
(inicial)]]+Tabla15132[[#This Row],[VALOR DE LAS ADICIONES
(en pesos)
CON IVA]]</f>
        <v>1713000</v>
      </c>
      <c r="O135" s="4">
        <f>+Tabla15132[[#This Row],[FECHA TERMINACIÓN CONTRATO
(inicial)]]-Tabla15132[[#This Row],[FECHA INICIO CONTRATO]]</f>
        <v>0</v>
      </c>
      <c r="P135" s="23" t="s">
        <v>302</v>
      </c>
      <c r="Q135" s="101"/>
      <c r="R135" s="70" t="s">
        <v>302</v>
      </c>
      <c r="S135" s="70"/>
      <c r="T135" s="65">
        <v>45875</v>
      </c>
      <c r="U135" s="65">
        <v>45875</v>
      </c>
      <c r="V135" s="65">
        <v>45875</v>
      </c>
      <c r="W135" s="64" t="s">
        <v>320</v>
      </c>
      <c r="X135" s="71"/>
      <c r="Y135" s="71" t="s">
        <v>321</v>
      </c>
      <c r="Z135" s="30">
        <v>1</v>
      </c>
      <c r="AA135" s="30">
        <v>1</v>
      </c>
      <c r="AB135" s="31">
        <v>1713000</v>
      </c>
      <c r="AC135" s="32" t="s">
        <v>2157</v>
      </c>
    </row>
    <row r="136" spans="1:29" ht="29" x14ac:dyDescent="0.35">
      <c r="A136" s="2" t="s">
        <v>309</v>
      </c>
      <c r="B136" s="27" t="s">
        <v>365</v>
      </c>
      <c r="C136" s="66" t="s">
        <v>2158</v>
      </c>
      <c r="D136" s="65">
        <v>45875</v>
      </c>
      <c r="E136" s="26" t="s">
        <v>150</v>
      </c>
      <c r="F136" s="67" t="s">
        <v>2159</v>
      </c>
      <c r="G136" s="104" t="s">
        <v>2592</v>
      </c>
      <c r="H136" s="2" t="s">
        <v>2160</v>
      </c>
      <c r="I136" s="33">
        <v>1760000</v>
      </c>
      <c r="J136" s="33">
        <v>126720</v>
      </c>
      <c r="K136" s="6">
        <v>1886720</v>
      </c>
      <c r="L136" s="69" t="s">
        <v>302</v>
      </c>
      <c r="M136" s="3"/>
      <c r="N136" s="28">
        <f>+Tabla15132[[#This Row],[VALOR TOTAL DEL CONTRATO
(en pesos)
CON IVA
(inicial)]]+Tabla15132[[#This Row],[VALOR DE LAS ADICIONES
(en pesos)
CON IVA]]</f>
        <v>1886720</v>
      </c>
      <c r="O136" s="4">
        <f>+Tabla15132[[#This Row],[FECHA TERMINACIÓN CONTRATO
(inicial)]]-Tabla15132[[#This Row],[FECHA INICIO CONTRATO]]</f>
        <v>8</v>
      </c>
      <c r="P136" s="23" t="s">
        <v>302</v>
      </c>
      <c r="Q136" s="101"/>
      <c r="R136" s="70" t="s">
        <v>302</v>
      </c>
      <c r="S136" s="70"/>
      <c r="T136" s="65">
        <v>45875</v>
      </c>
      <c r="U136" s="65">
        <v>45883</v>
      </c>
      <c r="V136" s="65">
        <v>45883</v>
      </c>
      <c r="W136" s="64" t="s">
        <v>320</v>
      </c>
      <c r="X136" s="71"/>
      <c r="Y136" s="71" t="s">
        <v>321</v>
      </c>
      <c r="Z136" s="30">
        <v>1</v>
      </c>
      <c r="AA136" s="30">
        <v>1</v>
      </c>
      <c r="AB136" s="31">
        <v>1886720</v>
      </c>
      <c r="AC136" s="32" t="s">
        <v>2161</v>
      </c>
    </row>
    <row r="137" spans="1:29" ht="29" x14ac:dyDescent="0.35">
      <c r="A137" s="2" t="s">
        <v>357</v>
      </c>
      <c r="B137" s="27" t="s">
        <v>365</v>
      </c>
      <c r="C137" s="66" t="s">
        <v>2162</v>
      </c>
      <c r="D137" s="65">
        <v>45875</v>
      </c>
      <c r="E137" s="26" t="s">
        <v>150</v>
      </c>
      <c r="F137" s="67" t="s">
        <v>2163</v>
      </c>
      <c r="G137" s="104">
        <v>26641316</v>
      </c>
      <c r="H137" s="2" t="s">
        <v>474</v>
      </c>
      <c r="I137" s="33">
        <v>700000</v>
      </c>
      <c r="J137" s="33">
        <v>0</v>
      </c>
      <c r="K137" s="6">
        <v>700000</v>
      </c>
      <c r="L137" s="69" t="s">
        <v>302</v>
      </c>
      <c r="M137" s="3"/>
      <c r="N137" s="28">
        <f>+Tabla15132[[#This Row],[VALOR TOTAL DEL CONTRATO
(en pesos)
CON IVA
(inicial)]]+Tabla15132[[#This Row],[VALOR DE LAS ADICIONES
(en pesos)
CON IVA]]</f>
        <v>700000</v>
      </c>
      <c r="O137" s="4">
        <f>+Tabla15132[[#This Row],[FECHA TERMINACIÓN CONTRATO
(inicial)]]-Tabla15132[[#This Row],[FECHA INICIO CONTRATO]]</f>
        <v>0</v>
      </c>
      <c r="P137" s="23" t="s">
        <v>302</v>
      </c>
      <c r="Q137" s="101"/>
      <c r="R137" s="70" t="s">
        <v>302</v>
      </c>
      <c r="S137" s="70"/>
      <c r="T137" s="65">
        <v>45875</v>
      </c>
      <c r="U137" s="65">
        <v>45875</v>
      </c>
      <c r="V137" s="65">
        <v>45875</v>
      </c>
      <c r="W137" s="64" t="s">
        <v>320</v>
      </c>
      <c r="X137" s="71"/>
      <c r="Y137" s="71" t="s">
        <v>321</v>
      </c>
      <c r="Z137" s="30">
        <v>1</v>
      </c>
      <c r="AA137" s="30">
        <v>1</v>
      </c>
      <c r="AB137" s="31">
        <v>700000</v>
      </c>
      <c r="AC137" s="32" t="s">
        <v>2164</v>
      </c>
    </row>
    <row r="138" spans="1:29" ht="29" x14ac:dyDescent="0.35">
      <c r="A138" s="2" t="s">
        <v>318</v>
      </c>
      <c r="B138" s="27" t="s">
        <v>365</v>
      </c>
      <c r="C138" s="66" t="s">
        <v>2165</v>
      </c>
      <c r="D138" s="65">
        <v>45888</v>
      </c>
      <c r="E138" s="26" t="s">
        <v>142</v>
      </c>
      <c r="F138" s="67" t="s">
        <v>2166</v>
      </c>
      <c r="G138" s="104">
        <v>1016041679</v>
      </c>
      <c r="H138" s="2" t="s">
        <v>356</v>
      </c>
      <c r="I138" s="33">
        <v>2690000</v>
      </c>
      <c r="J138" s="33">
        <v>0</v>
      </c>
      <c r="K138" s="6">
        <v>2690000</v>
      </c>
      <c r="L138" s="69" t="s">
        <v>302</v>
      </c>
      <c r="M138" s="3"/>
      <c r="N138" s="28">
        <f>+Tabla15132[[#This Row],[VALOR TOTAL DEL CONTRATO
(en pesos)
CON IVA
(inicial)]]+Tabla15132[[#This Row],[VALOR DE LAS ADICIONES
(en pesos)
CON IVA]]</f>
        <v>2690000</v>
      </c>
      <c r="O138" s="4">
        <f>+Tabla15132[[#This Row],[FECHA TERMINACIÓN CONTRATO
(inicial)]]-Tabla15132[[#This Row],[FECHA INICIO CONTRATO]]</f>
        <v>31</v>
      </c>
      <c r="P138" s="23" t="s">
        <v>302</v>
      </c>
      <c r="Q138" s="101"/>
      <c r="R138" s="70" t="s">
        <v>302</v>
      </c>
      <c r="S138" s="70"/>
      <c r="T138" s="65">
        <v>45889</v>
      </c>
      <c r="U138" s="65">
        <v>45920</v>
      </c>
      <c r="V138" s="65">
        <v>45920</v>
      </c>
      <c r="W138" s="64" t="s">
        <v>323</v>
      </c>
      <c r="X138" s="71">
        <v>45917</v>
      </c>
      <c r="Y138" s="71" t="s">
        <v>364</v>
      </c>
      <c r="Z138" s="30">
        <v>1</v>
      </c>
      <c r="AA138" s="30">
        <v>1</v>
      </c>
      <c r="AB138" s="31">
        <v>2690000</v>
      </c>
      <c r="AC138" s="32" t="s">
        <v>2167</v>
      </c>
    </row>
    <row r="139" spans="1:29" ht="29" x14ac:dyDescent="0.35">
      <c r="A139" s="2" t="s">
        <v>310</v>
      </c>
      <c r="B139" s="27" t="s">
        <v>300</v>
      </c>
      <c r="C139" s="66" t="s">
        <v>2168</v>
      </c>
      <c r="D139" s="65">
        <v>45890</v>
      </c>
      <c r="E139" s="26" t="s">
        <v>150</v>
      </c>
      <c r="F139" s="67" t="s">
        <v>2169</v>
      </c>
      <c r="G139" s="104" t="s">
        <v>2551</v>
      </c>
      <c r="H139" s="2" t="s">
        <v>2170</v>
      </c>
      <c r="I139" s="33">
        <v>9440000</v>
      </c>
      <c r="J139" s="33">
        <v>0</v>
      </c>
      <c r="K139" s="6">
        <v>9440000</v>
      </c>
      <c r="L139" s="69" t="s">
        <v>302</v>
      </c>
      <c r="M139" s="3"/>
      <c r="N139" s="28">
        <f>+Tabla15132[[#This Row],[VALOR TOTAL DEL CONTRATO
(en pesos)
CON IVA
(inicial)]]+Tabla15132[[#This Row],[VALOR DE LAS ADICIONES
(en pesos)
CON IVA]]</f>
        <v>9440000</v>
      </c>
      <c r="O139" s="4">
        <f>+Tabla15132[[#This Row],[FECHA TERMINACIÓN CONTRATO
(inicial)]]-Tabla15132[[#This Row],[FECHA INICIO CONTRATO]]</f>
        <v>132</v>
      </c>
      <c r="P139" s="23" t="s">
        <v>302</v>
      </c>
      <c r="Q139" s="101"/>
      <c r="R139" s="70" t="s">
        <v>302</v>
      </c>
      <c r="S139" s="70"/>
      <c r="T139" s="65">
        <v>45890</v>
      </c>
      <c r="U139" s="65">
        <v>46022</v>
      </c>
      <c r="V139" s="65">
        <v>46022</v>
      </c>
      <c r="W139" s="64" t="s">
        <v>320</v>
      </c>
      <c r="X139" s="71"/>
      <c r="Y139" s="71" t="s">
        <v>321</v>
      </c>
      <c r="Z139" s="30">
        <v>1</v>
      </c>
      <c r="AA139" s="30">
        <v>1</v>
      </c>
      <c r="AB139" s="31">
        <v>9440000</v>
      </c>
      <c r="AC139" s="32" t="s">
        <v>2171</v>
      </c>
    </row>
    <row r="140" spans="1:29" ht="43.5" x14ac:dyDescent="0.35">
      <c r="A140" s="2" t="s">
        <v>317</v>
      </c>
      <c r="B140" s="27" t="s">
        <v>300</v>
      </c>
      <c r="C140" s="66" t="s">
        <v>2172</v>
      </c>
      <c r="D140" s="65">
        <v>45890</v>
      </c>
      <c r="E140" s="26" t="s">
        <v>150</v>
      </c>
      <c r="F140" s="67" t="s">
        <v>2173</v>
      </c>
      <c r="G140" s="104" t="s">
        <v>2611</v>
      </c>
      <c r="H140" s="2" t="s">
        <v>2174</v>
      </c>
      <c r="I140" s="33">
        <v>7828707</v>
      </c>
      <c r="J140" s="33">
        <v>452572</v>
      </c>
      <c r="K140" s="6">
        <v>8281279</v>
      </c>
      <c r="L140" s="69" t="s">
        <v>302</v>
      </c>
      <c r="M140" s="3"/>
      <c r="N140" s="28">
        <f>+Tabla15132[[#This Row],[VALOR TOTAL DEL CONTRATO
(en pesos)
CON IVA
(inicial)]]+Tabla15132[[#This Row],[VALOR DE LAS ADICIONES
(en pesos)
CON IVA]]</f>
        <v>8281279</v>
      </c>
      <c r="O140" s="4">
        <v>1</v>
      </c>
      <c r="P140" s="23" t="s">
        <v>302</v>
      </c>
      <c r="Q140" s="101">
        <v>0</v>
      </c>
      <c r="R140" s="70" t="s">
        <v>302</v>
      </c>
      <c r="S140" s="70"/>
      <c r="T140" s="65">
        <v>45892</v>
      </c>
      <c r="U140" s="65">
        <v>45892</v>
      </c>
      <c r="V140" s="65">
        <v>45892</v>
      </c>
      <c r="W140" s="64" t="s">
        <v>320</v>
      </c>
      <c r="X140" s="71"/>
      <c r="Y140" s="71" t="s">
        <v>321</v>
      </c>
      <c r="Z140" s="30">
        <v>1</v>
      </c>
      <c r="AA140" s="30">
        <v>1</v>
      </c>
      <c r="AB140" s="31">
        <v>8281267</v>
      </c>
      <c r="AC140" s="32" t="s">
        <v>2175</v>
      </c>
    </row>
    <row r="141" spans="1:29" ht="29" x14ac:dyDescent="0.35">
      <c r="A141" s="2" t="s">
        <v>1797</v>
      </c>
      <c r="B141" s="27" t="s">
        <v>365</v>
      </c>
      <c r="C141" s="66" t="s">
        <v>2176</v>
      </c>
      <c r="D141" s="65">
        <v>45895</v>
      </c>
      <c r="E141" s="26" t="s">
        <v>142</v>
      </c>
      <c r="F141" s="67" t="s">
        <v>2007</v>
      </c>
      <c r="G141" s="104">
        <v>76304191</v>
      </c>
      <c r="H141" s="2" t="s">
        <v>476</v>
      </c>
      <c r="I141" s="33">
        <v>5180000</v>
      </c>
      <c r="J141" s="33">
        <v>0</v>
      </c>
      <c r="K141" s="6">
        <v>5180000</v>
      </c>
      <c r="L141" s="69" t="s">
        <v>302</v>
      </c>
      <c r="M141" s="3"/>
      <c r="N141" s="28">
        <f>+Tabla15132[[#This Row],[VALOR TOTAL DEL CONTRATO
(en pesos)
CON IVA
(inicial)]]+Tabla15132[[#This Row],[VALOR DE LAS ADICIONES
(en pesos)
CON IVA]]</f>
        <v>5180000</v>
      </c>
      <c r="O141" s="4">
        <f>+Tabla15132[[#This Row],[FECHA TERMINACIÓN CONTRATO
(inicial)]]-Tabla15132[[#This Row],[FECHA INICIO CONTRATO]]</f>
        <v>61</v>
      </c>
      <c r="P141" s="23" t="s">
        <v>302</v>
      </c>
      <c r="Q141" s="101"/>
      <c r="R141" s="70" t="s">
        <v>302</v>
      </c>
      <c r="S141" s="70"/>
      <c r="T141" s="65">
        <v>45895</v>
      </c>
      <c r="U141" s="65">
        <v>45956</v>
      </c>
      <c r="V141" s="65">
        <v>45956</v>
      </c>
      <c r="W141" s="64" t="s">
        <v>320</v>
      </c>
      <c r="X141" s="71"/>
      <c r="Y141" s="71" t="s">
        <v>321</v>
      </c>
      <c r="Z141" s="30">
        <v>1</v>
      </c>
      <c r="AA141" s="30">
        <v>1</v>
      </c>
      <c r="AB141" s="31">
        <v>5180000</v>
      </c>
      <c r="AC141" s="32" t="s">
        <v>2177</v>
      </c>
    </row>
    <row r="142" spans="1:29" ht="29" x14ac:dyDescent="0.35">
      <c r="A142" s="2" t="s">
        <v>316</v>
      </c>
      <c r="B142" s="27" t="s">
        <v>365</v>
      </c>
      <c r="C142" s="66" t="s">
        <v>2178</v>
      </c>
      <c r="D142" s="65">
        <v>45898</v>
      </c>
      <c r="E142" s="26" t="s">
        <v>113</v>
      </c>
      <c r="F142" s="67" t="s">
        <v>2635</v>
      </c>
      <c r="G142" s="104">
        <v>1053823952</v>
      </c>
      <c r="H142" s="2" t="s">
        <v>2179</v>
      </c>
      <c r="I142" s="33">
        <v>1540000</v>
      </c>
      <c r="J142" s="33">
        <v>0</v>
      </c>
      <c r="K142" s="6">
        <v>1540000</v>
      </c>
      <c r="L142" s="69" t="s">
        <v>302</v>
      </c>
      <c r="M142" s="3"/>
      <c r="N142" s="28">
        <f>+Tabla15132[[#This Row],[VALOR TOTAL DEL CONTRATO
(en pesos)
CON IVA
(inicial)]]+Tabla15132[[#This Row],[VALOR DE LAS ADICIONES
(en pesos)
CON IVA]]</f>
        <v>1540000</v>
      </c>
      <c r="O142" s="4">
        <f>+Tabla15132[[#This Row],[FECHA TERMINACIÓN CONTRATO
(inicial)]]-Tabla15132[[#This Row],[FECHA INICIO CONTRATO]]</f>
        <v>30</v>
      </c>
      <c r="P142" s="23" t="s">
        <v>302</v>
      </c>
      <c r="Q142" s="101"/>
      <c r="R142" s="70" t="s">
        <v>302</v>
      </c>
      <c r="S142" s="70"/>
      <c r="T142" s="65">
        <v>45898</v>
      </c>
      <c r="U142" s="65">
        <v>45928</v>
      </c>
      <c r="V142" s="65">
        <v>45928</v>
      </c>
      <c r="W142" s="64" t="s">
        <v>320</v>
      </c>
      <c r="X142" s="71"/>
      <c r="Y142" s="71" t="s">
        <v>321</v>
      </c>
      <c r="Z142" s="30">
        <v>1</v>
      </c>
      <c r="AA142" s="30">
        <v>1</v>
      </c>
      <c r="AB142" s="31">
        <v>1540000</v>
      </c>
      <c r="AC142" s="32" t="s">
        <v>2180</v>
      </c>
    </row>
    <row r="143" spans="1:29" ht="29" x14ac:dyDescent="0.35">
      <c r="A143" s="2" t="s">
        <v>311</v>
      </c>
      <c r="B143" s="27" t="s">
        <v>365</v>
      </c>
      <c r="C143" s="66" t="s">
        <v>2181</v>
      </c>
      <c r="D143" s="65">
        <v>45897</v>
      </c>
      <c r="E143" s="26" t="s">
        <v>150</v>
      </c>
      <c r="F143" s="67" t="s">
        <v>2182</v>
      </c>
      <c r="G143" s="104" t="s">
        <v>2539</v>
      </c>
      <c r="H143" s="2" t="s">
        <v>2183</v>
      </c>
      <c r="I143" s="33">
        <v>2345000</v>
      </c>
      <c r="J143" s="33">
        <v>445550</v>
      </c>
      <c r="K143" s="6">
        <v>2790550</v>
      </c>
      <c r="L143" s="69" t="s">
        <v>302</v>
      </c>
      <c r="M143" s="3"/>
      <c r="N143" s="28">
        <f>+Tabla15132[[#This Row],[VALOR TOTAL DEL CONTRATO
(en pesos)
CON IVA
(inicial)]]+Tabla15132[[#This Row],[VALOR DE LAS ADICIONES
(en pesos)
CON IVA]]</f>
        <v>2790550</v>
      </c>
      <c r="O143" s="4">
        <f>+Tabla15132[[#This Row],[FECHA TERMINACIÓN CONTRATO
(inicial)]]-Tabla15132[[#This Row],[FECHA INICIO CONTRATO]]</f>
        <v>0</v>
      </c>
      <c r="P143" s="23" t="s">
        <v>302</v>
      </c>
      <c r="Q143" s="101"/>
      <c r="R143" s="70" t="s">
        <v>302</v>
      </c>
      <c r="S143" s="70"/>
      <c r="T143" s="65">
        <v>45899</v>
      </c>
      <c r="U143" s="65">
        <v>45899</v>
      </c>
      <c r="V143" s="65">
        <v>45899</v>
      </c>
      <c r="W143" s="64" t="s">
        <v>320</v>
      </c>
      <c r="X143" s="71"/>
      <c r="Y143" s="71" t="s">
        <v>321</v>
      </c>
      <c r="Z143" s="30">
        <v>1</v>
      </c>
      <c r="AA143" s="30">
        <v>1</v>
      </c>
      <c r="AB143" s="31">
        <v>2790550</v>
      </c>
      <c r="AC143" s="32" t="s">
        <v>2184</v>
      </c>
    </row>
    <row r="144" spans="1:29" ht="29" x14ac:dyDescent="0.35">
      <c r="A144" s="2" t="s">
        <v>318</v>
      </c>
      <c r="B144" s="27" t="s">
        <v>365</v>
      </c>
      <c r="C144" s="66" t="s">
        <v>2185</v>
      </c>
      <c r="D144" s="65">
        <v>45898</v>
      </c>
      <c r="E144" s="26" t="s">
        <v>150</v>
      </c>
      <c r="F144" s="67" t="s">
        <v>2186</v>
      </c>
      <c r="G144" s="104">
        <v>14475977</v>
      </c>
      <c r="H144" s="2" t="s">
        <v>2187</v>
      </c>
      <c r="I144" s="33">
        <v>1020000</v>
      </c>
      <c r="J144" s="33">
        <v>0</v>
      </c>
      <c r="K144" s="6">
        <v>1020000</v>
      </c>
      <c r="L144" s="69" t="s">
        <v>302</v>
      </c>
      <c r="M144" s="3"/>
      <c r="N144" s="28">
        <f>+Tabla15132[[#This Row],[VALOR TOTAL DEL CONTRATO
(en pesos)
CON IVA
(inicial)]]+Tabla15132[[#This Row],[VALOR DE LAS ADICIONES
(en pesos)
CON IVA]]</f>
        <v>1020000</v>
      </c>
      <c r="O144" s="4">
        <f>+Tabla15132[[#This Row],[FECHA TERMINACIÓN CONTRATO
(inicial)]]-Tabla15132[[#This Row],[FECHA INICIO CONTRATO]]</f>
        <v>29</v>
      </c>
      <c r="P144" s="23" t="s">
        <v>302</v>
      </c>
      <c r="Q144" s="101"/>
      <c r="R144" s="70" t="s">
        <v>302</v>
      </c>
      <c r="S144" s="70"/>
      <c r="T144" s="65">
        <v>45901</v>
      </c>
      <c r="U144" s="65">
        <v>45930</v>
      </c>
      <c r="V144" s="65">
        <v>45928</v>
      </c>
      <c r="W144" s="64" t="s">
        <v>320</v>
      </c>
      <c r="X144" s="71">
        <v>46000</v>
      </c>
      <c r="Y144" s="71" t="s">
        <v>321</v>
      </c>
      <c r="Z144" s="30">
        <v>0</v>
      </c>
      <c r="AA144" s="30">
        <v>0</v>
      </c>
      <c r="AB144" s="31">
        <v>0</v>
      </c>
      <c r="AC144" s="32" t="s">
        <v>2188</v>
      </c>
    </row>
    <row r="145" spans="1:29" ht="29" x14ac:dyDescent="0.35">
      <c r="A145" s="2" t="s">
        <v>314</v>
      </c>
      <c r="B145" s="27" t="s">
        <v>365</v>
      </c>
      <c r="C145" s="66" t="s">
        <v>2189</v>
      </c>
      <c r="D145" s="65">
        <v>45908</v>
      </c>
      <c r="E145" s="26" t="s">
        <v>113</v>
      </c>
      <c r="F145" s="67" t="s">
        <v>2190</v>
      </c>
      <c r="G145" s="104">
        <v>91480357</v>
      </c>
      <c r="H145" s="2" t="s">
        <v>456</v>
      </c>
      <c r="I145" s="33">
        <v>440000</v>
      </c>
      <c r="J145" s="33">
        <v>83600</v>
      </c>
      <c r="K145" s="6">
        <v>523600</v>
      </c>
      <c r="L145" s="69" t="s">
        <v>302</v>
      </c>
      <c r="M145" s="3"/>
      <c r="N145" s="28">
        <f>+Tabla15132[[#This Row],[VALOR TOTAL DEL CONTRATO
(en pesos)
CON IVA
(inicial)]]+Tabla15132[[#This Row],[VALOR DE LAS ADICIONES
(en pesos)
CON IVA]]</f>
        <v>523600</v>
      </c>
      <c r="O145" s="4">
        <f>+Tabla15132[[#This Row],[FECHA TERMINACIÓN CONTRATO
(inicial)]]-Tabla15132[[#This Row],[FECHA INICIO CONTRATO]]</f>
        <v>7</v>
      </c>
      <c r="P145" s="23" t="s">
        <v>302</v>
      </c>
      <c r="Q145" s="101"/>
      <c r="R145" s="70" t="s">
        <v>302</v>
      </c>
      <c r="S145" s="70"/>
      <c r="T145" s="65">
        <v>45909</v>
      </c>
      <c r="U145" s="65">
        <v>45916</v>
      </c>
      <c r="V145" s="65">
        <v>45916</v>
      </c>
      <c r="W145" s="64" t="s">
        <v>320</v>
      </c>
      <c r="X145" s="71"/>
      <c r="Y145" s="71" t="s">
        <v>321</v>
      </c>
      <c r="Z145" s="30">
        <f>Tabla15132[[#This Row],[VALOR PAGADO (en pesos)
A 31 DICIEMBRE 2025]]/Tabla15132[[#This Row],[VALOR TOTAL DEL CONTRATO
(en pesos)
CON IVA
(inicial)]]</f>
        <v>0.84033613445378152</v>
      </c>
      <c r="AA145" s="30">
        <v>0.84030000000000005</v>
      </c>
      <c r="AB145" s="31">
        <v>440000</v>
      </c>
      <c r="AC145" s="32" t="s">
        <v>2191</v>
      </c>
    </row>
    <row r="146" spans="1:29" ht="29" x14ac:dyDescent="0.35">
      <c r="A146" s="2" t="s">
        <v>307</v>
      </c>
      <c r="B146" s="27" t="s">
        <v>365</v>
      </c>
      <c r="C146" s="66" t="s">
        <v>2192</v>
      </c>
      <c r="D146" s="65">
        <v>45912</v>
      </c>
      <c r="E146" s="26" t="s">
        <v>113</v>
      </c>
      <c r="F146" s="67" t="s">
        <v>2193</v>
      </c>
      <c r="G146" s="104" t="s">
        <v>2601</v>
      </c>
      <c r="H146" s="2" t="s">
        <v>1905</v>
      </c>
      <c r="I146" s="33">
        <v>2808823</v>
      </c>
      <c r="J146" s="33">
        <v>533677</v>
      </c>
      <c r="K146" s="6">
        <v>3342500</v>
      </c>
      <c r="L146" s="69" t="s">
        <v>302</v>
      </c>
      <c r="M146" s="3"/>
      <c r="N146" s="28">
        <f>+Tabla15132[[#This Row],[VALOR TOTAL DEL CONTRATO
(en pesos)
CON IVA
(inicial)]]+Tabla15132[[#This Row],[VALOR DE LAS ADICIONES
(en pesos)
CON IVA]]</f>
        <v>3342500</v>
      </c>
      <c r="O146" s="4">
        <f>+Tabla15132[[#This Row],[FECHA TERMINACIÓN CONTRATO
(inicial)]]-Tabla15132[[#This Row],[FECHA INICIO CONTRATO]]</f>
        <v>30</v>
      </c>
      <c r="P146" s="23" t="s">
        <v>302</v>
      </c>
      <c r="Q146" s="101"/>
      <c r="R146" s="70" t="s">
        <v>302</v>
      </c>
      <c r="S146" s="70"/>
      <c r="T146" s="65">
        <v>45912</v>
      </c>
      <c r="U146" s="65">
        <v>45942</v>
      </c>
      <c r="V146" s="65">
        <v>45942</v>
      </c>
      <c r="W146" s="64" t="s">
        <v>320</v>
      </c>
      <c r="X146" s="71"/>
      <c r="Y146" s="71" t="s">
        <v>321</v>
      </c>
      <c r="Z146" s="30">
        <v>1</v>
      </c>
      <c r="AA146" s="30">
        <v>1</v>
      </c>
      <c r="AB146" s="31">
        <v>3342500</v>
      </c>
      <c r="AC146" s="32" t="s">
        <v>2194</v>
      </c>
    </row>
    <row r="147" spans="1:29" ht="29" x14ac:dyDescent="0.35">
      <c r="A147" s="2" t="s">
        <v>315</v>
      </c>
      <c r="B147" s="27" t="s">
        <v>365</v>
      </c>
      <c r="C147" s="66" t="s">
        <v>2195</v>
      </c>
      <c r="D147" s="65">
        <v>45922</v>
      </c>
      <c r="E147" s="26" t="s">
        <v>142</v>
      </c>
      <c r="F147" s="67" t="s">
        <v>2196</v>
      </c>
      <c r="G147" s="104" t="s">
        <v>2580</v>
      </c>
      <c r="H147" s="2" t="s">
        <v>2197</v>
      </c>
      <c r="I147" s="33">
        <v>4130000</v>
      </c>
      <c r="J147" s="33">
        <v>33250</v>
      </c>
      <c r="K147" s="6">
        <v>4163250</v>
      </c>
      <c r="L147" s="69" t="s">
        <v>302</v>
      </c>
      <c r="M147" s="3"/>
      <c r="N147" s="28">
        <f>+Tabla15132[[#This Row],[VALOR TOTAL DEL CONTRATO
(en pesos)
CON IVA
(inicial)]]+Tabla15132[[#This Row],[VALOR DE LAS ADICIONES
(en pesos)
CON IVA]]</f>
        <v>4163250</v>
      </c>
      <c r="O147" s="4">
        <f>+Tabla15132[[#This Row],[FECHA TERMINACIÓN CONTRATO
(inicial)]]-Tabla15132[[#This Row],[FECHA INICIO CONTRATO]]</f>
        <v>15</v>
      </c>
      <c r="P147" s="23" t="s">
        <v>302</v>
      </c>
      <c r="Q147" s="101"/>
      <c r="R147" s="70" t="s">
        <v>302</v>
      </c>
      <c r="S147" s="70"/>
      <c r="T147" s="65">
        <v>45922</v>
      </c>
      <c r="U147" s="65">
        <v>45937</v>
      </c>
      <c r="V147" s="65">
        <v>45937</v>
      </c>
      <c r="W147" s="64" t="s">
        <v>320</v>
      </c>
      <c r="X147" s="71"/>
      <c r="Y147" s="71" t="s">
        <v>321</v>
      </c>
      <c r="Z147" s="30">
        <v>1</v>
      </c>
      <c r="AA147" s="30">
        <v>1</v>
      </c>
      <c r="AB147" s="31">
        <v>4163250</v>
      </c>
      <c r="AC147" s="32" t="s">
        <v>2198</v>
      </c>
    </row>
    <row r="148" spans="1:29" ht="29" x14ac:dyDescent="0.35">
      <c r="A148" s="2" t="s">
        <v>444</v>
      </c>
      <c r="B148" s="27" t="s">
        <v>365</v>
      </c>
      <c r="C148" s="66" t="s">
        <v>2199</v>
      </c>
      <c r="D148" s="65">
        <v>45924</v>
      </c>
      <c r="E148" s="26" t="s">
        <v>142</v>
      </c>
      <c r="F148" s="67" t="s">
        <v>2200</v>
      </c>
      <c r="G148" s="104">
        <v>77194984</v>
      </c>
      <c r="H148" s="2" t="s">
        <v>2201</v>
      </c>
      <c r="I148" s="33">
        <v>1848739</v>
      </c>
      <c r="J148" s="33">
        <v>351261</v>
      </c>
      <c r="K148" s="6">
        <v>2200000</v>
      </c>
      <c r="L148" s="69" t="s">
        <v>302</v>
      </c>
      <c r="M148" s="3"/>
      <c r="N148" s="28">
        <f>+Tabla15132[[#This Row],[VALOR TOTAL DEL CONTRATO
(en pesos)
CON IVA
(inicial)]]+Tabla15132[[#This Row],[VALOR DE LAS ADICIONES
(en pesos)
CON IVA]]</f>
        <v>2200000</v>
      </c>
      <c r="O148" s="4">
        <f>+Tabla15132[[#This Row],[FECHA TERMINACIÓN CONTRATO
(inicial)]]-Tabla15132[[#This Row],[FECHA INICIO CONTRATO]]</f>
        <v>30</v>
      </c>
      <c r="P148" s="23" t="s">
        <v>302</v>
      </c>
      <c r="Q148" s="101"/>
      <c r="R148" s="70" t="s">
        <v>302</v>
      </c>
      <c r="S148" s="70"/>
      <c r="T148" s="65">
        <v>45924</v>
      </c>
      <c r="U148" s="65">
        <v>45954</v>
      </c>
      <c r="V148" s="65">
        <v>45954</v>
      </c>
      <c r="W148" s="64" t="s">
        <v>320</v>
      </c>
      <c r="X148" s="71"/>
      <c r="Y148" s="71" t="s">
        <v>321</v>
      </c>
      <c r="Z148" s="30">
        <v>1</v>
      </c>
      <c r="AA148" s="30">
        <v>1</v>
      </c>
      <c r="AB148" s="31">
        <v>2200000</v>
      </c>
      <c r="AC148" s="32" t="s">
        <v>2202</v>
      </c>
    </row>
    <row r="149" spans="1:29" ht="29" x14ac:dyDescent="0.35">
      <c r="A149" s="2" t="s">
        <v>308</v>
      </c>
      <c r="B149" s="27" t="s">
        <v>365</v>
      </c>
      <c r="C149" s="66" t="s">
        <v>2203</v>
      </c>
      <c r="D149" s="65">
        <v>45930</v>
      </c>
      <c r="E149" s="26" t="s">
        <v>113</v>
      </c>
      <c r="F149" s="67" t="s">
        <v>2204</v>
      </c>
      <c r="G149" s="104">
        <v>36176894</v>
      </c>
      <c r="H149" s="2" t="s">
        <v>466</v>
      </c>
      <c r="I149" s="33">
        <v>1134000</v>
      </c>
      <c r="J149" s="33">
        <v>0</v>
      </c>
      <c r="K149" s="6">
        <v>1134000</v>
      </c>
      <c r="L149" s="69" t="s">
        <v>302</v>
      </c>
      <c r="M149" s="3"/>
      <c r="N149" s="28">
        <f>+Tabla15132[[#This Row],[VALOR TOTAL DEL CONTRATO
(en pesos)
CON IVA
(inicial)]]+Tabla15132[[#This Row],[VALOR DE LAS ADICIONES
(en pesos)
CON IVA]]</f>
        <v>1134000</v>
      </c>
      <c r="O149" s="4">
        <f>+Tabla15132[[#This Row],[FECHA TERMINACIÓN CONTRATO
(inicial)]]-Tabla15132[[#This Row],[FECHA INICIO CONTRATO]]</f>
        <v>21</v>
      </c>
      <c r="P149" s="23" t="s">
        <v>302</v>
      </c>
      <c r="Q149" s="101"/>
      <c r="R149" s="70" t="s">
        <v>302</v>
      </c>
      <c r="S149" s="70"/>
      <c r="T149" s="65">
        <v>45930</v>
      </c>
      <c r="U149" s="65">
        <v>45951</v>
      </c>
      <c r="V149" s="65">
        <v>45951</v>
      </c>
      <c r="W149" s="64" t="s">
        <v>320</v>
      </c>
      <c r="X149" s="71"/>
      <c r="Y149" s="71" t="s">
        <v>321</v>
      </c>
      <c r="Z149" s="30">
        <v>1</v>
      </c>
      <c r="AA149" s="30">
        <v>1</v>
      </c>
      <c r="AB149" s="31">
        <v>1134000</v>
      </c>
      <c r="AC149" s="32" t="s">
        <v>2205</v>
      </c>
    </row>
    <row r="150" spans="1:29" ht="29" x14ac:dyDescent="0.35">
      <c r="A150" s="2" t="s">
        <v>308</v>
      </c>
      <c r="B150" s="27" t="s">
        <v>365</v>
      </c>
      <c r="C150" s="66" t="s">
        <v>2206</v>
      </c>
      <c r="D150" s="65">
        <v>45930</v>
      </c>
      <c r="E150" s="26" t="s">
        <v>142</v>
      </c>
      <c r="F150" s="67" t="s">
        <v>2207</v>
      </c>
      <c r="G150" s="104">
        <v>80436938</v>
      </c>
      <c r="H150" s="2" t="s">
        <v>1991</v>
      </c>
      <c r="I150" s="33">
        <v>5885000</v>
      </c>
      <c r="J150" s="33">
        <v>0</v>
      </c>
      <c r="K150" s="6">
        <v>5885000</v>
      </c>
      <c r="L150" s="69" t="s">
        <v>302</v>
      </c>
      <c r="M150" s="3"/>
      <c r="N150" s="28">
        <f>+Tabla15132[[#This Row],[VALOR TOTAL DEL CONTRATO
(en pesos)
CON IVA
(inicial)]]+Tabla15132[[#This Row],[VALOR DE LAS ADICIONES
(en pesos)
CON IVA]]</f>
        <v>5885000</v>
      </c>
      <c r="O150" s="4">
        <f>+Tabla15132[[#This Row],[FECHA TERMINACIÓN CONTRATO
(inicial)]]-Tabla15132[[#This Row],[FECHA INICIO CONTRATO]]</f>
        <v>30</v>
      </c>
      <c r="P150" s="23" t="s">
        <v>302</v>
      </c>
      <c r="Q150" s="101"/>
      <c r="R150" s="70" t="s">
        <v>302</v>
      </c>
      <c r="S150" s="70"/>
      <c r="T150" s="65">
        <v>45930</v>
      </c>
      <c r="U150" s="65">
        <v>45960</v>
      </c>
      <c r="V150" s="65">
        <v>45960</v>
      </c>
      <c r="W150" s="64" t="s">
        <v>320</v>
      </c>
      <c r="X150" s="71"/>
      <c r="Y150" s="71" t="s">
        <v>321</v>
      </c>
      <c r="Z150" s="30">
        <v>1</v>
      </c>
      <c r="AA150" s="30">
        <v>1</v>
      </c>
      <c r="AB150" s="31">
        <v>5885000</v>
      </c>
      <c r="AC150" s="32" t="s">
        <v>2208</v>
      </c>
    </row>
    <row r="151" spans="1:29" ht="29" x14ac:dyDescent="0.35">
      <c r="A151" s="2" t="s">
        <v>311</v>
      </c>
      <c r="B151" s="27" t="s">
        <v>365</v>
      </c>
      <c r="C151" s="66" t="s">
        <v>2209</v>
      </c>
      <c r="D151" s="65">
        <v>45933</v>
      </c>
      <c r="E151" s="26" t="s">
        <v>142</v>
      </c>
      <c r="F151" s="67" t="s">
        <v>2210</v>
      </c>
      <c r="G151" s="42" t="s">
        <v>2618</v>
      </c>
      <c r="H151" s="2" t="s">
        <v>473</v>
      </c>
      <c r="I151" s="33">
        <v>1721990</v>
      </c>
      <c r="J151" s="33">
        <v>327178</v>
      </c>
      <c r="K151" s="36">
        <v>2049168</v>
      </c>
      <c r="L151" s="69" t="s">
        <v>302</v>
      </c>
      <c r="M151" s="3"/>
      <c r="N151" s="28">
        <f>+Tabla15132[[#This Row],[VALOR TOTAL DEL CONTRATO
(en pesos)
CON IVA
(inicial)]]+Tabla15132[[#This Row],[VALOR DE LAS ADICIONES
(en pesos)
CON IVA]]</f>
        <v>2049168</v>
      </c>
      <c r="O151" s="37">
        <f>+Tabla15132[[#This Row],[FECHA TERMINACIÓN CONTRATO
(inicial)]]-Tabla15132[[#This Row],[FECHA INICIO CONTRATO]]</f>
        <v>9</v>
      </c>
      <c r="P151" s="23" t="s">
        <v>302</v>
      </c>
      <c r="Q151" s="101"/>
      <c r="R151" s="70" t="s">
        <v>302</v>
      </c>
      <c r="S151" s="70"/>
      <c r="T151" s="65">
        <v>45937</v>
      </c>
      <c r="U151" s="65">
        <v>45946</v>
      </c>
      <c r="V151" s="65">
        <v>45946</v>
      </c>
      <c r="W151" s="64" t="s">
        <v>320</v>
      </c>
      <c r="X151" s="71"/>
      <c r="Y151" s="71" t="s">
        <v>321</v>
      </c>
      <c r="Z151" s="30">
        <v>1</v>
      </c>
      <c r="AA151" s="30">
        <v>1</v>
      </c>
      <c r="AB151" s="31">
        <v>2049168.1</v>
      </c>
      <c r="AC151" s="32" t="s">
        <v>2211</v>
      </c>
    </row>
    <row r="152" spans="1:29" ht="29" x14ac:dyDescent="0.35">
      <c r="A152" s="2" t="s">
        <v>314</v>
      </c>
      <c r="B152" s="27" t="s">
        <v>365</v>
      </c>
      <c r="C152" s="66" t="s">
        <v>2212</v>
      </c>
      <c r="D152" s="65">
        <v>45933</v>
      </c>
      <c r="E152" s="26" t="s">
        <v>150</v>
      </c>
      <c r="F152" s="67" t="s">
        <v>2213</v>
      </c>
      <c r="G152" s="42" t="s">
        <v>2568</v>
      </c>
      <c r="H152" s="2" t="s">
        <v>471</v>
      </c>
      <c r="I152" s="33">
        <v>4000000</v>
      </c>
      <c r="J152" s="33">
        <v>760000</v>
      </c>
      <c r="K152" s="36">
        <v>4760000</v>
      </c>
      <c r="L152" s="69" t="s">
        <v>302</v>
      </c>
      <c r="M152" s="3"/>
      <c r="N152" s="28">
        <f>+Tabla15132[[#This Row],[VALOR TOTAL DEL CONTRATO
(en pesos)
CON IVA
(inicial)]]+Tabla15132[[#This Row],[VALOR DE LAS ADICIONES
(en pesos)
CON IVA]]</f>
        <v>4760000</v>
      </c>
      <c r="O152" s="37">
        <f>+Tabla15132[[#This Row],[FECHA TERMINACIÓN CONTRATO
(inicial)]]-Tabla15132[[#This Row],[FECHA INICIO CONTRATO]]</f>
        <v>1</v>
      </c>
      <c r="P152" s="23" t="s">
        <v>302</v>
      </c>
      <c r="Q152" s="101"/>
      <c r="R152" s="70" t="s">
        <v>302</v>
      </c>
      <c r="S152" s="70"/>
      <c r="T152" s="65">
        <v>45933</v>
      </c>
      <c r="U152" s="65">
        <v>45934</v>
      </c>
      <c r="V152" s="65">
        <v>45934</v>
      </c>
      <c r="W152" s="64" t="s">
        <v>320</v>
      </c>
      <c r="X152" s="71"/>
      <c r="Y152" s="71" t="s">
        <v>321</v>
      </c>
      <c r="Z152" s="30">
        <f>Tabla15132[[#This Row],[VALOR PAGADO (en pesos)
A 31 DICIEMBRE 2025]]/Tabla15132[[#This Row],[VALOR TOTAL DEL CONTRATO
(en pesos)
CON IVA
(inicial)]]</f>
        <v>0.90756302521008403</v>
      </c>
      <c r="AA152" s="30">
        <f>Tabla15132[[#This Row],[PORCENTAJE DE EJECUCIÓN FÍSICA 
A 31 DICIEMBRE 2025]]</f>
        <v>0.90756302521008403</v>
      </c>
      <c r="AB152" s="31">
        <v>4320000</v>
      </c>
      <c r="AC152" s="32" t="s">
        <v>2214</v>
      </c>
    </row>
    <row r="153" spans="1:29" ht="29" x14ac:dyDescent="0.35">
      <c r="A153" s="2" t="s">
        <v>435</v>
      </c>
      <c r="B153" s="27" t="s">
        <v>300</v>
      </c>
      <c r="C153" s="66" t="s">
        <v>2215</v>
      </c>
      <c r="D153" s="65">
        <v>45938</v>
      </c>
      <c r="E153" s="26" t="s">
        <v>113</v>
      </c>
      <c r="F153" s="67" t="s">
        <v>2216</v>
      </c>
      <c r="G153" s="42" t="s">
        <v>2540</v>
      </c>
      <c r="H153" s="2" t="s">
        <v>2217</v>
      </c>
      <c r="I153" s="33">
        <v>9152941</v>
      </c>
      <c r="J153" s="33">
        <v>1739058</v>
      </c>
      <c r="K153" s="36">
        <v>10892000</v>
      </c>
      <c r="L153" s="69" t="s">
        <v>302</v>
      </c>
      <c r="M153" s="3"/>
      <c r="N153" s="28">
        <f>+Tabla15132[[#This Row],[VALOR TOTAL DEL CONTRATO
(en pesos)
CON IVA
(inicial)]]+Tabla15132[[#This Row],[VALOR DE LAS ADICIONES
(en pesos)
CON IVA]]</f>
        <v>10892000</v>
      </c>
      <c r="O153" s="37">
        <f>+Tabla15132[[#This Row],[FECHA TERMINACIÓN CONTRATO
(inicial)]]-Tabla15132[[#This Row],[FECHA INICIO CONTRATO]]</f>
        <v>7</v>
      </c>
      <c r="P153" s="23" t="s">
        <v>302</v>
      </c>
      <c r="Q153" s="101"/>
      <c r="R153" s="70" t="s">
        <v>302</v>
      </c>
      <c r="S153" s="70"/>
      <c r="T153" s="65">
        <v>45953</v>
      </c>
      <c r="U153" s="65">
        <v>45960</v>
      </c>
      <c r="V153" s="65">
        <v>45960</v>
      </c>
      <c r="W153" s="64" t="s">
        <v>320</v>
      </c>
      <c r="X153" s="71"/>
      <c r="Y153" s="71" t="s">
        <v>321</v>
      </c>
      <c r="Z153" s="30">
        <v>1</v>
      </c>
      <c r="AA153" s="30">
        <v>1</v>
      </c>
      <c r="AB153" s="31">
        <v>10892000</v>
      </c>
      <c r="AC153" s="32" t="s">
        <v>2218</v>
      </c>
    </row>
    <row r="154" spans="1:29" ht="29" x14ac:dyDescent="0.35">
      <c r="A154" s="2" t="s">
        <v>315</v>
      </c>
      <c r="B154" s="27" t="s">
        <v>300</v>
      </c>
      <c r="C154" s="66" t="s">
        <v>2219</v>
      </c>
      <c r="D154" s="65">
        <v>45945</v>
      </c>
      <c r="E154" s="26" t="s">
        <v>142</v>
      </c>
      <c r="F154" s="67" t="s">
        <v>2220</v>
      </c>
      <c r="G154" s="42" t="s">
        <v>2541</v>
      </c>
      <c r="H154" s="2" t="s">
        <v>2221</v>
      </c>
      <c r="I154" s="33">
        <v>6000000</v>
      </c>
      <c r="J154" s="33">
        <v>1140000</v>
      </c>
      <c r="K154" s="36">
        <v>7140000</v>
      </c>
      <c r="L154" s="69" t="s">
        <v>302</v>
      </c>
      <c r="M154" s="3"/>
      <c r="N154" s="28">
        <f>+Tabla15132[[#This Row],[VALOR TOTAL DEL CONTRATO
(en pesos)
CON IVA
(inicial)]]+Tabla15132[[#This Row],[VALOR DE LAS ADICIONES
(en pesos)
CON IVA]]</f>
        <v>7140000</v>
      </c>
      <c r="O154" s="37">
        <f>+Tabla15132[[#This Row],[FECHA TERMINACIÓN CONTRATO
(inicial)]]-Tabla15132[[#This Row],[FECHA INICIO CONTRATO]]</f>
        <v>16</v>
      </c>
      <c r="P154" s="23" t="s">
        <v>302</v>
      </c>
      <c r="Q154" s="101"/>
      <c r="R154" s="70" t="s">
        <v>302</v>
      </c>
      <c r="S154" s="70"/>
      <c r="T154" s="65">
        <v>45952</v>
      </c>
      <c r="U154" s="65">
        <v>45968</v>
      </c>
      <c r="V154" s="65">
        <v>45968</v>
      </c>
      <c r="W154" s="64" t="s">
        <v>320</v>
      </c>
      <c r="X154" s="71"/>
      <c r="Y154" s="71" t="s">
        <v>321</v>
      </c>
      <c r="Z154" s="30">
        <v>1</v>
      </c>
      <c r="AA154" s="30">
        <v>1</v>
      </c>
      <c r="AB154" s="31">
        <v>7140000</v>
      </c>
      <c r="AC154" s="32" t="s">
        <v>2222</v>
      </c>
    </row>
    <row r="155" spans="1:29" ht="29" x14ac:dyDescent="0.35">
      <c r="A155" s="2" t="s">
        <v>314</v>
      </c>
      <c r="B155" s="27" t="s">
        <v>300</v>
      </c>
      <c r="C155" s="66" t="s">
        <v>2223</v>
      </c>
      <c r="D155" s="65">
        <v>45946</v>
      </c>
      <c r="E155" s="26" t="s">
        <v>142</v>
      </c>
      <c r="F155" s="67" t="s">
        <v>2224</v>
      </c>
      <c r="G155" s="42" t="s">
        <v>2593</v>
      </c>
      <c r="H155" s="2" t="s">
        <v>2225</v>
      </c>
      <c r="I155" s="33">
        <v>10612037</v>
      </c>
      <c r="J155" s="33">
        <v>2016288</v>
      </c>
      <c r="K155" s="36">
        <v>12628325</v>
      </c>
      <c r="L155" s="69" t="s">
        <v>302</v>
      </c>
      <c r="M155" s="3"/>
      <c r="N155" s="28">
        <f>+Tabla15132[[#This Row],[VALOR TOTAL DEL CONTRATO
(en pesos)
CON IVA
(inicial)]]+Tabla15132[[#This Row],[VALOR DE LAS ADICIONES
(en pesos)
CON IVA]]</f>
        <v>12628325</v>
      </c>
      <c r="O155" s="37">
        <f>+Tabla15132[[#This Row],[FECHA TERMINACIÓN CONTRATO
(inicial)]]-Tabla15132[[#This Row],[FECHA INICIO CONTRATO]]</f>
        <v>10</v>
      </c>
      <c r="P155" s="23" t="s">
        <v>302</v>
      </c>
      <c r="Q155" s="101"/>
      <c r="R155" s="70" t="s">
        <v>302</v>
      </c>
      <c r="S155" s="70"/>
      <c r="T155" s="65">
        <v>45946</v>
      </c>
      <c r="U155" s="65">
        <v>45956</v>
      </c>
      <c r="V155" s="65">
        <v>45956</v>
      </c>
      <c r="W155" s="64" t="s">
        <v>320</v>
      </c>
      <c r="X155" s="71"/>
      <c r="Y155" s="71" t="s">
        <v>321</v>
      </c>
      <c r="Z155" s="30">
        <v>1</v>
      </c>
      <c r="AA155" s="30">
        <v>1</v>
      </c>
      <c r="AB155" s="31">
        <v>12628324</v>
      </c>
      <c r="AC155" s="32" t="s">
        <v>2226</v>
      </c>
    </row>
    <row r="156" spans="1:29" ht="29" x14ac:dyDescent="0.35">
      <c r="A156" s="2" t="s">
        <v>317</v>
      </c>
      <c r="B156" s="27" t="s">
        <v>300</v>
      </c>
      <c r="C156" s="66" t="s">
        <v>2227</v>
      </c>
      <c r="D156" s="65">
        <v>45947</v>
      </c>
      <c r="E156" s="26" t="s">
        <v>142</v>
      </c>
      <c r="F156" s="67" t="s">
        <v>2228</v>
      </c>
      <c r="G156" s="42" t="s">
        <v>2569</v>
      </c>
      <c r="H156" s="2" t="s">
        <v>460</v>
      </c>
      <c r="I156" s="33">
        <v>35406649</v>
      </c>
      <c r="J156" s="33">
        <v>6727264</v>
      </c>
      <c r="K156" s="36">
        <v>42133913</v>
      </c>
      <c r="L156" s="69" t="s">
        <v>302</v>
      </c>
      <c r="M156" s="3"/>
      <c r="N156" s="28">
        <f>+Tabla15132[[#This Row],[VALOR TOTAL DEL CONTRATO
(en pesos)
CON IVA
(inicial)]]+Tabla15132[[#This Row],[VALOR DE LAS ADICIONES
(en pesos)
CON IVA]]</f>
        <v>42133913</v>
      </c>
      <c r="O156" s="37">
        <f>+Tabla15132[[#This Row],[FECHA TERMINACIÓN CONTRATO
(inicial)]]-Tabla15132[[#This Row],[FECHA INICIO CONTRATO]]</f>
        <v>61</v>
      </c>
      <c r="P156" s="23" t="s">
        <v>302</v>
      </c>
      <c r="Q156" s="101"/>
      <c r="R156" s="70" t="s">
        <v>302</v>
      </c>
      <c r="S156" s="70"/>
      <c r="T156" s="65">
        <v>45950</v>
      </c>
      <c r="U156" s="65">
        <v>46011</v>
      </c>
      <c r="V156" s="65">
        <v>46011</v>
      </c>
      <c r="W156" s="64" t="s">
        <v>323</v>
      </c>
      <c r="X156" s="71">
        <v>46010</v>
      </c>
      <c r="Y156" s="75" t="s">
        <v>364</v>
      </c>
      <c r="Z156" s="30">
        <v>0</v>
      </c>
      <c r="AA156" s="30">
        <v>0</v>
      </c>
      <c r="AB156" s="31">
        <v>0</v>
      </c>
      <c r="AC156" s="32" t="s">
        <v>2229</v>
      </c>
    </row>
    <row r="157" spans="1:29" ht="29" x14ac:dyDescent="0.35">
      <c r="A157" s="2" t="s">
        <v>309</v>
      </c>
      <c r="B157" s="27" t="s">
        <v>365</v>
      </c>
      <c r="C157" s="66" t="s">
        <v>2230</v>
      </c>
      <c r="D157" s="65">
        <v>45945</v>
      </c>
      <c r="E157" s="26" t="s">
        <v>142</v>
      </c>
      <c r="F157" s="67" t="s">
        <v>2231</v>
      </c>
      <c r="G157" s="42" t="s">
        <v>2604</v>
      </c>
      <c r="H157" s="2" t="s">
        <v>2232</v>
      </c>
      <c r="I157" s="33">
        <v>2925000</v>
      </c>
      <c r="J157" s="33">
        <v>23750</v>
      </c>
      <c r="K157" s="36">
        <v>2948750</v>
      </c>
      <c r="L157" s="69" t="s">
        <v>302</v>
      </c>
      <c r="M157" s="3"/>
      <c r="N157" s="28">
        <f>+Tabla15132[[#This Row],[VALOR TOTAL DEL CONTRATO
(en pesos)
CON IVA
(inicial)]]+Tabla15132[[#This Row],[VALOR DE LAS ADICIONES
(en pesos)
CON IVA]]</f>
        <v>2948750</v>
      </c>
      <c r="O157" s="37">
        <f>+Tabla15132[[#This Row],[FECHA TERMINACIÓN CONTRATO
(inicial)]]-Tabla15132[[#This Row],[FECHA INICIO CONTRATO]]</f>
        <v>8</v>
      </c>
      <c r="P157" s="23" t="s">
        <v>302</v>
      </c>
      <c r="Q157" s="101"/>
      <c r="R157" s="70" t="s">
        <v>302</v>
      </c>
      <c r="S157" s="70"/>
      <c r="T157" s="65">
        <v>45945</v>
      </c>
      <c r="U157" s="65">
        <v>45953</v>
      </c>
      <c r="V157" s="65">
        <v>45953</v>
      </c>
      <c r="W157" s="64" t="s">
        <v>320</v>
      </c>
      <c r="X157" s="71"/>
      <c r="Y157" s="71" t="s">
        <v>321</v>
      </c>
      <c r="Z157" s="30">
        <v>1</v>
      </c>
      <c r="AA157" s="30">
        <v>1</v>
      </c>
      <c r="AB157" s="31">
        <v>2948750</v>
      </c>
      <c r="AC157" s="32" t="s">
        <v>2233</v>
      </c>
    </row>
    <row r="158" spans="1:29" ht="29" x14ac:dyDescent="0.35">
      <c r="A158" s="2" t="s">
        <v>308</v>
      </c>
      <c r="B158" s="27" t="s">
        <v>300</v>
      </c>
      <c r="C158" s="66" t="s">
        <v>2234</v>
      </c>
      <c r="D158" s="65">
        <v>45960</v>
      </c>
      <c r="E158" s="26" t="s">
        <v>113</v>
      </c>
      <c r="F158" s="67" t="s">
        <v>2235</v>
      </c>
      <c r="G158" s="42">
        <v>5348893</v>
      </c>
      <c r="H158" s="2" t="s">
        <v>445</v>
      </c>
      <c r="I158" s="33">
        <v>10250000</v>
      </c>
      <c r="J158" s="33">
        <v>0</v>
      </c>
      <c r="K158" s="36">
        <v>10250000</v>
      </c>
      <c r="L158" s="69" t="s">
        <v>302</v>
      </c>
      <c r="M158" s="3"/>
      <c r="N158" s="28">
        <f>+Tabla15132[[#This Row],[VALOR TOTAL DEL CONTRATO
(en pesos)
CON IVA
(inicial)]]+Tabla15132[[#This Row],[VALOR DE LAS ADICIONES
(en pesos)
CON IVA]]</f>
        <v>10250000</v>
      </c>
      <c r="O158" s="37">
        <f>+Tabla15132[[#This Row],[FECHA TERMINACIÓN CONTRATO
(inicial)]]-Tabla15132[[#This Row],[FECHA INICIO CONTRATO]]</f>
        <v>30</v>
      </c>
      <c r="P158" s="23" t="s">
        <v>302</v>
      </c>
      <c r="Q158" s="101"/>
      <c r="R158" s="70" t="s">
        <v>302</v>
      </c>
      <c r="S158" s="70"/>
      <c r="T158" s="65">
        <v>45961</v>
      </c>
      <c r="U158" s="65">
        <v>45991</v>
      </c>
      <c r="V158" s="65">
        <v>45991</v>
      </c>
      <c r="W158" s="64" t="s">
        <v>320</v>
      </c>
      <c r="X158" s="71"/>
      <c r="Y158" s="71" t="s">
        <v>321</v>
      </c>
      <c r="Z158" s="30">
        <v>1</v>
      </c>
      <c r="AA158" s="30">
        <v>1</v>
      </c>
      <c r="AB158" s="31">
        <v>10250000</v>
      </c>
      <c r="AC158" s="32" t="s">
        <v>2236</v>
      </c>
    </row>
    <row r="159" spans="1:29" ht="29" x14ac:dyDescent="0.35">
      <c r="A159" s="2" t="s">
        <v>436</v>
      </c>
      <c r="B159" s="27" t="s">
        <v>300</v>
      </c>
      <c r="C159" s="66" t="s">
        <v>2237</v>
      </c>
      <c r="D159" s="65">
        <v>45958</v>
      </c>
      <c r="E159" s="26" t="s">
        <v>142</v>
      </c>
      <c r="F159" s="67" t="s">
        <v>2238</v>
      </c>
      <c r="G159" s="42" t="s">
        <v>2612</v>
      </c>
      <c r="H159" s="2" t="s">
        <v>2239</v>
      </c>
      <c r="I159" s="33">
        <v>8855000</v>
      </c>
      <c r="J159" s="33">
        <v>0</v>
      </c>
      <c r="K159" s="36">
        <v>8855000</v>
      </c>
      <c r="L159" s="69" t="s">
        <v>301</v>
      </c>
      <c r="M159" s="3">
        <v>1682450</v>
      </c>
      <c r="N159" s="28">
        <f>+Tabla15132[[#This Row],[VALOR TOTAL DEL CONTRATO
(en pesos)
CON IVA
(inicial)]]+Tabla15132[[#This Row],[VALOR DE LAS ADICIONES
(en pesos)
CON IVA]]</f>
        <v>10537450</v>
      </c>
      <c r="O159" s="37">
        <f>+Tabla15132[[#This Row],[FECHA TERMINACIÓN CONTRATO
(inicial)]]-Tabla15132[[#This Row],[FECHA INICIO CONTRATO]]</f>
        <v>30</v>
      </c>
      <c r="P159" s="23" t="s">
        <v>302</v>
      </c>
      <c r="Q159" s="101"/>
      <c r="R159" s="70" t="s">
        <v>302</v>
      </c>
      <c r="S159" s="70"/>
      <c r="T159" s="65">
        <v>45958</v>
      </c>
      <c r="U159" s="65">
        <v>45988</v>
      </c>
      <c r="V159" s="65">
        <v>45988</v>
      </c>
      <c r="W159" s="64" t="s">
        <v>325</v>
      </c>
      <c r="X159" s="71"/>
      <c r="Y159" s="71" t="s">
        <v>321</v>
      </c>
      <c r="Z159" s="30">
        <v>1</v>
      </c>
      <c r="AA159" s="30">
        <v>1</v>
      </c>
      <c r="AB159" s="31">
        <v>10537450</v>
      </c>
      <c r="AC159" s="32" t="s">
        <v>2240</v>
      </c>
    </row>
    <row r="160" spans="1:29" ht="29" x14ac:dyDescent="0.35">
      <c r="A160" s="2" t="s">
        <v>311</v>
      </c>
      <c r="B160" s="27" t="s">
        <v>365</v>
      </c>
      <c r="C160" s="66" t="s">
        <v>2241</v>
      </c>
      <c r="D160" s="65">
        <v>45989</v>
      </c>
      <c r="E160" s="26" t="s">
        <v>142</v>
      </c>
      <c r="F160" s="67" t="s">
        <v>2242</v>
      </c>
      <c r="G160" s="42" t="s">
        <v>2594</v>
      </c>
      <c r="H160" s="2" t="s">
        <v>2243</v>
      </c>
      <c r="I160" s="33">
        <v>2440000</v>
      </c>
      <c r="J160" s="33">
        <v>463600</v>
      </c>
      <c r="K160" s="36">
        <v>2903600</v>
      </c>
      <c r="L160" s="69" t="s">
        <v>302</v>
      </c>
      <c r="M160" s="3"/>
      <c r="N160" s="28">
        <f>+Tabla15132[[#This Row],[VALOR TOTAL DEL CONTRATO
(en pesos)
CON IVA
(inicial)]]+Tabla15132[[#This Row],[VALOR DE LAS ADICIONES
(en pesos)
CON IVA]]</f>
        <v>2903600</v>
      </c>
      <c r="O160" s="37">
        <f>+Tabla15132[[#This Row],[FECHA TERMINACIÓN CONTRATO
(inicial)]]-Tabla15132[[#This Row],[FECHA INICIO CONTRATO]]</f>
        <v>4</v>
      </c>
      <c r="P160" s="23" t="s">
        <v>302</v>
      </c>
      <c r="Q160" s="101"/>
      <c r="R160" s="70" t="s">
        <v>302</v>
      </c>
      <c r="S160" s="70"/>
      <c r="T160" s="65">
        <v>45971</v>
      </c>
      <c r="U160" s="65">
        <v>45975</v>
      </c>
      <c r="V160" s="65">
        <v>45975</v>
      </c>
      <c r="W160" s="64" t="s">
        <v>320</v>
      </c>
      <c r="X160" s="71"/>
      <c r="Y160" s="71" t="s">
        <v>321</v>
      </c>
      <c r="Z160" s="30">
        <v>1</v>
      </c>
      <c r="AA160" s="30">
        <v>1</v>
      </c>
      <c r="AB160" s="31">
        <v>2903600</v>
      </c>
      <c r="AC160" s="32" t="s">
        <v>2244</v>
      </c>
    </row>
    <row r="161" spans="1:29" ht="29" x14ac:dyDescent="0.35">
      <c r="A161" s="2" t="s">
        <v>319</v>
      </c>
      <c r="B161" s="27" t="s">
        <v>300</v>
      </c>
      <c r="C161" s="66" t="s">
        <v>2245</v>
      </c>
      <c r="D161" s="65">
        <v>45972</v>
      </c>
      <c r="E161" s="26" t="s">
        <v>113</v>
      </c>
      <c r="F161" s="67" t="s">
        <v>2246</v>
      </c>
      <c r="G161" s="42">
        <v>5348893</v>
      </c>
      <c r="H161" s="2" t="s">
        <v>445</v>
      </c>
      <c r="I161" s="33">
        <v>11650000</v>
      </c>
      <c r="J161" s="33">
        <v>0</v>
      </c>
      <c r="K161" s="36">
        <v>11650000</v>
      </c>
      <c r="L161" s="69" t="s">
        <v>302</v>
      </c>
      <c r="M161" s="3"/>
      <c r="N161" s="28">
        <f>+Tabla15132[[#This Row],[VALOR TOTAL DEL CONTRATO
(en pesos)
CON IVA
(inicial)]]+Tabla15132[[#This Row],[VALOR DE LAS ADICIONES
(en pesos)
CON IVA]]</f>
        <v>11650000</v>
      </c>
      <c r="O161" s="37">
        <f>+Tabla15132[[#This Row],[FECHA TERMINACIÓN CONTRATO
(inicial)]]-Tabla15132[[#This Row],[FECHA INICIO CONTRATO]]</f>
        <v>14</v>
      </c>
      <c r="P161" s="23" t="s">
        <v>302</v>
      </c>
      <c r="Q161" s="101"/>
      <c r="R161" s="70" t="s">
        <v>302</v>
      </c>
      <c r="S161" s="70"/>
      <c r="T161" s="65">
        <v>45972</v>
      </c>
      <c r="U161" s="65">
        <v>45986</v>
      </c>
      <c r="V161" s="65">
        <v>45986</v>
      </c>
      <c r="W161" s="64" t="s">
        <v>320</v>
      </c>
      <c r="X161" s="71"/>
      <c r="Y161" s="71" t="s">
        <v>321</v>
      </c>
      <c r="Z161" s="59">
        <v>1</v>
      </c>
      <c r="AA161" s="59">
        <v>1</v>
      </c>
      <c r="AB161" s="98">
        <v>11650000</v>
      </c>
      <c r="AC161" s="32" t="s">
        <v>2247</v>
      </c>
    </row>
    <row r="162" spans="1:29" ht="29" x14ac:dyDescent="0.35">
      <c r="A162" s="2" t="s">
        <v>314</v>
      </c>
      <c r="B162" s="27" t="s">
        <v>300</v>
      </c>
      <c r="C162" s="66" t="s">
        <v>2248</v>
      </c>
      <c r="D162" s="65">
        <v>45975</v>
      </c>
      <c r="E162" s="26" t="s">
        <v>113</v>
      </c>
      <c r="F162" s="67" t="s">
        <v>2249</v>
      </c>
      <c r="G162" s="42" t="s">
        <v>2581</v>
      </c>
      <c r="H162" s="2" t="s">
        <v>467</v>
      </c>
      <c r="I162" s="33">
        <v>62569111</v>
      </c>
      <c r="J162" s="33">
        <v>365930</v>
      </c>
      <c r="K162" s="36">
        <v>62935041</v>
      </c>
      <c r="L162" s="69" t="s">
        <v>302</v>
      </c>
      <c r="M162" s="3"/>
      <c r="N162" s="28">
        <f>+Tabla15132[[#This Row],[VALOR TOTAL DEL CONTRATO
(en pesos)
CON IVA
(inicial)]]+Tabla15132[[#This Row],[VALOR DE LAS ADICIONES
(en pesos)
CON IVA]]</f>
        <v>62935041</v>
      </c>
      <c r="O162" s="37">
        <f>+Tabla15132[[#This Row],[FECHA TERMINACIÓN CONTRATO
(inicial)]]-Tabla15132[[#This Row],[FECHA INICIO CONTRATO]]</f>
        <v>32</v>
      </c>
      <c r="P162" s="23" t="s">
        <v>302</v>
      </c>
      <c r="Q162" s="101"/>
      <c r="R162" s="70" t="s">
        <v>302</v>
      </c>
      <c r="S162" s="70"/>
      <c r="T162" s="65">
        <v>45975</v>
      </c>
      <c r="U162" s="65">
        <v>46007</v>
      </c>
      <c r="V162" s="65">
        <v>46007</v>
      </c>
      <c r="W162" s="64" t="s">
        <v>320</v>
      </c>
      <c r="X162" s="71"/>
      <c r="Y162" s="71" t="s">
        <v>321</v>
      </c>
      <c r="Z162" s="30">
        <v>1</v>
      </c>
      <c r="AA162" s="30">
        <v>1</v>
      </c>
      <c r="AB162" s="31">
        <v>62935040.509999998</v>
      </c>
      <c r="AC162" s="32" t="s">
        <v>2250</v>
      </c>
    </row>
    <row r="163" spans="1:29" ht="29" x14ac:dyDescent="0.35">
      <c r="A163" s="2" t="s">
        <v>314</v>
      </c>
      <c r="B163" s="27" t="s">
        <v>2251</v>
      </c>
      <c r="C163" s="66" t="s">
        <v>2252</v>
      </c>
      <c r="D163" s="65">
        <v>45985</v>
      </c>
      <c r="E163" s="26" t="s">
        <v>113</v>
      </c>
      <c r="F163" s="67" t="s">
        <v>2253</v>
      </c>
      <c r="G163" s="42">
        <v>37833652</v>
      </c>
      <c r="H163" s="2" t="s">
        <v>2254</v>
      </c>
      <c r="I163" s="33">
        <v>11840000</v>
      </c>
      <c r="J163" s="33">
        <v>2249600</v>
      </c>
      <c r="K163" s="36">
        <v>14089600</v>
      </c>
      <c r="L163" s="69" t="s">
        <v>302</v>
      </c>
      <c r="M163" s="3"/>
      <c r="N163" s="28">
        <f>+Tabla15132[[#This Row],[VALOR TOTAL DEL CONTRATO
(en pesos)
CON IVA
(inicial)]]+Tabla15132[[#This Row],[VALOR DE LAS ADICIONES
(en pesos)
CON IVA]]</f>
        <v>14089600</v>
      </c>
      <c r="O163" s="37">
        <f>+Tabla15132[[#This Row],[FECHA TERMINACIÓN CONTRATO
(inicial)]]-Tabla15132[[#This Row],[FECHA INICIO CONTRATO]]</f>
        <v>15</v>
      </c>
      <c r="P163" s="23" t="s">
        <v>302</v>
      </c>
      <c r="Q163" s="101">
        <f>+Tabla15132[[#This Row],[FECHA TERMINACIÓN DEL CONTRATO
(inicial + prórrogas)]]-Tabla15132[[#This Row],[FECHA TERMINACIÓN CONTRATO
(inicial)]]</f>
        <v>0</v>
      </c>
      <c r="R163" s="70" t="s">
        <v>302</v>
      </c>
      <c r="S163" s="70"/>
      <c r="T163" s="65">
        <v>45986</v>
      </c>
      <c r="U163" s="65">
        <v>46001</v>
      </c>
      <c r="V163" s="65">
        <v>46001</v>
      </c>
      <c r="W163" s="64" t="s">
        <v>320</v>
      </c>
      <c r="X163" s="71"/>
      <c r="Y163" s="71" t="s">
        <v>321</v>
      </c>
      <c r="Z163" s="30">
        <v>0.84</v>
      </c>
      <c r="AA163" s="30">
        <v>0.84</v>
      </c>
      <c r="AB163" s="31">
        <v>11840000</v>
      </c>
      <c r="AC163" s="32" t="s">
        <v>2255</v>
      </c>
    </row>
    <row r="164" spans="1:29" ht="29" x14ac:dyDescent="0.35">
      <c r="A164" s="2" t="s">
        <v>438</v>
      </c>
      <c r="B164" s="27" t="s">
        <v>365</v>
      </c>
      <c r="C164" s="66" t="s">
        <v>2256</v>
      </c>
      <c r="D164" s="65">
        <v>45985</v>
      </c>
      <c r="E164" s="26" t="s">
        <v>150</v>
      </c>
      <c r="F164" s="67" t="s">
        <v>2257</v>
      </c>
      <c r="G164" s="42">
        <v>24714939</v>
      </c>
      <c r="H164" s="2" t="s">
        <v>470</v>
      </c>
      <c r="I164" s="33">
        <v>2700000</v>
      </c>
      <c r="J164" s="33">
        <v>0</v>
      </c>
      <c r="K164" s="36">
        <v>2700000</v>
      </c>
      <c r="L164" s="69" t="s">
        <v>302</v>
      </c>
      <c r="M164" s="3"/>
      <c r="N164" s="28">
        <f>+Tabla15132[[#This Row],[VALOR TOTAL DEL CONTRATO
(en pesos)
CON IVA
(inicial)]]+Tabla15132[[#This Row],[VALOR DE LAS ADICIONES
(en pesos)
CON IVA]]</f>
        <v>2700000</v>
      </c>
      <c r="O164" s="37">
        <f>+Tabla15132[[#This Row],[FECHA TERMINACIÓN CONTRATO
(inicial)]]-Tabla15132[[#This Row],[FECHA INICIO CONTRATO]]</f>
        <v>0</v>
      </c>
      <c r="P164" s="23" t="s">
        <v>302</v>
      </c>
      <c r="Q164" s="101"/>
      <c r="R164" s="70" t="s">
        <v>302</v>
      </c>
      <c r="S164" s="70"/>
      <c r="T164" s="65">
        <v>45986</v>
      </c>
      <c r="U164" s="65">
        <v>45986</v>
      </c>
      <c r="V164" s="65">
        <v>45986</v>
      </c>
      <c r="W164" s="64" t="s">
        <v>320</v>
      </c>
      <c r="X164" s="71"/>
      <c r="Y164" s="71" t="s">
        <v>321</v>
      </c>
      <c r="Z164" s="30">
        <v>1</v>
      </c>
      <c r="AA164" s="30">
        <v>1</v>
      </c>
      <c r="AB164" s="31">
        <v>2700000</v>
      </c>
      <c r="AC164" s="32" t="s">
        <v>2258</v>
      </c>
    </row>
    <row r="165" spans="1:29" ht="43.5" x14ac:dyDescent="0.35">
      <c r="A165" s="2" t="s">
        <v>313</v>
      </c>
      <c r="B165" s="27" t="s">
        <v>365</v>
      </c>
      <c r="C165" s="66" t="s">
        <v>2259</v>
      </c>
      <c r="D165" s="65">
        <v>45972</v>
      </c>
      <c r="E165" s="26" t="s">
        <v>142</v>
      </c>
      <c r="F165" s="67" t="s">
        <v>2260</v>
      </c>
      <c r="G165" s="42" t="s">
        <v>2570</v>
      </c>
      <c r="H165" s="2" t="s">
        <v>2261</v>
      </c>
      <c r="I165" s="33">
        <v>2400000</v>
      </c>
      <c r="J165" s="33">
        <v>456000</v>
      </c>
      <c r="K165" s="36">
        <v>2856000</v>
      </c>
      <c r="L165" s="69" t="s">
        <v>302</v>
      </c>
      <c r="M165" s="3"/>
      <c r="N165" s="28">
        <f>+Tabla15132[[#This Row],[VALOR TOTAL DEL CONTRATO
(en pesos)
CON IVA
(inicial)]]+Tabla15132[[#This Row],[VALOR DE LAS ADICIONES
(en pesos)
CON IVA]]</f>
        <v>2856000</v>
      </c>
      <c r="O165" s="37">
        <f>+Tabla15132[[#This Row],[FECHA TERMINACIÓN CONTRATO
(inicial)]]-Tabla15132[[#This Row],[FECHA INICIO CONTRATO]]</f>
        <v>50</v>
      </c>
      <c r="P165" s="23" t="s">
        <v>302</v>
      </c>
      <c r="Q165" s="101"/>
      <c r="R165" s="70" t="s">
        <v>302</v>
      </c>
      <c r="S165" s="70"/>
      <c r="T165" s="65">
        <v>45972</v>
      </c>
      <c r="U165" s="65">
        <v>46022</v>
      </c>
      <c r="V165" s="65">
        <v>46022</v>
      </c>
      <c r="W165" s="64" t="s">
        <v>323</v>
      </c>
      <c r="X165" s="71">
        <v>46037</v>
      </c>
      <c r="Y165" s="71" t="s">
        <v>321</v>
      </c>
      <c r="Z165" s="30">
        <v>1</v>
      </c>
      <c r="AA165" s="30">
        <v>1</v>
      </c>
      <c r="AB165" s="99">
        <v>2856000</v>
      </c>
      <c r="AC165" s="32" t="s">
        <v>2262</v>
      </c>
    </row>
    <row r="166" spans="1:29" ht="29" x14ac:dyDescent="0.35">
      <c r="A166" s="26" t="s">
        <v>1732</v>
      </c>
      <c r="B166" s="27" t="s">
        <v>300</v>
      </c>
      <c r="C166" s="66" t="s">
        <v>2263</v>
      </c>
      <c r="D166" s="65">
        <v>45986</v>
      </c>
      <c r="E166" s="26" t="s">
        <v>142</v>
      </c>
      <c r="F166" s="67" t="s">
        <v>2264</v>
      </c>
      <c r="G166" s="42" t="s">
        <v>2589</v>
      </c>
      <c r="H166" s="2" t="s">
        <v>2060</v>
      </c>
      <c r="I166" s="33">
        <v>7395000</v>
      </c>
      <c r="J166" s="33">
        <v>1405050</v>
      </c>
      <c r="K166" s="36">
        <v>8800050</v>
      </c>
      <c r="L166" s="69" t="s">
        <v>302</v>
      </c>
      <c r="M166" s="3"/>
      <c r="N166" s="28">
        <f>+Tabla15132[[#This Row],[VALOR TOTAL DEL CONTRATO
(en pesos)
CON IVA
(inicial)]]+Tabla15132[[#This Row],[VALOR DE LAS ADICIONES
(en pesos)
CON IVA]]</f>
        <v>8800050</v>
      </c>
      <c r="O166" s="37">
        <f>+Tabla15132[[#This Row],[FECHA TERMINACIÓN CONTRATO
(inicial)]]-Tabla15132[[#This Row],[FECHA INICIO CONTRATO]]</f>
        <v>10</v>
      </c>
      <c r="P166" s="23" t="s">
        <v>302</v>
      </c>
      <c r="Q166" s="101"/>
      <c r="R166" s="70" t="s">
        <v>302</v>
      </c>
      <c r="S166" s="70"/>
      <c r="T166" s="65">
        <v>45986</v>
      </c>
      <c r="U166" s="65">
        <v>45996</v>
      </c>
      <c r="V166" s="65">
        <v>45996</v>
      </c>
      <c r="W166" s="64" t="s">
        <v>320</v>
      </c>
      <c r="X166" s="71"/>
      <c r="Y166" s="71" t="s">
        <v>321</v>
      </c>
      <c r="Z166" s="30">
        <v>1</v>
      </c>
      <c r="AA166" s="30">
        <v>1</v>
      </c>
      <c r="AB166" s="31">
        <v>8800050</v>
      </c>
      <c r="AC166" s="32" t="s">
        <v>2265</v>
      </c>
    </row>
    <row r="167" spans="1:29" ht="29" x14ac:dyDescent="0.35">
      <c r="A167" s="2" t="s">
        <v>299</v>
      </c>
      <c r="B167" s="27" t="s">
        <v>365</v>
      </c>
      <c r="C167" s="66" t="s">
        <v>2266</v>
      </c>
      <c r="D167" s="65">
        <v>45986</v>
      </c>
      <c r="E167" s="26" t="s">
        <v>150</v>
      </c>
      <c r="F167" s="67" t="s">
        <v>2267</v>
      </c>
      <c r="G167" s="42">
        <v>17596837</v>
      </c>
      <c r="H167" s="2" t="s">
        <v>2026</v>
      </c>
      <c r="I167" s="33">
        <v>1700000</v>
      </c>
      <c r="J167" s="33">
        <v>0</v>
      </c>
      <c r="K167" s="36">
        <v>1700000</v>
      </c>
      <c r="L167" s="69" t="s">
        <v>302</v>
      </c>
      <c r="M167" s="3"/>
      <c r="N167" s="28">
        <f>+Tabla15132[[#This Row],[VALOR TOTAL DEL CONTRATO
(en pesos)
CON IVA
(inicial)]]+Tabla15132[[#This Row],[VALOR DE LAS ADICIONES
(en pesos)
CON IVA]]</f>
        <v>1700000</v>
      </c>
      <c r="O167" s="37">
        <f>+Tabla15132[[#This Row],[FECHA TERMINACIÓN CONTRATO
(inicial)]]-Tabla15132[[#This Row],[FECHA INICIO CONTRATO]]</f>
        <v>0</v>
      </c>
      <c r="P167" s="23" t="s">
        <v>302</v>
      </c>
      <c r="Q167" s="101"/>
      <c r="R167" s="70" t="s">
        <v>302</v>
      </c>
      <c r="S167" s="70"/>
      <c r="T167" s="65">
        <v>45989</v>
      </c>
      <c r="U167" s="65">
        <v>45989</v>
      </c>
      <c r="V167" s="65">
        <v>45989</v>
      </c>
      <c r="W167" s="64" t="s">
        <v>320</v>
      </c>
      <c r="X167" s="71"/>
      <c r="Y167" s="71" t="s">
        <v>321</v>
      </c>
      <c r="Z167" s="59">
        <v>1</v>
      </c>
      <c r="AA167" s="59">
        <v>1</v>
      </c>
      <c r="AB167" s="98">
        <v>1700000</v>
      </c>
      <c r="AC167" s="32" t="s">
        <v>2268</v>
      </c>
    </row>
    <row r="168" spans="1:29" ht="29" x14ac:dyDescent="0.35">
      <c r="A168" s="2" t="s">
        <v>436</v>
      </c>
      <c r="B168" s="27" t="s">
        <v>365</v>
      </c>
      <c r="C168" s="66" t="s">
        <v>2269</v>
      </c>
      <c r="D168" s="65">
        <v>45986</v>
      </c>
      <c r="E168" s="26" t="s">
        <v>150</v>
      </c>
      <c r="F168" s="67" t="s">
        <v>2270</v>
      </c>
      <c r="G168" s="42" t="s">
        <v>2571</v>
      </c>
      <c r="H168" s="2" t="s">
        <v>2271</v>
      </c>
      <c r="I168" s="33">
        <v>3116200</v>
      </c>
      <c r="J168" s="33">
        <v>592078</v>
      </c>
      <c r="K168" s="36">
        <v>3708278</v>
      </c>
      <c r="L168" s="69" t="s">
        <v>302</v>
      </c>
      <c r="M168" s="3"/>
      <c r="N168" s="28">
        <f>+Tabla15132[[#This Row],[VALOR TOTAL DEL CONTRATO
(en pesos)
CON IVA
(inicial)]]+Tabla15132[[#This Row],[VALOR DE LAS ADICIONES
(en pesos)
CON IVA]]</f>
        <v>3708278</v>
      </c>
      <c r="O168" s="37">
        <f>+Tabla15132[[#This Row],[FECHA TERMINACIÓN CONTRATO
(inicial)]]-Tabla15132[[#This Row],[FECHA INICIO CONTRATO]]</f>
        <v>0</v>
      </c>
      <c r="P168" s="23" t="s">
        <v>302</v>
      </c>
      <c r="Q168" s="101"/>
      <c r="R168" s="70" t="s">
        <v>302</v>
      </c>
      <c r="S168" s="70"/>
      <c r="T168" s="65">
        <v>45987</v>
      </c>
      <c r="U168" s="65">
        <v>45987</v>
      </c>
      <c r="V168" s="65">
        <v>45987</v>
      </c>
      <c r="W168" s="64" t="s">
        <v>320</v>
      </c>
      <c r="X168" s="71"/>
      <c r="Y168" s="71" t="s">
        <v>321</v>
      </c>
      <c r="Z168" s="30">
        <v>1</v>
      </c>
      <c r="AA168" s="30">
        <v>1</v>
      </c>
      <c r="AB168" s="31">
        <v>3083600</v>
      </c>
      <c r="AC168" s="32" t="s">
        <v>2272</v>
      </c>
    </row>
    <row r="169" spans="1:29" ht="29" x14ac:dyDescent="0.35">
      <c r="A169" s="2" t="s">
        <v>357</v>
      </c>
      <c r="B169" s="27" t="s">
        <v>300</v>
      </c>
      <c r="C169" s="66" t="s">
        <v>2273</v>
      </c>
      <c r="D169" s="65">
        <v>45986</v>
      </c>
      <c r="E169" s="26" t="s">
        <v>113</v>
      </c>
      <c r="F169" s="67" t="s">
        <v>2274</v>
      </c>
      <c r="G169" s="42">
        <v>1117507890</v>
      </c>
      <c r="H169" s="2" t="s">
        <v>2275</v>
      </c>
      <c r="I169" s="33">
        <v>9100000</v>
      </c>
      <c r="J169" s="33">
        <v>0</v>
      </c>
      <c r="K169" s="36">
        <v>9100000</v>
      </c>
      <c r="L169" s="69" t="s">
        <v>302</v>
      </c>
      <c r="M169" s="3"/>
      <c r="N169" s="28">
        <f>+Tabla15132[[#This Row],[VALOR TOTAL DEL CONTRATO
(en pesos)
CON IVA
(inicial)]]+Tabla15132[[#This Row],[VALOR DE LAS ADICIONES
(en pesos)
CON IVA]]</f>
        <v>9100000</v>
      </c>
      <c r="O169" s="37">
        <f>+Tabla15132[[#This Row],[FECHA TERMINACIÓN CONTRATO
(inicial)]]-Tabla15132[[#This Row],[FECHA INICIO CONTRATO]]</f>
        <v>30</v>
      </c>
      <c r="P169" s="23" t="s">
        <v>302</v>
      </c>
      <c r="Q169" s="101"/>
      <c r="R169" s="70" t="s">
        <v>302</v>
      </c>
      <c r="S169" s="70"/>
      <c r="T169" s="65">
        <v>45986</v>
      </c>
      <c r="U169" s="65">
        <v>46016</v>
      </c>
      <c r="V169" s="65">
        <v>46016</v>
      </c>
      <c r="W169" s="64" t="s">
        <v>320</v>
      </c>
      <c r="X169" s="71"/>
      <c r="Y169" s="71" t="s">
        <v>321</v>
      </c>
      <c r="Z169" s="30">
        <v>1</v>
      </c>
      <c r="AA169" s="30">
        <v>0</v>
      </c>
      <c r="AB169" s="31">
        <v>0</v>
      </c>
      <c r="AC169" s="32" t="s">
        <v>2276</v>
      </c>
    </row>
    <row r="170" spans="1:29" ht="29" x14ac:dyDescent="0.35">
      <c r="A170" s="2" t="s">
        <v>357</v>
      </c>
      <c r="B170" s="27" t="s">
        <v>300</v>
      </c>
      <c r="C170" s="66" t="s">
        <v>2277</v>
      </c>
      <c r="D170" s="65">
        <v>45986</v>
      </c>
      <c r="E170" s="26" t="s">
        <v>142</v>
      </c>
      <c r="F170" s="67" t="s">
        <v>2278</v>
      </c>
      <c r="G170" s="42">
        <v>17691508</v>
      </c>
      <c r="H170" s="2" t="s">
        <v>463</v>
      </c>
      <c r="I170" s="33">
        <v>31061000</v>
      </c>
      <c r="J170" s="33">
        <v>0</v>
      </c>
      <c r="K170" s="36">
        <v>31061000</v>
      </c>
      <c r="L170" s="69" t="s">
        <v>302</v>
      </c>
      <c r="M170" s="3"/>
      <c r="N170" s="28">
        <f>+Tabla15132[[#This Row],[VALOR TOTAL DEL CONTRATO
(en pesos)
CON IVA
(inicial)]]+Tabla15132[[#This Row],[VALOR DE LAS ADICIONES
(en pesos)
CON IVA]]</f>
        <v>31061000</v>
      </c>
      <c r="O170" s="37">
        <f>+Tabla15132[[#This Row],[FECHA TERMINACIÓN CONTRATO
(inicial)]]-Tabla15132[[#This Row],[FECHA INICIO CONTRATO]]</f>
        <v>30</v>
      </c>
      <c r="P170" s="23" t="s">
        <v>302</v>
      </c>
      <c r="Q170" s="101"/>
      <c r="R170" s="70" t="s">
        <v>302</v>
      </c>
      <c r="S170" s="70"/>
      <c r="T170" s="65">
        <v>45986</v>
      </c>
      <c r="U170" s="65">
        <v>46016</v>
      </c>
      <c r="V170" s="65">
        <v>46016</v>
      </c>
      <c r="W170" s="64" t="s">
        <v>320</v>
      </c>
      <c r="X170" s="71"/>
      <c r="Y170" s="71" t="s">
        <v>321</v>
      </c>
      <c r="Z170" s="30">
        <v>1</v>
      </c>
      <c r="AA170" s="30">
        <v>0</v>
      </c>
      <c r="AB170" s="31">
        <v>0</v>
      </c>
      <c r="AC170" s="32" t="s">
        <v>2279</v>
      </c>
    </row>
    <row r="171" spans="1:29" ht="29" x14ac:dyDescent="0.35">
      <c r="A171" s="2" t="s">
        <v>314</v>
      </c>
      <c r="B171" s="27" t="s">
        <v>300</v>
      </c>
      <c r="C171" s="66" t="s">
        <v>2280</v>
      </c>
      <c r="D171" s="65">
        <v>45987</v>
      </c>
      <c r="E171" s="26" t="s">
        <v>150</v>
      </c>
      <c r="F171" s="67" t="s">
        <v>2281</v>
      </c>
      <c r="G171" s="42" t="s">
        <v>2542</v>
      </c>
      <c r="H171" s="2" t="s">
        <v>2282</v>
      </c>
      <c r="I171" s="33">
        <v>8875926</v>
      </c>
      <c r="J171" s="33">
        <v>642074</v>
      </c>
      <c r="K171" s="36">
        <v>9518000</v>
      </c>
      <c r="L171" s="69" t="s">
        <v>302</v>
      </c>
      <c r="M171" s="3"/>
      <c r="N171" s="28">
        <f>+Tabla15132[[#This Row],[VALOR TOTAL DEL CONTRATO
(en pesos)
CON IVA
(inicial)]]+Tabla15132[[#This Row],[VALOR DE LAS ADICIONES
(en pesos)
CON IVA]]</f>
        <v>9518000</v>
      </c>
      <c r="O171" s="37">
        <f>+Tabla15132[[#This Row],[FECHA TERMINACIÓN CONTRATO
(inicial)]]-Tabla15132[[#This Row],[FECHA INICIO CONTRATO]]</f>
        <v>1</v>
      </c>
      <c r="P171" s="23" t="s">
        <v>302</v>
      </c>
      <c r="Q171" s="101"/>
      <c r="R171" s="70" t="s">
        <v>302</v>
      </c>
      <c r="S171" s="70"/>
      <c r="T171" s="65">
        <v>45988</v>
      </c>
      <c r="U171" s="65">
        <v>45989</v>
      </c>
      <c r="V171" s="65">
        <v>45989</v>
      </c>
      <c r="W171" s="64" t="s">
        <v>320</v>
      </c>
      <c r="X171" s="71"/>
      <c r="Y171" s="71" t="s">
        <v>321</v>
      </c>
      <c r="Z171" s="30">
        <v>1</v>
      </c>
      <c r="AA171" s="30">
        <v>1</v>
      </c>
      <c r="AB171" s="31">
        <v>9518000</v>
      </c>
      <c r="AC171" s="32" t="s">
        <v>2283</v>
      </c>
    </row>
    <row r="172" spans="1:29" ht="29" x14ac:dyDescent="0.35">
      <c r="A172" s="2" t="s">
        <v>314</v>
      </c>
      <c r="B172" s="27" t="s">
        <v>300</v>
      </c>
      <c r="C172" s="66" t="s">
        <v>2284</v>
      </c>
      <c r="D172" s="65">
        <v>45987</v>
      </c>
      <c r="E172" s="26" t="s">
        <v>113</v>
      </c>
      <c r="F172" s="67" t="s">
        <v>2285</v>
      </c>
      <c r="G172" s="42" t="s">
        <v>2602</v>
      </c>
      <c r="H172" s="2" t="s">
        <v>439</v>
      </c>
      <c r="I172" s="33">
        <v>15768000</v>
      </c>
      <c r="J172" s="33">
        <v>2995920</v>
      </c>
      <c r="K172" s="36">
        <v>18763920</v>
      </c>
      <c r="L172" s="69" t="s">
        <v>302</v>
      </c>
      <c r="M172" s="3"/>
      <c r="N172" s="28">
        <f>+Tabla15132[[#This Row],[VALOR TOTAL DEL CONTRATO
(en pesos)
CON IVA
(inicial)]]+Tabla15132[[#This Row],[VALOR DE LAS ADICIONES
(en pesos)
CON IVA]]</f>
        <v>18763920</v>
      </c>
      <c r="O172" s="37">
        <f>+Tabla15132[[#This Row],[FECHA TERMINACIÓN CONTRATO
(inicial)]]-Tabla15132[[#This Row],[FECHA INICIO CONTRATO]]</f>
        <v>30</v>
      </c>
      <c r="P172" s="23" t="s">
        <v>302</v>
      </c>
      <c r="Q172" s="101"/>
      <c r="R172" s="70" t="s">
        <v>302</v>
      </c>
      <c r="S172" s="70"/>
      <c r="T172" s="65">
        <v>45987</v>
      </c>
      <c r="U172" s="65">
        <v>46017</v>
      </c>
      <c r="V172" s="65">
        <v>46017</v>
      </c>
      <c r="W172" s="64" t="s">
        <v>320</v>
      </c>
      <c r="X172" s="71"/>
      <c r="Y172" s="71" t="s">
        <v>321</v>
      </c>
      <c r="Z172" s="30">
        <v>1</v>
      </c>
      <c r="AA172" s="30">
        <v>1</v>
      </c>
      <c r="AB172" s="31">
        <v>18763920</v>
      </c>
      <c r="AC172" s="32" t="s">
        <v>2286</v>
      </c>
    </row>
    <row r="173" spans="1:29" ht="29" x14ac:dyDescent="0.35">
      <c r="A173" s="2" t="s">
        <v>1797</v>
      </c>
      <c r="B173" s="27" t="s">
        <v>365</v>
      </c>
      <c r="C173" s="66" t="s">
        <v>2287</v>
      </c>
      <c r="D173" s="65">
        <v>45987</v>
      </c>
      <c r="E173" s="26" t="s">
        <v>150</v>
      </c>
      <c r="F173" s="67" t="s">
        <v>2288</v>
      </c>
      <c r="G173" s="42" t="s">
        <v>2552</v>
      </c>
      <c r="H173" s="2" t="s">
        <v>2289</v>
      </c>
      <c r="I173" s="33">
        <v>3240741</v>
      </c>
      <c r="J173" s="33">
        <v>259259</v>
      </c>
      <c r="K173" s="36">
        <v>3500000</v>
      </c>
      <c r="L173" s="69" t="s">
        <v>302</v>
      </c>
      <c r="M173" s="3"/>
      <c r="N173" s="28">
        <f>+Tabla15132[[#This Row],[VALOR TOTAL DEL CONTRATO
(en pesos)
CON IVA
(inicial)]]+Tabla15132[[#This Row],[VALOR DE LAS ADICIONES
(en pesos)
CON IVA]]</f>
        <v>3500000</v>
      </c>
      <c r="O173" s="37">
        <f>+Tabla15132[[#This Row],[FECHA TERMINACIÓN CONTRATO
(inicial)]]-Tabla15132[[#This Row],[FECHA INICIO CONTRATO]]</f>
        <v>0</v>
      </c>
      <c r="P173" s="23" t="s">
        <v>302</v>
      </c>
      <c r="Q173" s="101"/>
      <c r="R173" s="70" t="s">
        <v>302</v>
      </c>
      <c r="S173" s="70"/>
      <c r="T173" s="65">
        <v>45989</v>
      </c>
      <c r="U173" s="65">
        <v>45989</v>
      </c>
      <c r="V173" s="65">
        <v>45989</v>
      </c>
      <c r="W173" s="64" t="s">
        <v>320</v>
      </c>
      <c r="X173" s="71"/>
      <c r="Y173" s="71" t="s">
        <v>321</v>
      </c>
      <c r="Z173" s="30">
        <v>1</v>
      </c>
      <c r="AA173" s="30">
        <v>1</v>
      </c>
      <c r="AB173" s="31">
        <v>3500000</v>
      </c>
      <c r="AC173" s="32" t="s">
        <v>2290</v>
      </c>
    </row>
    <row r="174" spans="1:29" ht="29" x14ac:dyDescent="0.35">
      <c r="A174" s="2" t="s">
        <v>1797</v>
      </c>
      <c r="B174" s="27" t="s">
        <v>300</v>
      </c>
      <c r="C174" s="66" t="s">
        <v>2291</v>
      </c>
      <c r="D174" s="65">
        <v>45988</v>
      </c>
      <c r="E174" s="26" t="s">
        <v>142</v>
      </c>
      <c r="F174" s="67" t="s">
        <v>2292</v>
      </c>
      <c r="G174" s="42">
        <v>76304191</v>
      </c>
      <c r="H174" s="2" t="s">
        <v>476</v>
      </c>
      <c r="I174" s="33">
        <v>71000000</v>
      </c>
      <c r="J174" s="33">
        <v>0</v>
      </c>
      <c r="K174" s="36">
        <v>71000000</v>
      </c>
      <c r="L174" s="69" t="s">
        <v>302</v>
      </c>
      <c r="M174" s="3"/>
      <c r="N174" s="28">
        <f>+Tabla15132[[#This Row],[VALOR TOTAL DEL CONTRATO
(en pesos)
CON IVA
(inicial)]]+Tabla15132[[#This Row],[VALOR DE LAS ADICIONES
(en pesos)
CON IVA]]</f>
        <v>71000000</v>
      </c>
      <c r="O174" s="37">
        <f>+Tabla15132[[#This Row],[FECHA TERMINACIÓN CONTRATO
(inicial)]]-Tabla15132[[#This Row],[FECHA INICIO CONTRATO]]</f>
        <v>20</v>
      </c>
      <c r="P174" s="23" t="s">
        <v>302</v>
      </c>
      <c r="Q174" s="101"/>
      <c r="R174" s="70" t="s">
        <v>302</v>
      </c>
      <c r="S174" s="70"/>
      <c r="T174" s="65">
        <v>45989</v>
      </c>
      <c r="U174" s="65">
        <v>46009</v>
      </c>
      <c r="V174" s="65">
        <v>46009</v>
      </c>
      <c r="W174" s="64" t="s">
        <v>320</v>
      </c>
      <c r="X174" s="71"/>
      <c r="Y174" s="71" t="s">
        <v>321</v>
      </c>
      <c r="Z174" s="30">
        <v>1</v>
      </c>
      <c r="AA174" s="30">
        <v>1</v>
      </c>
      <c r="AB174" s="31">
        <v>71000000</v>
      </c>
      <c r="AC174" s="32" t="s">
        <v>2293</v>
      </c>
    </row>
    <row r="175" spans="1:29" ht="29" x14ac:dyDescent="0.35">
      <c r="A175" s="2" t="s">
        <v>307</v>
      </c>
      <c r="B175" s="27" t="s">
        <v>365</v>
      </c>
      <c r="C175" s="66" t="s">
        <v>2294</v>
      </c>
      <c r="D175" s="65">
        <v>45988</v>
      </c>
      <c r="E175" s="26" t="s">
        <v>150</v>
      </c>
      <c r="F175" s="67" t="s">
        <v>2295</v>
      </c>
      <c r="G175" s="42" t="s">
        <v>2619</v>
      </c>
      <c r="H175" s="2" t="s">
        <v>2296</v>
      </c>
      <c r="I175" s="33">
        <v>3300000</v>
      </c>
      <c r="J175" s="33">
        <v>627000</v>
      </c>
      <c r="K175" s="36">
        <v>3927000</v>
      </c>
      <c r="L175" s="69" t="s">
        <v>302</v>
      </c>
      <c r="M175" s="3"/>
      <c r="N175" s="28">
        <f>+Tabla15132[[#This Row],[VALOR TOTAL DEL CONTRATO
(en pesos)
CON IVA
(inicial)]]+Tabla15132[[#This Row],[VALOR DE LAS ADICIONES
(en pesos)
CON IVA]]</f>
        <v>3927000</v>
      </c>
      <c r="O175" s="37">
        <f>+Tabla15132[[#This Row],[FECHA TERMINACIÓN CONTRATO
(inicial)]]-Tabla15132[[#This Row],[FECHA INICIO CONTRATO]]</f>
        <v>0</v>
      </c>
      <c r="P175" s="23" t="s">
        <v>302</v>
      </c>
      <c r="Q175" s="101"/>
      <c r="R175" s="70" t="s">
        <v>302</v>
      </c>
      <c r="S175" s="70"/>
      <c r="T175" s="65">
        <v>46003</v>
      </c>
      <c r="U175" s="65">
        <v>46003</v>
      </c>
      <c r="V175" s="65">
        <v>46003</v>
      </c>
      <c r="W175" s="64" t="s">
        <v>320</v>
      </c>
      <c r="X175" s="71"/>
      <c r="Y175" s="71" t="s">
        <v>321</v>
      </c>
      <c r="Z175" s="30">
        <v>1</v>
      </c>
      <c r="AA175" s="30">
        <v>1</v>
      </c>
      <c r="AB175" s="31">
        <v>3927000</v>
      </c>
      <c r="AC175" s="32" t="s">
        <v>2297</v>
      </c>
    </row>
    <row r="176" spans="1:29" ht="29" x14ac:dyDescent="0.35">
      <c r="A176" s="2" t="s">
        <v>311</v>
      </c>
      <c r="B176" s="27" t="s">
        <v>365</v>
      </c>
      <c r="C176" s="66" t="s">
        <v>2298</v>
      </c>
      <c r="D176" s="65">
        <v>45989</v>
      </c>
      <c r="E176" s="26" t="s">
        <v>142</v>
      </c>
      <c r="F176" s="67" t="s">
        <v>2299</v>
      </c>
      <c r="G176" s="42" t="s">
        <v>2582</v>
      </c>
      <c r="H176" s="2" t="s">
        <v>2300</v>
      </c>
      <c r="I176" s="33">
        <v>2268908</v>
      </c>
      <c r="J176" s="33">
        <v>431093</v>
      </c>
      <c r="K176" s="36">
        <v>2700000</v>
      </c>
      <c r="L176" s="69" t="s">
        <v>302</v>
      </c>
      <c r="M176" s="3"/>
      <c r="N176" s="28">
        <f>+Tabla15132[[#This Row],[VALOR TOTAL DEL CONTRATO
(en pesos)
CON IVA
(inicial)]]+Tabla15132[[#This Row],[VALOR DE LAS ADICIONES
(en pesos)
CON IVA]]</f>
        <v>2700000</v>
      </c>
      <c r="O176" s="37">
        <f>+Tabla15132[[#This Row],[FECHA TERMINACIÓN CONTRATO
(inicial)]]-Tabla15132[[#This Row],[FECHA INICIO CONTRATO]]</f>
        <v>6</v>
      </c>
      <c r="P176" s="23" t="s">
        <v>302</v>
      </c>
      <c r="Q176" s="101"/>
      <c r="R176" s="70" t="s">
        <v>302</v>
      </c>
      <c r="S176" s="70"/>
      <c r="T176" s="65">
        <v>45990</v>
      </c>
      <c r="U176" s="65">
        <v>45996</v>
      </c>
      <c r="V176" s="65">
        <v>45996</v>
      </c>
      <c r="W176" s="64" t="s">
        <v>320</v>
      </c>
      <c r="X176" s="71"/>
      <c r="Y176" s="71" t="s">
        <v>321</v>
      </c>
      <c r="Z176" s="30">
        <v>1</v>
      </c>
      <c r="AA176" s="30">
        <v>1</v>
      </c>
      <c r="AB176" s="31">
        <v>2700000</v>
      </c>
      <c r="AC176" s="32" t="s">
        <v>2301</v>
      </c>
    </row>
    <row r="177" spans="1:29" ht="29" x14ac:dyDescent="0.35">
      <c r="A177" s="2" t="s">
        <v>357</v>
      </c>
      <c r="B177" s="27" t="s">
        <v>365</v>
      </c>
      <c r="C177" s="66" t="s">
        <v>2302</v>
      </c>
      <c r="D177" s="65">
        <v>45989</v>
      </c>
      <c r="E177" s="26" t="s">
        <v>150</v>
      </c>
      <c r="F177" s="67" t="s">
        <v>2303</v>
      </c>
      <c r="G177" s="42">
        <v>26641316</v>
      </c>
      <c r="H177" s="2" t="s">
        <v>474</v>
      </c>
      <c r="I177" s="33">
        <v>1800000</v>
      </c>
      <c r="J177" s="33">
        <v>0</v>
      </c>
      <c r="K177" s="36">
        <v>1800000</v>
      </c>
      <c r="L177" s="69" t="s">
        <v>302</v>
      </c>
      <c r="M177" s="3"/>
      <c r="N177" s="28">
        <f>+Tabla15132[[#This Row],[VALOR TOTAL DEL CONTRATO
(en pesos)
CON IVA
(inicial)]]+Tabla15132[[#This Row],[VALOR DE LAS ADICIONES
(en pesos)
CON IVA]]</f>
        <v>1800000</v>
      </c>
      <c r="O177" s="37">
        <f>+Tabla15132[[#This Row],[FECHA TERMINACIÓN CONTRATO
(inicial)]]-Tabla15132[[#This Row],[FECHA INICIO CONTRATO]]</f>
        <v>0</v>
      </c>
      <c r="P177" s="23" t="s">
        <v>302</v>
      </c>
      <c r="Q177" s="101"/>
      <c r="R177" s="70" t="s">
        <v>302</v>
      </c>
      <c r="S177" s="70"/>
      <c r="T177" s="65">
        <v>45992</v>
      </c>
      <c r="U177" s="65">
        <v>45992</v>
      </c>
      <c r="V177" s="65">
        <v>45992</v>
      </c>
      <c r="W177" s="64" t="s">
        <v>320</v>
      </c>
      <c r="X177" s="71"/>
      <c r="Y177" s="71" t="s">
        <v>321</v>
      </c>
      <c r="Z177" s="30">
        <v>1</v>
      </c>
      <c r="AA177" s="30">
        <v>1</v>
      </c>
      <c r="AB177" s="31">
        <v>1800000</v>
      </c>
      <c r="AC177" s="32" t="s">
        <v>2304</v>
      </c>
    </row>
    <row r="178" spans="1:29" ht="29" x14ac:dyDescent="0.35">
      <c r="A178" s="2" t="s">
        <v>441</v>
      </c>
      <c r="B178" s="27" t="s">
        <v>365</v>
      </c>
      <c r="C178" s="66" t="s">
        <v>2305</v>
      </c>
      <c r="D178" s="65">
        <v>45992</v>
      </c>
      <c r="E178" s="26" t="s">
        <v>150</v>
      </c>
      <c r="F178" s="67" t="s">
        <v>2306</v>
      </c>
      <c r="G178" s="42">
        <v>37083718</v>
      </c>
      <c r="H178" s="2" t="s">
        <v>2307</v>
      </c>
      <c r="I178" s="33">
        <v>3300000</v>
      </c>
      <c r="J178" s="33">
        <v>0</v>
      </c>
      <c r="K178" s="36">
        <v>3300000</v>
      </c>
      <c r="L178" s="69" t="s">
        <v>302</v>
      </c>
      <c r="M178" s="3"/>
      <c r="N178" s="28">
        <f>+Tabla15132[[#This Row],[VALOR TOTAL DEL CONTRATO
(en pesos)
CON IVA
(inicial)]]+Tabla15132[[#This Row],[VALOR DE LAS ADICIONES
(en pesos)
CON IVA]]</f>
        <v>3300000</v>
      </c>
      <c r="O178" s="37">
        <f>+Tabla15132[[#This Row],[FECHA TERMINACIÓN CONTRATO
(inicial)]]-Tabla15132[[#This Row],[FECHA INICIO CONTRATO]]</f>
        <v>0</v>
      </c>
      <c r="P178" s="23" t="s">
        <v>302</v>
      </c>
      <c r="Q178" s="101"/>
      <c r="R178" s="70" t="s">
        <v>302</v>
      </c>
      <c r="S178" s="70"/>
      <c r="T178" s="65">
        <v>46003</v>
      </c>
      <c r="U178" s="65">
        <v>46003</v>
      </c>
      <c r="V178" s="65">
        <v>46003</v>
      </c>
      <c r="W178" s="64" t="s">
        <v>320</v>
      </c>
      <c r="X178" s="71"/>
      <c r="Y178" s="71" t="s">
        <v>321</v>
      </c>
      <c r="Z178" s="30">
        <v>1</v>
      </c>
      <c r="AA178" s="30">
        <v>1</v>
      </c>
      <c r="AB178" s="31">
        <v>3300000</v>
      </c>
      <c r="AC178" s="32" t="s">
        <v>2308</v>
      </c>
    </row>
    <row r="179" spans="1:29" ht="29" x14ac:dyDescent="0.35">
      <c r="A179" s="2" t="s">
        <v>357</v>
      </c>
      <c r="B179" s="27" t="s">
        <v>365</v>
      </c>
      <c r="C179" s="66" t="s">
        <v>2309</v>
      </c>
      <c r="D179" s="65">
        <v>45989</v>
      </c>
      <c r="E179" s="26" t="s">
        <v>150</v>
      </c>
      <c r="F179" s="67" t="s">
        <v>2310</v>
      </c>
      <c r="G179" s="42">
        <v>26641316</v>
      </c>
      <c r="H179" s="2" t="s">
        <v>474</v>
      </c>
      <c r="I179" s="33">
        <v>1200000</v>
      </c>
      <c r="J179" s="33">
        <v>0</v>
      </c>
      <c r="K179" s="36">
        <v>1200000</v>
      </c>
      <c r="L179" s="69" t="s">
        <v>302</v>
      </c>
      <c r="M179" s="3"/>
      <c r="N179" s="28">
        <f>+Tabla15132[[#This Row],[VALOR TOTAL DEL CONTRATO
(en pesos)
CON IVA
(inicial)]]+Tabla15132[[#This Row],[VALOR DE LAS ADICIONES
(en pesos)
CON IVA]]</f>
        <v>1200000</v>
      </c>
      <c r="O179" s="37">
        <f>+Tabla15132[[#This Row],[FECHA TERMINACIÓN CONTRATO
(inicial)]]-Tabla15132[[#This Row],[FECHA INICIO CONTRATO]]</f>
        <v>0</v>
      </c>
      <c r="P179" s="23" t="s">
        <v>302</v>
      </c>
      <c r="Q179" s="101"/>
      <c r="R179" s="70" t="s">
        <v>302</v>
      </c>
      <c r="S179" s="70"/>
      <c r="T179" s="65">
        <v>46003</v>
      </c>
      <c r="U179" s="65">
        <v>46003</v>
      </c>
      <c r="V179" s="65">
        <v>46003</v>
      </c>
      <c r="W179" s="64" t="s">
        <v>320</v>
      </c>
      <c r="X179" s="71"/>
      <c r="Y179" s="71" t="s">
        <v>321</v>
      </c>
      <c r="Z179" s="30">
        <v>1</v>
      </c>
      <c r="AA179" s="30">
        <v>1</v>
      </c>
      <c r="AB179" s="31">
        <v>1200000</v>
      </c>
      <c r="AC179" s="32" t="s">
        <v>2311</v>
      </c>
    </row>
    <row r="180" spans="1:29" ht="29" x14ac:dyDescent="0.35">
      <c r="A180" s="2" t="s">
        <v>441</v>
      </c>
      <c r="B180" s="27" t="s">
        <v>365</v>
      </c>
      <c r="C180" s="66" t="s">
        <v>2312</v>
      </c>
      <c r="D180" s="65">
        <v>45992</v>
      </c>
      <c r="E180" s="26" t="s">
        <v>150</v>
      </c>
      <c r="F180" s="67" t="s">
        <v>2313</v>
      </c>
      <c r="G180" s="42">
        <v>37083718</v>
      </c>
      <c r="H180" s="2" t="s">
        <v>2307</v>
      </c>
      <c r="I180" s="33">
        <v>4500000</v>
      </c>
      <c r="J180" s="33">
        <v>0</v>
      </c>
      <c r="K180" s="36">
        <v>4500000</v>
      </c>
      <c r="L180" s="69" t="s">
        <v>302</v>
      </c>
      <c r="M180" s="3"/>
      <c r="N180" s="28">
        <f>+Tabla15132[[#This Row],[VALOR TOTAL DEL CONTRATO
(en pesos)
CON IVA
(inicial)]]+Tabla15132[[#This Row],[VALOR DE LAS ADICIONES
(en pesos)
CON IVA]]</f>
        <v>4500000</v>
      </c>
      <c r="O180" s="37">
        <f>+Tabla15132[[#This Row],[FECHA TERMINACIÓN CONTRATO
(inicial)]]-Tabla15132[[#This Row],[FECHA INICIO CONTRATO]]</f>
        <v>0</v>
      </c>
      <c r="P180" s="23" t="s">
        <v>302</v>
      </c>
      <c r="Q180" s="101"/>
      <c r="R180" s="70" t="s">
        <v>302</v>
      </c>
      <c r="S180" s="70"/>
      <c r="T180" s="65">
        <v>45995</v>
      </c>
      <c r="U180" s="65">
        <v>45995</v>
      </c>
      <c r="V180" s="65">
        <v>45995</v>
      </c>
      <c r="W180" s="64" t="s">
        <v>320</v>
      </c>
      <c r="X180" s="71"/>
      <c r="Y180" s="71" t="s">
        <v>321</v>
      </c>
      <c r="Z180" s="30">
        <v>1</v>
      </c>
      <c r="AA180" s="30">
        <v>1</v>
      </c>
      <c r="AB180" s="31">
        <v>4500000</v>
      </c>
      <c r="AC180" s="32" t="s">
        <v>2314</v>
      </c>
    </row>
    <row r="181" spans="1:29" ht="29" x14ac:dyDescent="0.35">
      <c r="A181" s="2" t="s">
        <v>318</v>
      </c>
      <c r="B181" s="27" t="s">
        <v>365</v>
      </c>
      <c r="C181" s="66" t="s">
        <v>2315</v>
      </c>
      <c r="D181" s="65">
        <v>45989</v>
      </c>
      <c r="E181" s="26" t="s">
        <v>142</v>
      </c>
      <c r="F181" s="67" t="s">
        <v>2316</v>
      </c>
      <c r="G181" s="42">
        <v>16483766</v>
      </c>
      <c r="H181" s="2" t="s">
        <v>2317</v>
      </c>
      <c r="I181" s="33">
        <v>2200000</v>
      </c>
      <c r="J181" s="33">
        <v>418000</v>
      </c>
      <c r="K181" s="36">
        <v>2618000</v>
      </c>
      <c r="L181" s="69" t="s">
        <v>302</v>
      </c>
      <c r="M181" s="3"/>
      <c r="N181" s="28">
        <f>+Tabla15132[[#This Row],[VALOR TOTAL DEL CONTRATO
(en pesos)
CON IVA
(inicial)]]+Tabla15132[[#This Row],[VALOR DE LAS ADICIONES
(en pesos)
CON IVA]]</f>
        <v>2618000</v>
      </c>
      <c r="O181" s="37">
        <f>+Tabla15132[[#This Row],[FECHA TERMINACIÓN CONTRATO
(inicial)]]-Tabla15132[[#This Row],[FECHA INICIO CONTRATO]]</f>
        <v>30</v>
      </c>
      <c r="P181" s="23" t="s">
        <v>302</v>
      </c>
      <c r="Q181" s="101"/>
      <c r="R181" s="70" t="s">
        <v>302</v>
      </c>
      <c r="S181" s="70"/>
      <c r="T181" s="65">
        <v>45989</v>
      </c>
      <c r="U181" s="65">
        <v>46019</v>
      </c>
      <c r="V181" s="65">
        <v>46019</v>
      </c>
      <c r="W181" s="64" t="s">
        <v>323</v>
      </c>
      <c r="X181" s="71">
        <v>46001</v>
      </c>
      <c r="Y181" s="71" t="s">
        <v>364</v>
      </c>
      <c r="Z181" s="30">
        <v>1</v>
      </c>
      <c r="AA181" s="30">
        <v>1</v>
      </c>
      <c r="AB181" s="31">
        <v>2618000</v>
      </c>
      <c r="AC181" s="32" t="s">
        <v>2318</v>
      </c>
    </row>
    <row r="182" spans="1:29" ht="29" x14ac:dyDescent="0.35">
      <c r="A182" s="2" t="s">
        <v>310</v>
      </c>
      <c r="B182" s="27" t="s">
        <v>365</v>
      </c>
      <c r="C182" s="66" t="s">
        <v>2319</v>
      </c>
      <c r="D182" s="65">
        <v>45989</v>
      </c>
      <c r="E182" s="26" t="s">
        <v>142</v>
      </c>
      <c r="F182" s="67" t="s">
        <v>2320</v>
      </c>
      <c r="G182" s="42" t="s">
        <v>2553</v>
      </c>
      <c r="H182" s="2" t="s">
        <v>2321</v>
      </c>
      <c r="I182" s="33">
        <v>2650000</v>
      </c>
      <c r="J182" s="33">
        <v>503500</v>
      </c>
      <c r="K182" s="36">
        <v>3153500</v>
      </c>
      <c r="L182" s="69" t="s">
        <v>302</v>
      </c>
      <c r="M182" s="3"/>
      <c r="N182" s="28">
        <f>+Tabla15132[[#This Row],[VALOR TOTAL DEL CONTRATO
(en pesos)
CON IVA
(inicial)]]+Tabla15132[[#This Row],[VALOR DE LAS ADICIONES
(en pesos)
CON IVA]]</f>
        <v>3153500</v>
      </c>
      <c r="O182" s="37">
        <f>+Tabla15132[[#This Row],[FECHA TERMINACIÓN CONTRATO
(inicial)]]-Tabla15132[[#This Row],[FECHA INICIO CONTRATO]]</f>
        <v>33</v>
      </c>
      <c r="P182" s="23" t="s">
        <v>302</v>
      </c>
      <c r="Q182" s="101"/>
      <c r="R182" s="70" t="s">
        <v>302</v>
      </c>
      <c r="S182" s="70"/>
      <c r="T182" s="65">
        <v>45989</v>
      </c>
      <c r="U182" s="65">
        <v>46022</v>
      </c>
      <c r="V182" s="65">
        <v>46022</v>
      </c>
      <c r="W182" s="64" t="s">
        <v>320</v>
      </c>
      <c r="X182" s="71"/>
      <c r="Y182" s="71" t="s">
        <v>321</v>
      </c>
      <c r="Z182" s="30">
        <v>1</v>
      </c>
      <c r="AA182" s="30">
        <v>1</v>
      </c>
      <c r="AB182" s="31">
        <v>3153500</v>
      </c>
      <c r="AC182" s="32" t="s">
        <v>2322</v>
      </c>
    </row>
    <row r="183" spans="1:29" ht="29" x14ac:dyDescent="0.35">
      <c r="A183" s="2" t="s">
        <v>307</v>
      </c>
      <c r="B183" s="27" t="s">
        <v>365</v>
      </c>
      <c r="C183" s="66" t="s">
        <v>2323</v>
      </c>
      <c r="D183" s="65">
        <v>45992</v>
      </c>
      <c r="E183" s="26" t="s">
        <v>150</v>
      </c>
      <c r="F183" s="67" t="s">
        <v>2324</v>
      </c>
      <c r="G183" s="42" t="s">
        <v>2605</v>
      </c>
      <c r="H183" s="2" t="s">
        <v>2325</v>
      </c>
      <c r="I183" s="33">
        <v>4166667</v>
      </c>
      <c r="J183" s="33">
        <v>333333</v>
      </c>
      <c r="K183" s="36">
        <v>4500000</v>
      </c>
      <c r="L183" s="69" t="s">
        <v>302</v>
      </c>
      <c r="M183" s="3"/>
      <c r="N183" s="28">
        <f>+Tabla15132[[#This Row],[VALOR TOTAL DEL CONTRATO
(en pesos)
CON IVA
(inicial)]]+Tabla15132[[#This Row],[VALOR DE LAS ADICIONES
(en pesos)
CON IVA]]</f>
        <v>4500000</v>
      </c>
      <c r="O183" s="37">
        <f>+Tabla15132[[#This Row],[FECHA TERMINACIÓN CONTRATO
(inicial)]]-Tabla15132[[#This Row],[FECHA INICIO CONTRATO]]</f>
        <v>0</v>
      </c>
      <c r="P183" s="23" t="s">
        <v>302</v>
      </c>
      <c r="Q183" s="101"/>
      <c r="R183" s="70" t="s">
        <v>302</v>
      </c>
      <c r="S183" s="70"/>
      <c r="T183" s="65">
        <v>45994</v>
      </c>
      <c r="U183" s="65">
        <v>45994</v>
      </c>
      <c r="V183" s="65">
        <v>45994</v>
      </c>
      <c r="W183" s="64" t="s">
        <v>320</v>
      </c>
      <c r="X183" s="71"/>
      <c r="Y183" s="71" t="s">
        <v>321</v>
      </c>
      <c r="Z183" s="30">
        <v>1</v>
      </c>
      <c r="AA183" s="30">
        <v>0.99970000000000003</v>
      </c>
      <c r="AB183" s="31">
        <v>4499000</v>
      </c>
      <c r="AC183" s="32" t="s">
        <v>2326</v>
      </c>
    </row>
    <row r="184" spans="1:29" ht="29" x14ac:dyDescent="0.35">
      <c r="A184" s="26" t="s">
        <v>1732</v>
      </c>
      <c r="B184" s="27" t="s">
        <v>300</v>
      </c>
      <c r="C184" s="66" t="s">
        <v>2327</v>
      </c>
      <c r="D184" s="65">
        <v>45992</v>
      </c>
      <c r="E184" s="26" t="s">
        <v>113</v>
      </c>
      <c r="F184" s="67" t="s">
        <v>2328</v>
      </c>
      <c r="G184" s="42" t="s">
        <v>2535</v>
      </c>
      <c r="H184" s="2" t="s">
        <v>458</v>
      </c>
      <c r="I184" s="33">
        <v>6747899</v>
      </c>
      <c r="J184" s="33">
        <v>1282100</v>
      </c>
      <c r="K184" s="36">
        <v>8030000</v>
      </c>
      <c r="L184" s="69" t="s">
        <v>302</v>
      </c>
      <c r="M184" s="3"/>
      <c r="N184" s="28">
        <f>+Tabla15132[[#This Row],[VALOR TOTAL DEL CONTRATO
(en pesos)
CON IVA
(inicial)]]+Tabla15132[[#This Row],[VALOR DE LAS ADICIONES
(en pesos)
CON IVA]]</f>
        <v>8030000</v>
      </c>
      <c r="O184" s="37">
        <f>+Tabla15132[[#This Row],[FECHA TERMINACIÓN CONTRATO
(inicial)]]-Tabla15132[[#This Row],[FECHA INICIO CONTRATO]]</f>
        <v>15</v>
      </c>
      <c r="P184" s="23" t="s">
        <v>302</v>
      </c>
      <c r="Q184" s="101"/>
      <c r="R184" s="70" t="s">
        <v>302</v>
      </c>
      <c r="S184" s="70"/>
      <c r="T184" s="65">
        <v>45992</v>
      </c>
      <c r="U184" s="65">
        <v>46007</v>
      </c>
      <c r="V184" s="65">
        <v>46007</v>
      </c>
      <c r="W184" s="64" t="s">
        <v>320</v>
      </c>
      <c r="X184" s="71"/>
      <c r="Y184" s="71" t="s">
        <v>321</v>
      </c>
      <c r="Z184" s="30">
        <v>1</v>
      </c>
      <c r="AA184" s="30">
        <v>1</v>
      </c>
      <c r="AB184" s="31">
        <v>8030000</v>
      </c>
      <c r="AC184" s="32" t="s">
        <v>2329</v>
      </c>
    </row>
    <row r="185" spans="1:29" ht="29" x14ac:dyDescent="0.35">
      <c r="A185" s="2" t="s">
        <v>305</v>
      </c>
      <c r="B185" s="27" t="s">
        <v>365</v>
      </c>
      <c r="C185" s="66" t="s">
        <v>2330</v>
      </c>
      <c r="D185" s="65">
        <v>45992</v>
      </c>
      <c r="E185" s="26" t="s">
        <v>150</v>
      </c>
      <c r="F185" s="67" t="s">
        <v>2331</v>
      </c>
      <c r="G185" s="42">
        <v>50929989</v>
      </c>
      <c r="H185" s="2" t="s">
        <v>1888</v>
      </c>
      <c r="I185" s="33">
        <v>4083333</v>
      </c>
      <c r="J185" s="33">
        <v>326667</v>
      </c>
      <c r="K185" s="36">
        <v>4410000</v>
      </c>
      <c r="L185" s="69" t="s">
        <v>302</v>
      </c>
      <c r="M185" s="3"/>
      <c r="N185" s="28">
        <f>+Tabla15132[[#This Row],[VALOR TOTAL DEL CONTRATO
(en pesos)
CON IVA
(inicial)]]+Tabla15132[[#This Row],[VALOR DE LAS ADICIONES
(en pesos)
CON IVA]]</f>
        <v>4410000</v>
      </c>
      <c r="O185" s="37">
        <f>+Tabla15132[[#This Row],[FECHA TERMINACIÓN CONTRATO
(inicial)]]-Tabla15132[[#This Row],[FECHA INICIO CONTRATO]]</f>
        <v>0</v>
      </c>
      <c r="P185" s="23" t="s">
        <v>302</v>
      </c>
      <c r="Q185" s="101"/>
      <c r="R185" s="70" t="s">
        <v>302</v>
      </c>
      <c r="S185" s="70"/>
      <c r="T185" s="65">
        <v>45992</v>
      </c>
      <c r="U185" s="65">
        <v>45992</v>
      </c>
      <c r="V185" s="65">
        <v>45992</v>
      </c>
      <c r="W185" s="64" t="s">
        <v>320</v>
      </c>
      <c r="X185" s="71"/>
      <c r="Y185" s="71" t="s">
        <v>321</v>
      </c>
      <c r="Z185" s="30">
        <v>1</v>
      </c>
      <c r="AA185" s="30">
        <v>1</v>
      </c>
      <c r="AB185" s="31">
        <v>4410000</v>
      </c>
      <c r="AC185" s="32" t="s">
        <v>2332</v>
      </c>
    </row>
    <row r="186" spans="1:29" ht="29" x14ac:dyDescent="0.35">
      <c r="A186" s="2" t="s">
        <v>319</v>
      </c>
      <c r="B186" s="27" t="s">
        <v>365</v>
      </c>
      <c r="C186" s="66" t="s">
        <v>2333</v>
      </c>
      <c r="D186" s="65">
        <v>45985</v>
      </c>
      <c r="E186" s="26" t="s">
        <v>142</v>
      </c>
      <c r="F186" s="67" t="s">
        <v>2334</v>
      </c>
      <c r="G186" s="42">
        <v>5348893</v>
      </c>
      <c r="H186" s="2" t="s">
        <v>445</v>
      </c>
      <c r="I186" s="33">
        <v>407715</v>
      </c>
      <c r="J186" s="33">
        <v>0</v>
      </c>
      <c r="K186" s="36">
        <v>407715</v>
      </c>
      <c r="L186" s="69" t="s">
        <v>302</v>
      </c>
      <c r="M186" s="3"/>
      <c r="N186" s="28">
        <f>+Tabla15132[[#This Row],[VALOR TOTAL DEL CONTRATO
(en pesos)
CON IVA
(inicial)]]+Tabla15132[[#This Row],[VALOR DE LAS ADICIONES
(en pesos)
CON IVA]]</f>
        <v>407715</v>
      </c>
      <c r="O186" s="37">
        <f>+Tabla15132[[#This Row],[FECHA TERMINACIÓN CONTRATO
(inicial)]]-Tabla15132[[#This Row],[FECHA INICIO CONTRATO]]</f>
        <v>0</v>
      </c>
      <c r="P186" s="23" t="s">
        <v>302</v>
      </c>
      <c r="Q186" s="101"/>
      <c r="R186" s="70" t="s">
        <v>302</v>
      </c>
      <c r="S186" s="70"/>
      <c r="T186" s="65">
        <v>45986</v>
      </c>
      <c r="U186" s="65">
        <v>45986</v>
      </c>
      <c r="V186" s="65">
        <v>45986</v>
      </c>
      <c r="W186" s="64" t="s">
        <v>320</v>
      </c>
      <c r="X186" s="71"/>
      <c r="Y186" s="71" t="s">
        <v>321</v>
      </c>
      <c r="Z186" s="59">
        <v>1</v>
      </c>
      <c r="AA186" s="59">
        <v>1</v>
      </c>
      <c r="AB186" s="98">
        <v>407715</v>
      </c>
      <c r="AC186" s="32" t="s">
        <v>2335</v>
      </c>
    </row>
    <row r="187" spans="1:29" ht="29" x14ac:dyDescent="0.35">
      <c r="A187" s="2" t="s">
        <v>310</v>
      </c>
      <c r="B187" s="27" t="s">
        <v>300</v>
      </c>
      <c r="C187" s="66" t="s">
        <v>2336</v>
      </c>
      <c r="D187" s="65">
        <v>45993</v>
      </c>
      <c r="E187" s="26" t="s">
        <v>150</v>
      </c>
      <c r="F187" s="67" t="s">
        <v>2337</v>
      </c>
      <c r="G187" s="42" t="s">
        <v>2537</v>
      </c>
      <c r="H187" s="2" t="s">
        <v>2338</v>
      </c>
      <c r="I187" s="33">
        <v>8984874</v>
      </c>
      <c r="J187" s="33">
        <v>1707126</v>
      </c>
      <c r="K187" s="36">
        <v>10692000</v>
      </c>
      <c r="L187" s="69" t="s">
        <v>302</v>
      </c>
      <c r="M187" s="3"/>
      <c r="N187" s="28">
        <f>+Tabla15132[[#This Row],[VALOR TOTAL DEL CONTRATO
(en pesos)
CON IVA
(inicial)]]+Tabla15132[[#This Row],[VALOR DE LAS ADICIONES
(en pesos)
CON IVA]]</f>
        <v>10692000</v>
      </c>
      <c r="O187" s="37">
        <f>+Tabla15132[[#This Row],[FECHA TERMINACIÓN CONTRATO
(inicial)]]-Tabla15132[[#This Row],[FECHA INICIO CONTRATO]]</f>
        <v>0</v>
      </c>
      <c r="P187" s="23" t="s">
        <v>302</v>
      </c>
      <c r="Q187" s="101"/>
      <c r="R187" s="70" t="s">
        <v>302</v>
      </c>
      <c r="S187" s="70"/>
      <c r="T187" s="65">
        <v>45994</v>
      </c>
      <c r="U187" s="65">
        <v>45994</v>
      </c>
      <c r="V187" s="65">
        <v>45994</v>
      </c>
      <c r="W187" s="64" t="s">
        <v>320</v>
      </c>
      <c r="X187" s="71"/>
      <c r="Y187" s="71" t="s">
        <v>321</v>
      </c>
      <c r="Z187" s="30">
        <v>1</v>
      </c>
      <c r="AA187" s="30">
        <v>1</v>
      </c>
      <c r="AB187" s="31">
        <v>10692000</v>
      </c>
      <c r="AC187" s="32" t="s">
        <v>2339</v>
      </c>
    </row>
    <row r="188" spans="1:29" ht="29" x14ac:dyDescent="0.35">
      <c r="A188" s="2" t="s">
        <v>314</v>
      </c>
      <c r="B188" s="27" t="s">
        <v>300</v>
      </c>
      <c r="C188" s="66" t="s">
        <v>2340</v>
      </c>
      <c r="D188" s="65">
        <v>45993</v>
      </c>
      <c r="E188" s="26" t="s">
        <v>113</v>
      </c>
      <c r="F188" s="67" t="s">
        <v>2341</v>
      </c>
      <c r="G188" s="42">
        <v>63527265</v>
      </c>
      <c r="H188" s="2" t="s">
        <v>2342</v>
      </c>
      <c r="I188" s="33">
        <v>47926522</v>
      </c>
      <c r="J188" s="33">
        <v>9106039</v>
      </c>
      <c r="K188" s="36">
        <v>57032561</v>
      </c>
      <c r="L188" s="69" t="s">
        <v>302</v>
      </c>
      <c r="M188" s="3"/>
      <c r="N188" s="28">
        <f>+Tabla15132[[#This Row],[VALOR TOTAL DEL CONTRATO
(en pesos)
CON IVA
(inicial)]]+Tabla15132[[#This Row],[VALOR DE LAS ADICIONES
(en pesos)
CON IVA]]</f>
        <v>57032561</v>
      </c>
      <c r="O188" s="37">
        <f>+Tabla15132[[#This Row],[FECHA TERMINACIÓN CONTRATO
(inicial)]]-Tabla15132[[#This Row],[FECHA INICIO CONTRATO]]</f>
        <v>28</v>
      </c>
      <c r="P188" s="23" t="s">
        <v>302</v>
      </c>
      <c r="Q188" s="101"/>
      <c r="R188" s="70" t="s">
        <v>302</v>
      </c>
      <c r="S188" s="70"/>
      <c r="T188" s="65">
        <v>45993</v>
      </c>
      <c r="U188" s="65">
        <v>46021</v>
      </c>
      <c r="V188" s="65">
        <v>46021</v>
      </c>
      <c r="W188" s="64" t="s">
        <v>320</v>
      </c>
      <c r="X188" s="71"/>
      <c r="Y188" s="71" t="s">
        <v>321</v>
      </c>
      <c r="Z188" s="30">
        <v>1</v>
      </c>
      <c r="AA188" s="30">
        <v>1</v>
      </c>
      <c r="AB188" s="31">
        <v>57032561</v>
      </c>
      <c r="AC188" s="32" t="s">
        <v>2343</v>
      </c>
    </row>
    <row r="189" spans="1:29" ht="29" x14ac:dyDescent="0.35">
      <c r="A189" s="2" t="s">
        <v>304</v>
      </c>
      <c r="B189" s="27" t="s">
        <v>365</v>
      </c>
      <c r="C189" s="66" t="s">
        <v>2344</v>
      </c>
      <c r="D189" s="65">
        <v>45993</v>
      </c>
      <c r="E189" s="26" t="s">
        <v>150</v>
      </c>
      <c r="F189" s="67" t="s">
        <v>2345</v>
      </c>
      <c r="G189" s="42" t="s">
        <v>2543</v>
      </c>
      <c r="H189" s="2" t="s">
        <v>2346</v>
      </c>
      <c r="I189" s="33">
        <v>4500000</v>
      </c>
      <c r="J189" s="33">
        <v>0</v>
      </c>
      <c r="K189" s="36">
        <v>4500000</v>
      </c>
      <c r="L189" s="69" t="s">
        <v>302</v>
      </c>
      <c r="M189" s="3"/>
      <c r="N189" s="28">
        <f>+Tabla15132[[#This Row],[VALOR TOTAL DEL CONTRATO
(en pesos)
CON IVA
(inicial)]]+Tabla15132[[#This Row],[VALOR DE LAS ADICIONES
(en pesos)
CON IVA]]</f>
        <v>4500000</v>
      </c>
      <c r="O189" s="37">
        <f>+Tabla15132[[#This Row],[FECHA TERMINACIÓN CONTRATO
(inicial)]]-Tabla15132[[#This Row],[FECHA INICIO CONTRATO]]</f>
        <v>0</v>
      </c>
      <c r="P189" s="23" t="s">
        <v>302</v>
      </c>
      <c r="Q189" s="101"/>
      <c r="R189" s="70" t="s">
        <v>302</v>
      </c>
      <c r="S189" s="70"/>
      <c r="T189" s="65">
        <v>45994</v>
      </c>
      <c r="U189" s="65">
        <v>45994</v>
      </c>
      <c r="V189" s="65">
        <v>45994</v>
      </c>
      <c r="W189" s="64" t="s">
        <v>320</v>
      </c>
      <c r="X189" s="71"/>
      <c r="Y189" s="71" t="s">
        <v>321</v>
      </c>
      <c r="Z189" s="30">
        <v>1</v>
      </c>
      <c r="AA189" s="30">
        <v>1</v>
      </c>
      <c r="AB189" s="31">
        <v>4500000</v>
      </c>
      <c r="AC189" s="32" t="s">
        <v>2347</v>
      </c>
    </row>
    <row r="190" spans="1:29" ht="29" x14ac:dyDescent="0.35">
      <c r="A190" s="26" t="s">
        <v>1732</v>
      </c>
      <c r="B190" s="27" t="s">
        <v>300</v>
      </c>
      <c r="C190" s="66" t="s">
        <v>2348</v>
      </c>
      <c r="D190" s="65">
        <v>45993</v>
      </c>
      <c r="E190" s="26" t="s">
        <v>142</v>
      </c>
      <c r="F190" s="67" t="s">
        <v>2349</v>
      </c>
      <c r="G190" s="42">
        <v>79904629</v>
      </c>
      <c r="H190" s="26" t="s">
        <v>2350</v>
      </c>
      <c r="I190" s="33">
        <v>59273500</v>
      </c>
      <c r="J190" s="33">
        <v>11374585</v>
      </c>
      <c r="K190" s="36">
        <v>70648085</v>
      </c>
      <c r="L190" s="69" t="s">
        <v>302</v>
      </c>
      <c r="M190" s="110"/>
      <c r="N190" s="28">
        <f>+Tabla15132[[#This Row],[VALOR TOTAL DEL CONTRATO
(en pesos)
CON IVA
(inicial)]]+Tabla15132[[#This Row],[VALOR DE LAS ADICIONES
(en pesos)
CON IVA]]</f>
        <v>70648085</v>
      </c>
      <c r="O190" s="37">
        <f>+Tabla15132[[#This Row],[FECHA TERMINACIÓN CONTRATO
(inicial)]]-Tabla15132[[#This Row],[FECHA INICIO CONTRATO]]</f>
        <v>45</v>
      </c>
      <c r="P190" s="23" t="s">
        <v>302</v>
      </c>
      <c r="Q190" s="107"/>
      <c r="R190" s="70" t="s">
        <v>302</v>
      </c>
      <c r="S190" s="70"/>
      <c r="T190" s="65">
        <v>45995</v>
      </c>
      <c r="U190" s="71">
        <v>46040</v>
      </c>
      <c r="V190" s="71">
        <v>46040</v>
      </c>
      <c r="W190" s="64" t="s">
        <v>303</v>
      </c>
      <c r="X190" s="109"/>
      <c r="Y190" s="75"/>
      <c r="Z190" s="30">
        <v>0.2</v>
      </c>
      <c r="AA190" s="30">
        <v>0.2</v>
      </c>
      <c r="AB190" s="31">
        <v>0</v>
      </c>
      <c r="AC190" s="32" t="s">
        <v>2351</v>
      </c>
    </row>
    <row r="191" spans="1:29" ht="29" x14ac:dyDescent="0.35">
      <c r="A191" s="2" t="s">
        <v>308</v>
      </c>
      <c r="B191" s="27" t="s">
        <v>365</v>
      </c>
      <c r="C191" s="66" t="s">
        <v>2352</v>
      </c>
      <c r="D191" s="65">
        <v>45993</v>
      </c>
      <c r="E191" s="26" t="s">
        <v>150</v>
      </c>
      <c r="F191" s="67" t="s">
        <v>2353</v>
      </c>
      <c r="G191" s="42" t="s">
        <v>2632</v>
      </c>
      <c r="H191" s="2" t="s">
        <v>2354</v>
      </c>
      <c r="I191" s="33">
        <v>3667312</v>
      </c>
      <c r="J191" s="33">
        <v>547833</v>
      </c>
      <c r="K191" s="36">
        <v>4215145</v>
      </c>
      <c r="L191" s="69" t="s">
        <v>302</v>
      </c>
      <c r="M191" s="3"/>
      <c r="N191" s="28">
        <f>+Tabla15132[[#This Row],[VALOR TOTAL DEL CONTRATO
(en pesos)
CON IVA
(inicial)]]+Tabla15132[[#This Row],[VALOR DE LAS ADICIONES
(en pesos)
CON IVA]]</f>
        <v>4215145</v>
      </c>
      <c r="O191" s="37">
        <f>+Tabla15132[[#This Row],[FECHA TERMINACIÓN CONTRATO
(inicial)]]-Tabla15132[[#This Row],[FECHA INICIO CONTRATO]]</f>
        <v>7</v>
      </c>
      <c r="P191" s="23" t="s">
        <v>302</v>
      </c>
      <c r="Q191" s="101"/>
      <c r="R191" s="70" t="s">
        <v>302</v>
      </c>
      <c r="S191" s="70"/>
      <c r="T191" s="65">
        <v>45994</v>
      </c>
      <c r="U191" s="65">
        <v>46001</v>
      </c>
      <c r="V191" s="65">
        <v>46001</v>
      </c>
      <c r="W191" s="64" t="s">
        <v>320</v>
      </c>
      <c r="X191" s="71"/>
      <c r="Y191" s="71" t="s">
        <v>321</v>
      </c>
      <c r="Z191" s="30">
        <v>1</v>
      </c>
      <c r="AA191" s="30">
        <v>1</v>
      </c>
      <c r="AB191" s="31">
        <v>4215145</v>
      </c>
      <c r="AC191" s="32" t="s">
        <v>2347</v>
      </c>
    </row>
    <row r="192" spans="1:29" ht="29" x14ac:dyDescent="0.35">
      <c r="A192" s="2" t="s">
        <v>315</v>
      </c>
      <c r="B192" s="27" t="s">
        <v>365</v>
      </c>
      <c r="C192" s="66" t="s">
        <v>2355</v>
      </c>
      <c r="D192" s="65">
        <v>45993</v>
      </c>
      <c r="E192" s="26" t="s">
        <v>150</v>
      </c>
      <c r="F192" s="67" t="s">
        <v>2353</v>
      </c>
      <c r="G192" s="42">
        <v>1016100211</v>
      </c>
      <c r="H192" s="2" t="s">
        <v>2356</v>
      </c>
      <c r="I192" s="33">
        <v>1800000</v>
      </c>
      <c r="J192" s="33">
        <v>342000</v>
      </c>
      <c r="K192" s="36">
        <v>2142000</v>
      </c>
      <c r="L192" s="69" t="s">
        <v>302</v>
      </c>
      <c r="M192" s="3"/>
      <c r="N192" s="28">
        <f>+Tabla15132[[#This Row],[VALOR TOTAL DEL CONTRATO
(en pesos)
CON IVA
(inicial)]]+Tabla15132[[#This Row],[VALOR DE LAS ADICIONES
(en pesos)
CON IVA]]</f>
        <v>2142000</v>
      </c>
      <c r="O192" s="37">
        <f>+Tabla15132[[#This Row],[FECHA TERMINACIÓN CONTRATO
(inicial)]]-Tabla15132[[#This Row],[FECHA INICIO CONTRATO]]</f>
        <v>0</v>
      </c>
      <c r="P192" s="23" t="s">
        <v>302</v>
      </c>
      <c r="Q192" s="101"/>
      <c r="R192" s="70" t="s">
        <v>302</v>
      </c>
      <c r="S192" s="70"/>
      <c r="T192" s="65">
        <v>45995</v>
      </c>
      <c r="U192" s="65">
        <v>45995</v>
      </c>
      <c r="V192" s="65">
        <v>45995</v>
      </c>
      <c r="W192" s="64" t="s">
        <v>320</v>
      </c>
      <c r="X192" s="71"/>
      <c r="Y192" s="71" t="s">
        <v>321</v>
      </c>
      <c r="Z192" s="30">
        <v>1</v>
      </c>
      <c r="AA192" s="30">
        <v>1</v>
      </c>
      <c r="AB192" s="31">
        <v>2142000</v>
      </c>
      <c r="AC192" s="32" t="s">
        <v>2357</v>
      </c>
    </row>
    <row r="193" spans="1:29" ht="29" x14ac:dyDescent="0.35">
      <c r="A193" s="2" t="s">
        <v>317</v>
      </c>
      <c r="B193" s="27" t="s">
        <v>300</v>
      </c>
      <c r="C193" s="66" t="s">
        <v>2358</v>
      </c>
      <c r="D193" s="65">
        <v>45994</v>
      </c>
      <c r="E193" s="26" t="s">
        <v>150</v>
      </c>
      <c r="F193" s="67" t="s">
        <v>2359</v>
      </c>
      <c r="G193" s="42" t="s">
        <v>2572</v>
      </c>
      <c r="H193" s="2" t="s">
        <v>2360</v>
      </c>
      <c r="I193" s="33">
        <v>9959259</v>
      </c>
      <c r="J193" s="33">
        <v>740741</v>
      </c>
      <c r="K193" s="36">
        <v>10700000</v>
      </c>
      <c r="L193" s="69" t="s">
        <v>302</v>
      </c>
      <c r="M193" s="3"/>
      <c r="N193" s="28">
        <f>+Tabla15132[[#This Row],[VALOR TOTAL DEL CONTRATO
(en pesos)
CON IVA
(inicial)]]+Tabla15132[[#This Row],[VALOR DE LAS ADICIONES
(en pesos)
CON IVA]]</f>
        <v>10700000</v>
      </c>
      <c r="O193" s="37">
        <v>1</v>
      </c>
      <c r="P193" s="23" t="s">
        <v>302</v>
      </c>
      <c r="Q193" s="101">
        <v>0</v>
      </c>
      <c r="R193" s="70" t="s">
        <v>302</v>
      </c>
      <c r="S193" s="70"/>
      <c r="T193" s="65">
        <v>45995</v>
      </c>
      <c r="U193" s="65">
        <v>45995</v>
      </c>
      <c r="V193" s="65">
        <v>45995</v>
      </c>
      <c r="W193" s="64" t="s">
        <v>320</v>
      </c>
      <c r="X193" s="71"/>
      <c r="Y193" s="71" t="s">
        <v>321</v>
      </c>
      <c r="Z193" s="30">
        <v>1</v>
      </c>
      <c r="AA193" s="30">
        <v>1</v>
      </c>
      <c r="AB193" s="31">
        <v>10700000</v>
      </c>
      <c r="AC193" s="32" t="s">
        <v>2361</v>
      </c>
    </row>
    <row r="194" spans="1:29" ht="29" x14ac:dyDescent="0.35">
      <c r="A194" s="2" t="s">
        <v>311</v>
      </c>
      <c r="B194" s="27" t="s">
        <v>365</v>
      </c>
      <c r="C194" s="66" t="s">
        <v>2362</v>
      </c>
      <c r="D194" s="65">
        <v>45994</v>
      </c>
      <c r="E194" s="26" t="s">
        <v>150</v>
      </c>
      <c r="F194" s="67" t="s">
        <v>2363</v>
      </c>
      <c r="G194" s="42" t="s">
        <v>2595</v>
      </c>
      <c r="H194" s="2" t="s">
        <v>2364</v>
      </c>
      <c r="I194" s="33">
        <v>3067650</v>
      </c>
      <c r="J194" s="33">
        <v>582854</v>
      </c>
      <c r="K194" s="36">
        <v>3650504</v>
      </c>
      <c r="L194" s="69" t="s">
        <v>302</v>
      </c>
      <c r="M194" s="3"/>
      <c r="N194" s="28">
        <f>+Tabla15132[[#This Row],[VALOR TOTAL DEL CONTRATO
(en pesos)
CON IVA
(inicial)]]+Tabla15132[[#This Row],[VALOR DE LAS ADICIONES
(en pesos)
CON IVA]]</f>
        <v>3650504</v>
      </c>
      <c r="O194" s="37">
        <f>+Tabla15132[[#This Row],[FECHA TERMINACIÓN CONTRATO
(inicial)]]-Tabla15132[[#This Row],[FECHA INICIO CONTRATO]]</f>
        <v>0</v>
      </c>
      <c r="P194" s="23" t="s">
        <v>302</v>
      </c>
      <c r="Q194" s="101"/>
      <c r="R194" s="70" t="s">
        <v>302</v>
      </c>
      <c r="S194" s="70"/>
      <c r="T194" s="65">
        <v>45995</v>
      </c>
      <c r="U194" s="65">
        <v>45995</v>
      </c>
      <c r="V194" s="65">
        <v>45995</v>
      </c>
      <c r="W194" s="64" t="s">
        <v>320</v>
      </c>
      <c r="X194" s="71"/>
      <c r="Y194" s="71" t="s">
        <v>321</v>
      </c>
      <c r="Z194" s="30">
        <v>1</v>
      </c>
      <c r="AA194" s="30">
        <v>1</v>
      </c>
      <c r="AB194" s="31">
        <v>3650504</v>
      </c>
      <c r="AC194" s="32" t="s">
        <v>2365</v>
      </c>
    </row>
    <row r="195" spans="1:29" ht="29" x14ac:dyDescent="0.35">
      <c r="A195" s="2" t="s">
        <v>328</v>
      </c>
      <c r="B195" s="27" t="s">
        <v>365</v>
      </c>
      <c r="C195" s="66" t="s">
        <v>2366</v>
      </c>
      <c r="D195" s="65">
        <v>45994</v>
      </c>
      <c r="E195" s="26" t="s">
        <v>150</v>
      </c>
      <c r="F195" s="67" t="s">
        <v>2367</v>
      </c>
      <c r="G195" s="42" t="s">
        <v>2628</v>
      </c>
      <c r="H195" s="2" t="s">
        <v>2368</v>
      </c>
      <c r="I195" s="33">
        <v>4137700</v>
      </c>
      <c r="J195" s="33">
        <v>359800</v>
      </c>
      <c r="K195" s="36">
        <v>4497500</v>
      </c>
      <c r="L195" s="69" t="s">
        <v>302</v>
      </c>
      <c r="M195" s="3"/>
      <c r="N195" s="28">
        <f>+Tabla15132[[#This Row],[VALOR TOTAL DEL CONTRATO
(en pesos)
CON IVA
(inicial)]]+Tabla15132[[#This Row],[VALOR DE LAS ADICIONES
(en pesos)
CON IVA]]</f>
        <v>4497500</v>
      </c>
      <c r="O195" s="37">
        <f>+Tabla15132[[#This Row],[FECHA TERMINACIÓN CONTRATO
(inicial)]]-Tabla15132[[#This Row],[FECHA INICIO CONTRATO]]</f>
        <v>0</v>
      </c>
      <c r="P195" s="23" t="s">
        <v>302</v>
      </c>
      <c r="Q195" s="101"/>
      <c r="R195" s="70" t="s">
        <v>302</v>
      </c>
      <c r="S195" s="70"/>
      <c r="T195" s="65">
        <v>45995</v>
      </c>
      <c r="U195" s="65">
        <v>45995</v>
      </c>
      <c r="V195" s="65">
        <v>45995</v>
      </c>
      <c r="W195" s="64" t="s">
        <v>320</v>
      </c>
      <c r="X195" s="71"/>
      <c r="Y195" s="71" t="s">
        <v>321</v>
      </c>
      <c r="Z195" s="30">
        <v>1</v>
      </c>
      <c r="AA195" s="30">
        <v>1</v>
      </c>
      <c r="AB195" s="31">
        <v>4468716</v>
      </c>
      <c r="AC195" s="32" t="s">
        <v>2369</v>
      </c>
    </row>
    <row r="196" spans="1:29" ht="29" x14ac:dyDescent="0.35">
      <c r="A196" s="2" t="s">
        <v>318</v>
      </c>
      <c r="B196" s="27" t="s">
        <v>365</v>
      </c>
      <c r="C196" s="66" t="s">
        <v>2370</v>
      </c>
      <c r="D196" s="65">
        <v>45994</v>
      </c>
      <c r="E196" s="26" t="s">
        <v>150</v>
      </c>
      <c r="F196" s="67" t="s">
        <v>2371</v>
      </c>
      <c r="G196" s="42">
        <v>79336402</v>
      </c>
      <c r="H196" s="2" t="s">
        <v>2372</v>
      </c>
      <c r="I196" s="33">
        <v>1200000</v>
      </c>
      <c r="J196" s="33">
        <v>0</v>
      </c>
      <c r="K196" s="36">
        <v>1200000</v>
      </c>
      <c r="L196" s="69" t="s">
        <v>302</v>
      </c>
      <c r="M196" s="3"/>
      <c r="N196" s="28">
        <f>+Tabla15132[[#This Row],[VALOR TOTAL DEL CONTRATO
(en pesos)
CON IVA
(inicial)]]+Tabla15132[[#This Row],[VALOR DE LAS ADICIONES
(en pesos)
CON IVA]]</f>
        <v>1200000</v>
      </c>
      <c r="O196" s="37">
        <f>+Tabla15132[[#This Row],[FECHA TERMINACIÓN CONTRATO
(inicial)]]-Tabla15132[[#This Row],[FECHA INICIO CONTRATO]]</f>
        <v>16</v>
      </c>
      <c r="P196" s="23" t="s">
        <v>302</v>
      </c>
      <c r="Q196" s="101"/>
      <c r="R196" s="70" t="s">
        <v>302</v>
      </c>
      <c r="S196" s="70"/>
      <c r="T196" s="65">
        <v>45994</v>
      </c>
      <c r="U196" s="65">
        <v>46010</v>
      </c>
      <c r="V196" s="65">
        <v>46010</v>
      </c>
      <c r="W196" s="64" t="s">
        <v>323</v>
      </c>
      <c r="X196" s="71">
        <v>46003</v>
      </c>
      <c r="Y196" s="71" t="s">
        <v>364</v>
      </c>
      <c r="Z196" s="30">
        <v>1</v>
      </c>
      <c r="AA196" s="30">
        <v>1</v>
      </c>
      <c r="AB196" s="31">
        <v>1200000</v>
      </c>
      <c r="AC196" s="32" t="s">
        <v>2373</v>
      </c>
    </row>
    <row r="197" spans="1:29" ht="29" x14ac:dyDescent="0.35">
      <c r="A197" s="2" t="s">
        <v>435</v>
      </c>
      <c r="B197" s="27" t="s">
        <v>365</v>
      </c>
      <c r="C197" s="66" t="s">
        <v>2374</v>
      </c>
      <c r="D197" s="65">
        <v>45995</v>
      </c>
      <c r="E197" s="26" t="s">
        <v>150</v>
      </c>
      <c r="F197" s="67" t="s">
        <v>2375</v>
      </c>
      <c r="G197" s="42">
        <v>1049617971</v>
      </c>
      <c r="H197" s="2" t="s">
        <v>2376</v>
      </c>
      <c r="I197" s="33">
        <v>3826735</v>
      </c>
      <c r="J197" s="33">
        <v>0</v>
      </c>
      <c r="K197" s="36">
        <v>3826735</v>
      </c>
      <c r="L197" s="69" t="s">
        <v>302</v>
      </c>
      <c r="M197" s="3"/>
      <c r="N197" s="28">
        <f>+Tabla15132[[#This Row],[VALOR TOTAL DEL CONTRATO
(en pesos)
CON IVA
(inicial)]]+Tabla15132[[#This Row],[VALOR DE LAS ADICIONES
(en pesos)
CON IVA]]</f>
        <v>3826735</v>
      </c>
      <c r="O197" s="37">
        <f>+Tabla15132[[#This Row],[FECHA TERMINACIÓN CONTRATO
(inicial)]]-Tabla15132[[#This Row],[FECHA INICIO CONTRATO]]</f>
        <v>0</v>
      </c>
      <c r="P197" s="23" t="s">
        <v>302</v>
      </c>
      <c r="Q197" s="101"/>
      <c r="R197" s="70" t="s">
        <v>302</v>
      </c>
      <c r="S197" s="70"/>
      <c r="T197" s="65">
        <v>45995</v>
      </c>
      <c r="U197" s="65">
        <v>45995</v>
      </c>
      <c r="V197" s="65">
        <v>45995</v>
      </c>
      <c r="W197" s="64" t="s">
        <v>320</v>
      </c>
      <c r="X197" s="71"/>
      <c r="Y197" s="71" t="s">
        <v>321</v>
      </c>
      <c r="Z197" s="30">
        <v>1</v>
      </c>
      <c r="AA197" s="30">
        <v>1</v>
      </c>
      <c r="AB197" s="31">
        <v>3826735</v>
      </c>
      <c r="AC197" s="32" t="s">
        <v>2377</v>
      </c>
    </row>
    <row r="198" spans="1:29" ht="29" x14ac:dyDescent="0.35">
      <c r="A198" s="2" t="s">
        <v>318</v>
      </c>
      <c r="B198" s="27" t="s">
        <v>365</v>
      </c>
      <c r="C198" s="66" t="s">
        <v>2378</v>
      </c>
      <c r="D198" s="65">
        <v>45995</v>
      </c>
      <c r="E198" s="26" t="s">
        <v>150</v>
      </c>
      <c r="F198" s="67" t="s">
        <v>2379</v>
      </c>
      <c r="G198" s="42" t="s">
        <v>2620</v>
      </c>
      <c r="H198" s="2" t="s">
        <v>2380</v>
      </c>
      <c r="I198" s="33">
        <v>1680000</v>
      </c>
      <c r="J198" s="33">
        <v>48000</v>
      </c>
      <c r="K198" s="36">
        <v>1728000</v>
      </c>
      <c r="L198" s="69" t="s">
        <v>302</v>
      </c>
      <c r="M198" s="3"/>
      <c r="N198" s="28">
        <f>+Tabla15132[[#This Row],[VALOR TOTAL DEL CONTRATO
(en pesos)
CON IVA
(inicial)]]+Tabla15132[[#This Row],[VALOR DE LAS ADICIONES
(en pesos)
CON IVA]]</f>
        <v>1728000</v>
      </c>
      <c r="O198" s="37">
        <f>+Tabla15132[[#This Row],[FECHA TERMINACIÓN CONTRATO
(inicial)]]-Tabla15132[[#This Row],[FECHA INICIO CONTRATO]]</f>
        <v>11</v>
      </c>
      <c r="P198" s="23" t="s">
        <v>302</v>
      </c>
      <c r="Q198" s="101"/>
      <c r="R198" s="70" t="s">
        <v>302</v>
      </c>
      <c r="S198" s="70"/>
      <c r="T198" s="65">
        <v>45995</v>
      </c>
      <c r="U198" s="65">
        <v>46006</v>
      </c>
      <c r="V198" s="65">
        <v>46006</v>
      </c>
      <c r="W198" s="64" t="s">
        <v>323</v>
      </c>
      <c r="X198" s="71">
        <v>46003</v>
      </c>
      <c r="Y198" s="71" t="s">
        <v>364</v>
      </c>
      <c r="Z198" s="30">
        <v>1</v>
      </c>
      <c r="AA198" s="30">
        <v>1</v>
      </c>
      <c r="AB198" s="31">
        <v>1728000</v>
      </c>
      <c r="AC198" s="32" t="s">
        <v>2381</v>
      </c>
    </row>
    <row r="199" spans="1:29" ht="29" x14ac:dyDescent="0.35">
      <c r="A199" s="2" t="s">
        <v>308</v>
      </c>
      <c r="B199" s="27" t="s">
        <v>365</v>
      </c>
      <c r="C199" s="66" t="s">
        <v>2382</v>
      </c>
      <c r="D199" s="65">
        <v>45995</v>
      </c>
      <c r="E199" s="26" t="s">
        <v>150</v>
      </c>
      <c r="F199" s="67" t="s">
        <v>2383</v>
      </c>
      <c r="G199" s="42">
        <v>1032441450</v>
      </c>
      <c r="H199" s="2" t="s">
        <v>2384</v>
      </c>
      <c r="I199" s="33">
        <v>2700000</v>
      </c>
      <c r="J199" s="33">
        <v>260520</v>
      </c>
      <c r="K199" s="36">
        <v>2960520</v>
      </c>
      <c r="L199" s="69" t="s">
        <v>302</v>
      </c>
      <c r="M199" s="3"/>
      <c r="N199" s="28">
        <f>+Tabla15132[[#This Row],[VALOR TOTAL DEL CONTRATO
(en pesos)
CON IVA
(inicial)]]+Tabla15132[[#This Row],[VALOR DE LAS ADICIONES
(en pesos)
CON IVA]]</f>
        <v>2960520</v>
      </c>
      <c r="O199" s="37">
        <f>+Tabla15132[[#This Row],[FECHA TERMINACIÓN CONTRATO
(inicial)]]-Tabla15132[[#This Row],[FECHA INICIO CONTRATO]]</f>
        <v>4</v>
      </c>
      <c r="P199" s="23" t="s">
        <v>302</v>
      </c>
      <c r="Q199" s="101"/>
      <c r="R199" s="70" t="s">
        <v>302</v>
      </c>
      <c r="S199" s="70"/>
      <c r="T199" s="65">
        <v>46003</v>
      </c>
      <c r="U199" s="65">
        <v>46007</v>
      </c>
      <c r="V199" s="65">
        <v>46007</v>
      </c>
      <c r="W199" s="64" t="s">
        <v>320</v>
      </c>
      <c r="X199" s="71"/>
      <c r="Y199" s="71" t="s">
        <v>321</v>
      </c>
      <c r="Z199" s="30">
        <v>1</v>
      </c>
      <c r="AA199" s="30">
        <v>1</v>
      </c>
      <c r="AB199" s="31">
        <v>2960520</v>
      </c>
      <c r="AC199" s="32" t="s">
        <v>2385</v>
      </c>
    </row>
    <row r="200" spans="1:29" ht="29" x14ac:dyDescent="0.35">
      <c r="A200" s="2" t="s">
        <v>314</v>
      </c>
      <c r="B200" s="27" t="s">
        <v>300</v>
      </c>
      <c r="C200" s="66" t="s">
        <v>2386</v>
      </c>
      <c r="D200" s="65">
        <v>45995</v>
      </c>
      <c r="E200" s="26" t="s">
        <v>113</v>
      </c>
      <c r="F200" s="67" t="s">
        <v>2387</v>
      </c>
      <c r="G200" s="42" t="s">
        <v>2593</v>
      </c>
      <c r="H200" s="2" t="s">
        <v>2225</v>
      </c>
      <c r="I200" s="33">
        <v>23546380</v>
      </c>
      <c r="J200" s="33">
        <v>4473812</v>
      </c>
      <c r="K200" s="36">
        <v>28020192</v>
      </c>
      <c r="L200" s="69" t="s">
        <v>302</v>
      </c>
      <c r="M200" s="3"/>
      <c r="N200" s="28">
        <f>+Tabla15132[[#This Row],[VALOR TOTAL DEL CONTRATO
(en pesos)
CON IVA
(inicial)]]+Tabla15132[[#This Row],[VALOR DE LAS ADICIONES
(en pesos)
CON IVA]]</f>
        <v>28020192</v>
      </c>
      <c r="O200" s="37">
        <f>+Tabla15132[[#This Row],[FECHA TERMINACIÓN CONTRATO
(inicial)]]-Tabla15132[[#This Row],[FECHA INICIO CONTRATO]]</f>
        <v>20</v>
      </c>
      <c r="P200" s="23" t="s">
        <v>302</v>
      </c>
      <c r="Q200" s="101"/>
      <c r="R200" s="70" t="s">
        <v>302</v>
      </c>
      <c r="S200" s="70"/>
      <c r="T200" s="65">
        <v>45996</v>
      </c>
      <c r="U200" s="65">
        <v>46016</v>
      </c>
      <c r="V200" s="65">
        <v>46016</v>
      </c>
      <c r="W200" s="64" t="s">
        <v>320</v>
      </c>
      <c r="X200" s="71"/>
      <c r="Y200" s="71" t="s">
        <v>321</v>
      </c>
      <c r="Z200" s="30">
        <v>1</v>
      </c>
      <c r="AA200" s="30">
        <v>1</v>
      </c>
      <c r="AB200" s="31">
        <v>28020192</v>
      </c>
      <c r="AC200" s="32" t="s">
        <v>2388</v>
      </c>
    </row>
    <row r="201" spans="1:29" ht="29" x14ac:dyDescent="0.35">
      <c r="A201" s="2" t="s">
        <v>438</v>
      </c>
      <c r="B201" s="27" t="s">
        <v>365</v>
      </c>
      <c r="C201" s="66" t="s">
        <v>2389</v>
      </c>
      <c r="D201" s="65">
        <v>45996</v>
      </c>
      <c r="E201" s="26" t="s">
        <v>150</v>
      </c>
      <c r="F201" s="67" t="s">
        <v>2390</v>
      </c>
      <c r="G201" s="42">
        <v>24714939</v>
      </c>
      <c r="H201" s="2" t="s">
        <v>470</v>
      </c>
      <c r="I201" s="33">
        <v>2000000</v>
      </c>
      <c r="J201" s="33">
        <v>0</v>
      </c>
      <c r="K201" s="36">
        <v>2000000</v>
      </c>
      <c r="L201" s="69" t="s">
        <v>302</v>
      </c>
      <c r="M201" s="3"/>
      <c r="N201" s="28">
        <f>+Tabla15132[[#This Row],[VALOR TOTAL DEL CONTRATO
(en pesos)
CON IVA
(inicial)]]+Tabla15132[[#This Row],[VALOR DE LAS ADICIONES
(en pesos)
CON IVA]]</f>
        <v>2000000</v>
      </c>
      <c r="O201" s="37">
        <f>+Tabla15132[[#This Row],[FECHA TERMINACIÓN CONTRATO
(inicial)]]-Tabla15132[[#This Row],[FECHA INICIO CONTRATO]]</f>
        <v>0</v>
      </c>
      <c r="P201" s="23" t="s">
        <v>302</v>
      </c>
      <c r="Q201" s="101"/>
      <c r="R201" s="70" t="s">
        <v>302</v>
      </c>
      <c r="S201" s="70"/>
      <c r="T201" s="65">
        <v>46003</v>
      </c>
      <c r="U201" s="65">
        <v>46003</v>
      </c>
      <c r="V201" s="65">
        <v>46003</v>
      </c>
      <c r="W201" s="64" t="s">
        <v>320</v>
      </c>
      <c r="X201" s="71"/>
      <c r="Y201" s="71" t="s">
        <v>321</v>
      </c>
      <c r="Z201" s="30">
        <v>1</v>
      </c>
      <c r="AA201" s="30">
        <v>1</v>
      </c>
      <c r="AB201" s="31">
        <v>2000000</v>
      </c>
      <c r="AC201" s="32" t="s">
        <v>2391</v>
      </c>
    </row>
    <row r="202" spans="1:29" ht="29" x14ac:dyDescent="0.35">
      <c r="A202" s="2" t="s">
        <v>299</v>
      </c>
      <c r="B202" s="27" t="s">
        <v>365</v>
      </c>
      <c r="C202" s="66" t="s">
        <v>2392</v>
      </c>
      <c r="D202" s="65">
        <v>45996</v>
      </c>
      <c r="E202" s="26" t="s">
        <v>150</v>
      </c>
      <c r="F202" s="67" t="s">
        <v>2393</v>
      </c>
      <c r="G202" s="42">
        <v>17596837</v>
      </c>
      <c r="H202" s="2" t="s">
        <v>2026</v>
      </c>
      <c r="I202" s="33">
        <v>1500000</v>
      </c>
      <c r="J202" s="33">
        <v>0</v>
      </c>
      <c r="K202" s="36">
        <v>1500000</v>
      </c>
      <c r="L202" s="69" t="s">
        <v>302</v>
      </c>
      <c r="M202" s="3"/>
      <c r="N202" s="28">
        <f>+Tabla15132[[#This Row],[VALOR TOTAL DEL CONTRATO
(en pesos)
CON IVA
(inicial)]]+Tabla15132[[#This Row],[VALOR DE LAS ADICIONES
(en pesos)
CON IVA]]</f>
        <v>1500000</v>
      </c>
      <c r="O202" s="37">
        <f>+Tabla15132[[#This Row],[FECHA TERMINACIÓN CONTRATO
(inicial)]]-Tabla15132[[#This Row],[FECHA INICIO CONTRATO]]</f>
        <v>0</v>
      </c>
      <c r="P202" s="23" t="s">
        <v>302</v>
      </c>
      <c r="Q202" s="101"/>
      <c r="R202" s="70" t="s">
        <v>302</v>
      </c>
      <c r="S202" s="70"/>
      <c r="T202" s="65">
        <v>46003</v>
      </c>
      <c r="U202" s="65">
        <v>46003</v>
      </c>
      <c r="V202" s="65">
        <v>46003</v>
      </c>
      <c r="W202" s="64" t="s">
        <v>320</v>
      </c>
      <c r="X202" s="71"/>
      <c r="Y202" s="71" t="s">
        <v>321</v>
      </c>
      <c r="Z202" s="30">
        <v>1</v>
      </c>
      <c r="AA202" s="30">
        <v>1</v>
      </c>
      <c r="AB202" s="31">
        <v>1500000</v>
      </c>
      <c r="AC202" s="32" t="s">
        <v>2394</v>
      </c>
    </row>
    <row r="203" spans="1:29" ht="29" x14ac:dyDescent="0.35">
      <c r="A203" s="2" t="s">
        <v>316</v>
      </c>
      <c r="B203" s="27" t="s">
        <v>365</v>
      </c>
      <c r="C203" s="66" t="s">
        <v>2395</v>
      </c>
      <c r="D203" s="65">
        <v>46000</v>
      </c>
      <c r="E203" s="26" t="s">
        <v>150</v>
      </c>
      <c r="F203" s="67" t="s">
        <v>2396</v>
      </c>
      <c r="G203" s="42">
        <v>4330579</v>
      </c>
      <c r="H203" s="2" t="s">
        <v>2397</v>
      </c>
      <c r="I203" s="33">
        <v>4500000</v>
      </c>
      <c r="J203" s="33"/>
      <c r="K203" s="36">
        <v>4500000</v>
      </c>
      <c r="L203" s="69" t="s">
        <v>302</v>
      </c>
      <c r="M203" s="3"/>
      <c r="N203" s="28">
        <f>+Tabla15132[[#This Row],[VALOR TOTAL DEL CONTRATO
(en pesos)
CON IVA
(inicial)]]+Tabla15132[[#This Row],[VALOR DE LAS ADICIONES
(en pesos)
CON IVA]]</f>
        <v>4500000</v>
      </c>
      <c r="O203" s="37">
        <f>+Tabla15132[[#This Row],[FECHA TERMINACIÓN CONTRATO
(inicial)]]-Tabla15132[[#This Row],[FECHA INICIO CONTRATO]]</f>
        <v>0</v>
      </c>
      <c r="P203" s="23" t="s">
        <v>302</v>
      </c>
      <c r="Q203" s="101"/>
      <c r="R203" s="70" t="s">
        <v>302</v>
      </c>
      <c r="S203" s="70"/>
      <c r="T203" s="65">
        <v>46002</v>
      </c>
      <c r="U203" s="65">
        <v>46002</v>
      </c>
      <c r="V203" s="65">
        <v>46002</v>
      </c>
      <c r="W203" s="64" t="s">
        <v>320</v>
      </c>
      <c r="X203" s="71"/>
      <c r="Y203" s="71" t="s">
        <v>321</v>
      </c>
      <c r="Z203" s="30">
        <v>1</v>
      </c>
      <c r="AA203" s="30">
        <v>1</v>
      </c>
      <c r="AB203" s="31">
        <v>4500000</v>
      </c>
      <c r="AC203" s="32" t="s">
        <v>2398</v>
      </c>
    </row>
    <row r="204" spans="1:29" ht="29" x14ac:dyDescent="0.35">
      <c r="A204" s="2" t="s">
        <v>318</v>
      </c>
      <c r="B204" s="27" t="s">
        <v>365</v>
      </c>
      <c r="C204" s="66" t="s">
        <v>2399</v>
      </c>
      <c r="D204" s="65">
        <v>45996</v>
      </c>
      <c r="E204" s="26" t="s">
        <v>142</v>
      </c>
      <c r="F204" s="67" t="s">
        <v>2400</v>
      </c>
      <c r="G204" s="42" t="s">
        <v>2544</v>
      </c>
      <c r="H204" s="2" t="s">
        <v>459</v>
      </c>
      <c r="I204" s="33">
        <v>850000</v>
      </c>
      <c r="J204" s="33">
        <v>161500</v>
      </c>
      <c r="K204" s="36">
        <v>1011500</v>
      </c>
      <c r="L204" s="69" t="s">
        <v>302</v>
      </c>
      <c r="M204" s="3"/>
      <c r="N204" s="28">
        <f>+Tabla15132[[#This Row],[VALOR TOTAL DEL CONTRATO
(en pesos)
CON IVA
(inicial)]]+Tabla15132[[#This Row],[VALOR DE LAS ADICIONES
(en pesos)
CON IVA]]</f>
        <v>1011500</v>
      </c>
      <c r="O204" s="37">
        <f>+Tabla15132[[#This Row],[FECHA TERMINACIÓN CONTRATO
(inicial)]]-Tabla15132[[#This Row],[FECHA INICIO CONTRATO]]</f>
        <v>10</v>
      </c>
      <c r="P204" s="23" t="s">
        <v>302</v>
      </c>
      <c r="Q204" s="101"/>
      <c r="R204" s="70" t="s">
        <v>302</v>
      </c>
      <c r="S204" s="70"/>
      <c r="T204" s="65">
        <v>45996</v>
      </c>
      <c r="U204" s="65">
        <v>46006</v>
      </c>
      <c r="V204" s="65">
        <v>46006</v>
      </c>
      <c r="W204" s="64" t="s">
        <v>323</v>
      </c>
      <c r="X204" s="71">
        <v>46001</v>
      </c>
      <c r="Y204" s="71" t="s">
        <v>364</v>
      </c>
      <c r="Z204" s="30">
        <v>1</v>
      </c>
      <c r="AA204" s="30">
        <v>1</v>
      </c>
      <c r="AB204" s="31">
        <v>1011500</v>
      </c>
      <c r="AC204" s="32" t="s">
        <v>2398</v>
      </c>
    </row>
    <row r="205" spans="1:29" ht="29" x14ac:dyDescent="0.35">
      <c r="A205" s="2" t="s">
        <v>314</v>
      </c>
      <c r="B205" s="27" t="s">
        <v>300</v>
      </c>
      <c r="C205" s="66" t="s">
        <v>2401</v>
      </c>
      <c r="D205" s="65">
        <v>46000</v>
      </c>
      <c r="E205" s="26" t="s">
        <v>113</v>
      </c>
      <c r="F205" s="67" t="s">
        <v>2402</v>
      </c>
      <c r="G205" s="42" t="s">
        <v>2593</v>
      </c>
      <c r="H205" s="2" t="s">
        <v>2225</v>
      </c>
      <c r="I205" s="33">
        <v>39542168</v>
      </c>
      <c r="J205" s="33">
        <v>7513011</v>
      </c>
      <c r="K205" s="36">
        <v>47055180</v>
      </c>
      <c r="L205" s="69" t="s">
        <v>302</v>
      </c>
      <c r="M205" s="3"/>
      <c r="N205" s="28">
        <f>+Tabla15132[[#This Row],[VALOR TOTAL DEL CONTRATO
(en pesos)
CON IVA
(inicial)]]+Tabla15132[[#This Row],[VALOR DE LAS ADICIONES
(en pesos)
CON IVA]]</f>
        <v>47055180</v>
      </c>
      <c r="O205" s="37">
        <f>+Tabla15132[[#This Row],[FECHA TERMINACIÓN CONTRATO
(inicial)]]-Tabla15132[[#This Row],[FECHA INICIO CONTRATO]]</f>
        <v>22</v>
      </c>
      <c r="P205" s="23" t="s">
        <v>302</v>
      </c>
      <c r="Q205" s="101"/>
      <c r="R205" s="70" t="s">
        <v>302</v>
      </c>
      <c r="S205" s="70"/>
      <c r="T205" s="65">
        <v>46000</v>
      </c>
      <c r="U205" s="65">
        <v>46022</v>
      </c>
      <c r="V205" s="65">
        <v>46022</v>
      </c>
      <c r="W205" s="64" t="s">
        <v>320</v>
      </c>
      <c r="X205" s="71"/>
      <c r="Y205" s="71" t="s">
        <v>321</v>
      </c>
      <c r="Z205" s="30">
        <v>1</v>
      </c>
      <c r="AA205" s="30">
        <v>1</v>
      </c>
      <c r="AB205" s="31">
        <v>47055179.920000002</v>
      </c>
      <c r="AC205" s="32" t="s">
        <v>2403</v>
      </c>
    </row>
    <row r="206" spans="1:29" ht="29" x14ac:dyDescent="0.35">
      <c r="A206" s="2" t="s">
        <v>444</v>
      </c>
      <c r="B206" s="27" t="s">
        <v>365</v>
      </c>
      <c r="C206" s="66" t="s">
        <v>2404</v>
      </c>
      <c r="D206" s="65">
        <v>45994</v>
      </c>
      <c r="E206" s="26" t="s">
        <v>150</v>
      </c>
      <c r="F206" s="67" t="s">
        <v>2405</v>
      </c>
      <c r="G206" s="42" t="s">
        <v>2573</v>
      </c>
      <c r="H206" s="2" t="s">
        <v>2406</v>
      </c>
      <c r="I206" s="33">
        <v>555000</v>
      </c>
      <c r="J206" s="33">
        <v>0</v>
      </c>
      <c r="K206" s="36">
        <v>555000</v>
      </c>
      <c r="L206" s="69" t="s">
        <v>302</v>
      </c>
      <c r="M206" s="3"/>
      <c r="N206" s="28">
        <f>+Tabla15132[[#This Row],[VALOR TOTAL DEL CONTRATO
(en pesos)
CON IVA
(inicial)]]+Tabla15132[[#This Row],[VALOR DE LAS ADICIONES
(en pesos)
CON IVA]]</f>
        <v>555000</v>
      </c>
      <c r="O206" s="37">
        <f>+Tabla15132[[#This Row],[FECHA TERMINACIÓN CONTRATO
(inicial)]]-Tabla15132[[#This Row],[FECHA INICIO CONTRATO]]</f>
        <v>9</v>
      </c>
      <c r="P206" s="23" t="s">
        <v>302</v>
      </c>
      <c r="Q206" s="101"/>
      <c r="R206" s="70" t="s">
        <v>302</v>
      </c>
      <c r="S206" s="70"/>
      <c r="T206" s="65">
        <v>45994</v>
      </c>
      <c r="U206" s="65">
        <v>46003</v>
      </c>
      <c r="V206" s="65">
        <v>46003</v>
      </c>
      <c r="W206" s="64" t="s">
        <v>320</v>
      </c>
      <c r="X206" s="71"/>
      <c r="Y206" s="71" t="s">
        <v>321</v>
      </c>
      <c r="Z206" s="30">
        <v>1</v>
      </c>
      <c r="AA206" s="30">
        <v>1</v>
      </c>
      <c r="AB206" s="31">
        <v>555000</v>
      </c>
      <c r="AC206" s="32" t="s">
        <v>2407</v>
      </c>
    </row>
    <row r="207" spans="1:29" ht="29" x14ac:dyDescent="0.35">
      <c r="A207" s="2" t="s">
        <v>315</v>
      </c>
      <c r="B207" s="27" t="s">
        <v>365</v>
      </c>
      <c r="C207" s="66" t="s">
        <v>2408</v>
      </c>
      <c r="D207" s="65">
        <v>46001</v>
      </c>
      <c r="E207" s="26" t="s">
        <v>150</v>
      </c>
      <c r="F207" s="67" t="s">
        <v>2409</v>
      </c>
      <c r="G207" s="42">
        <v>1016100211</v>
      </c>
      <c r="H207" s="2" t="s">
        <v>2356</v>
      </c>
      <c r="I207" s="33">
        <v>1500000</v>
      </c>
      <c r="J207" s="33">
        <v>285000</v>
      </c>
      <c r="K207" s="36">
        <v>1785000</v>
      </c>
      <c r="L207" s="69" t="s">
        <v>302</v>
      </c>
      <c r="M207" s="3"/>
      <c r="N207" s="28">
        <f>+Tabla15132[[#This Row],[VALOR TOTAL DEL CONTRATO
(en pesos)
CON IVA
(inicial)]]+Tabla15132[[#This Row],[VALOR DE LAS ADICIONES
(en pesos)
CON IVA]]</f>
        <v>1785000</v>
      </c>
      <c r="O207" s="37">
        <f>+Tabla15132[[#This Row],[FECHA TERMINACIÓN CONTRATO
(inicial)]]-Tabla15132[[#This Row],[FECHA INICIO CONTRATO]]</f>
        <v>0</v>
      </c>
      <c r="P207" s="23" t="s">
        <v>302</v>
      </c>
      <c r="Q207" s="101"/>
      <c r="R207" s="70" t="s">
        <v>302</v>
      </c>
      <c r="S207" s="70"/>
      <c r="T207" s="65">
        <v>46003</v>
      </c>
      <c r="U207" s="65">
        <v>46003</v>
      </c>
      <c r="V207" s="65">
        <v>46003</v>
      </c>
      <c r="W207" s="64" t="s">
        <v>320</v>
      </c>
      <c r="X207" s="71"/>
      <c r="Y207" s="71" t="s">
        <v>321</v>
      </c>
      <c r="Z207" s="30">
        <v>1</v>
      </c>
      <c r="AA207" s="30">
        <v>1</v>
      </c>
      <c r="AB207" s="31">
        <v>1785000</v>
      </c>
      <c r="AC207" s="32" t="s">
        <v>2410</v>
      </c>
    </row>
    <row r="208" spans="1:29" ht="29" x14ac:dyDescent="0.35">
      <c r="A208" s="2" t="s">
        <v>310</v>
      </c>
      <c r="B208" s="27" t="s">
        <v>365</v>
      </c>
      <c r="C208" s="66" t="s">
        <v>2411</v>
      </c>
      <c r="D208" s="65">
        <v>46000</v>
      </c>
      <c r="E208" s="26" t="s">
        <v>113</v>
      </c>
      <c r="F208" s="67" t="s">
        <v>2412</v>
      </c>
      <c r="G208" s="42" t="s">
        <v>2606</v>
      </c>
      <c r="H208" s="2" t="s">
        <v>2413</v>
      </c>
      <c r="I208" s="33">
        <v>5332370</v>
      </c>
      <c r="J208" s="33">
        <v>1013150</v>
      </c>
      <c r="K208" s="36">
        <v>6345520</v>
      </c>
      <c r="L208" s="69" t="s">
        <v>302</v>
      </c>
      <c r="M208" s="3"/>
      <c r="N208" s="28">
        <f>+Tabla15132[[#This Row],[VALOR TOTAL DEL CONTRATO
(en pesos)
CON IVA
(inicial)]]+Tabla15132[[#This Row],[VALOR DE LAS ADICIONES
(en pesos)
CON IVA]]</f>
        <v>6345520</v>
      </c>
      <c r="O208" s="37">
        <f>+Tabla15132[[#This Row],[FECHA TERMINACIÓN CONTRATO
(inicial)]]-Tabla15132[[#This Row],[FECHA INICIO CONTRATO]]</f>
        <v>22</v>
      </c>
      <c r="P208" s="23" t="s">
        <v>302</v>
      </c>
      <c r="Q208" s="101"/>
      <c r="R208" s="70" t="s">
        <v>302</v>
      </c>
      <c r="S208" s="70"/>
      <c r="T208" s="65">
        <v>46000</v>
      </c>
      <c r="U208" s="65">
        <v>46022</v>
      </c>
      <c r="V208" s="65">
        <v>46022</v>
      </c>
      <c r="W208" s="64" t="s">
        <v>320</v>
      </c>
      <c r="X208" s="71"/>
      <c r="Y208" s="71" t="s">
        <v>321</v>
      </c>
      <c r="Z208" s="30">
        <v>1</v>
      </c>
      <c r="AA208" s="30">
        <v>1</v>
      </c>
      <c r="AB208" s="31">
        <v>6345520</v>
      </c>
      <c r="AC208" s="32" t="s">
        <v>2414</v>
      </c>
    </row>
    <row r="209" spans="1:29" ht="29" x14ac:dyDescent="0.35">
      <c r="A209" s="2" t="s">
        <v>311</v>
      </c>
      <c r="B209" s="27" t="s">
        <v>365</v>
      </c>
      <c r="C209" s="66" t="s">
        <v>2415</v>
      </c>
      <c r="D209" s="65">
        <v>46001</v>
      </c>
      <c r="E209" s="26" t="s">
        <v>150</v>
      </c>
      <c r="F209" s="67" t="s">
        <v>2416</v>
      </c>
      <c r="G209" s="42" t="s">
        <v>2545</v>
      </c>
      <c r="H209" s="2" t="s">
        <v>2417</v>
      </c>
      <c r="I209" s="33">
        <v>4300000</v>
      </c>
      <c r="J209" s="33">
        <v>817000</v>
      </c>
      <c r="K209" s="36">
        <v>5117000</v>
      </c>
      <c r="L209" s="69" t="s">
        <v>302</v>
      </c>
      <c r="M209" s="3"/>
      <c r="N209" s="28">
        <f>+Tabla15132[[#This Row],[VALOR TOTAL DEL CONTRATO
(en pesos)
CON IVA
(inicial)]]+Tabla15132[[#This Row],[VALOR DE LAS ADICIONES
(en pesos)
CON IVA]]</f>
        <v>5117000</v>
      </c>
      <c r="O209" s="37">
        <f>+Tabla15132[[#This Row],[FECHA TERMINACIÓN CONTRATO
(inicial)]]-Tabla15132[[#This Row],[FECHA INICIO CONTRATO]]</f>
        <v>0</v>
      </c>
      <c r="P209" s="23" t="s">
        <v>302</v>
      </c>
      <c r="Q209" s="101"/>
      <c r="R209" s="70" t="s">
        <v>302</v>
      </c>
      <c r="S209" s="70"/>
      <c r="T209" s="65">
        <v>46003</v>
      </c>
      <c r="U209" s="65">
        <v>46003</v>
      </c>
      <c r="V209" s="65">
        <v>46003</v>
      </c>
      <c r="W209" s="64" t="s">
        <v>320</v>
      </c>
      <c r="X209" s="71"/>
      <c r="Y209" s="71" t="s">
        <v>321</v>
      </c>
      <c r="Z209" s="30">
        <v>1</v>
      </c>
      <c r="AA209" s="30">
        <v>1</v>
      </c>
      <c r="AB209" s="31">
        <v>5117000</v>
      </c>
      <c r="AC209" s="32" t="s">
        <v>2418</v>
      </c>
    </row>
    <row r="210" spans="1:29" ht="29" x14ac:dyDescent="0.35">
      <c r="A210" s="2" t="s">
        <v>319</v>
      </c>
      <c r="B210" s="27" t="s">
        <v>365</v>
      </c>
      <c r="C210" s="66" t="s">
        <v>2419</v>
      </c>
      <c r="D210" s="65">
        <v>46000</v>
      </c>
      <c r="E210" s="26" t="s">
        <v>150</v>
      </c>
      <c r="F210" s="67" t="s">
        <v>2420</v>
      </c>
      <c r="G210" s="42">
        <v>26641316</v>
      </c>
      <c r="H210" s="2" t="s">
        <v>474</v>
      </c>
      <c r="I210" s="33">
        <v>1200000</v>
      </c>
      <c r="J210" s="33">
        <v>0</v>
      </c>
      <c r="K210" s="36">
        <v>1200000</v>
      </c>
      <c r="L210" s="69" t="s">
        <v>302</v>
      </c>
      <c r="M210" s="3"/>
      <c r="N210" s="28">
        <f>+Tabla15132[[#This Row],[VALOR TOTAL DEL CONTRATO
(en pesos)
CON IVA
(inicial)]]+Tabla15132[[#This Row],[VALOR DE LAS ADICIONES
(en pesos)
CON IVA]]</f>
        <v>1200000</v>
      </c>
      <c r="O210" s="37">
        <f>+Tabla15132[[#This Row],[FECHA TERMINACIÓN CONTRATO
(inicial)]]-Tabla15132[[#This Row],[FECHA INICIO CONTRATO]]</f>
        <v>0</v>
      </c>
      <c r="P210" s="23" t="s">
        <v>302</v>
      </c>
      <c r="Q210" s="101"/>
      <c r="R210" s="70" t="s">
        <v>302</v>
      </c>
      <c r="S210" s="70"/>
      <c r="T210" s="65">
        <v>46003</v>
      </c>
      <c r="U210" s="65">
        <v>46003</v>
      </c>
      <c r="V210" s="65">
        <v>46003</v>
      </c>
      <c r="W210" s="64" t="s">
        <v>320</v>
      </c>
      <c r="X210" s="71"/>
      <c r="Y210" s="71" t="s">
        <v>321</v>
      </c>
      <c r="Z210" s="59">
        <v>1</v>
      </c>
      <c r="AA210" s="59">
        <v>1</v>
      </c>
      <c r="AB210" s="98">
        <v>1200000</v>
      </c>
      <c r="AC210" s="94" t="s">
        <v>2421</v>
      </c>
    </row>
    <row r="211" spans="1:29" ht="29" x14ac:dyDescent="0.35">
      <c r="A211" s="2" t="s">
        <v>319</v>
      </c>
      <c r="B211" s="27" t="s">
        <v>300</v>
      </c>
      <c r="C211" s="66" t="s">
        <v>2422</v>
      </c>
      <c r="D211" s="65">
        <v>46001</v>
      </c>
      <c r="E211" s="26" t="s">
        <v>142</v>
      </c>
      <c r="F211" s="67" t="s">
        <v>2423</v>
      </c>
      <c r="G211" s="42" t="s">
        <v>2554</v>
      </c>
      <c r="H211" s="2" t="s">
        <v>2424</v>
      </c>
      <c r="I211" s="33">
        <v>22237188</v>
      </c>
      <c r="J211" s="33">
        <v>4225065</v>
      </c>
      <c r="K211" s="36">
        <v>26462253</v>
      </c>
      <c r="L211" s="69" t="s">
        <v>302</v>
      </c>
      <c r="M211" s="3"/>
      <c r="N211" s="28">
        <f>+Tabla15132[[#This Row],[VALOR TOTAL DEL CONTRATO
(en pesos)
CON IVA
(inicial)]]+Tabla15132[[#This Row],[VALOR DE LAS ADICIONES
(en pesos)
CON IVA]]</f>
        <v>26462253</v>
      </c>
      <c r="O211" s="37">
        <f>+Tabla15132[[#This Row],[FECHA TERMINACIÓN CONTRATO
(inicial)]]-Tabla15132[[#This Row],[FECHA INICIO CONTRATO]]</f>
        <v>20</v>
      </c>
      <c r="P211" s="23" t="s">
        <v>302</v>
      </c>
      <c r="Q211" s="101"/>
      <c r="R211" s="70" t="s">
        <v>302</v>
      </c>
      <c r="S211" s="70"/>
      <c r="T211" s="65">
        <v>46002</v>
      </c>
      <c r="U211" s="65">
        <v>46022</v>
      </c>
      <c r="V211" s="65">
        <v>46022</v>
      </c>
      <c r="W211" s="64" t="s">
        <v>320</v>
      </c>
      <c r="X211" s="71"/>
      <c r="Y211" s="71" t="s">
        <v>321</v>
      </c>
      <c r="Z211" s="59">
        <v>1</v>
      </c>
      <c r="AA211" s="59">
        <v>1</v>
      </c>
      <c r="AB211" s="98">
        <v>13231127</v>
      </c>
      <c r="AC211" s="32" t="s">
        <v>2425</v>
      </c>
    </row>
    <row r="212" spans="1:29" ht="29" x14ac:dyDescent="0.35">
      <c r="A212" s="2" t="s">
        <v>328</v>
      </c>
      <c r="B212" s="27" t="s">
        <v>365</v>
      </c>
      <c r="C212" s="66" t="s">
        <v>2426</v>
      </c>
      <c r="D212" s="65">
        <v>46002</v>
      </c>
      <c r="E212" s="26" t="s">
        <v>150</v>
      </c>
      <c r="F212" s="67" t="s">
        <v>2427</v>
      </c>
      <c r="G212" s="42" t="s">
        <v>2628</v>
      </c>
      <c r="H212" s="2" t="s">
        <v>2368</v>
      </c>
      <c r="I212" s="33">
        <v>3800000</v>
      </c>
      <c r="J212" s="33">
        <v>304000</v>
      </c>
      <c r="K212" s="36">
        <v>4104000</v>
      </c>
      <c r="L212" s="69" t="s">
        <v>302</v>
      </c>
      <c r="M212" s="3"/>
      <c r="N212" s="28">
        <f>+Tabla15132[[#This Row],[VALOR TOTAL DEL CONTRATO
(en pesos)
CON IVA
(inicial)]]+Tabla15132[[#This Row],[VALOR DE LAS ADICIONES
(en pesos)
CON IVA]]</f>
        <v>4104000</v>
      </c>
      <c r="O212" s="37">
        <f>+Tabla15132[[#This Row],[FECHA TERMINACIÓN CONTRATO
(inicial)]]-Tabla15132[[#This Row],[FECHA INICIO CONTRATO]]</f>
        <v>0</v>
      </c>
      <c r="P212" s="23" t="s">
        <v>302</v>
      </c>
      <c r="Q212" s="101"/>
      <c r="R212" s="70" t="s">
        <v>302</v>
      </c>
      <c r="S212" s="70"/>
      <c r="T212" s="65">
        <v>46003</v>
      </c>
      <c r="U212" s="65">
        <v>46003</v>
      </c>
      <c r="V212" s="65">
        <v>46003</v>
      </c>
      <c r="W212" s="64" t="s">
        <v>320</v>
      </c>
      <c r="X212" s="71"/>
      <c r="Y212" s="71" t="s">
        <v>321</v>
      </c>
      <c r="Z212" s="30">
        <v>1</v>
      </c>
      <c r="AA212" s="30">
        <v>1</v>
      </c>
      <c r="AB212" s="31">
        <v>4104000</v>
      </c>
      <c r="AC212" s="32" t="s">
        <v>2428</v>
      </c>
    </row>
    <row r="213" spans="1:29" ht="29" x14ac:dyDescent="0.35">
      <c r="A213" s="2" t="s">
        <v>435</v>
      </c>
      <c r="B213" s="27" t="s">
        <v>365</v>
      </c>
      <c r="C213" s="66" t="s">
        <v>2429</v>
      </c>
      <c r="D213" s="65">
        <v>46001</v>
      </c>
      <c r="E213" s="26" t="s">
        <v>150</v>
      </c>
      <c r="F213" s="67" t="s">
        <v>2430</v>
      </c>
      <c r="G213" s="42">
        <v>1049617971</v>
      </c>
      <c r="H213" s="2" t="s">
        <v>2376</v>
      </c>
      <c r="I213" s="33">
        <v>3600000</v>
      </c>
      <c r="J213" s="33">
        <v>0</v>
      </c>
      <c r="K213" s="36">
        <v>3600000</v>
      </c>
      <c r="L213" s="69" t="s">
        <v>302</v>
      </c>
      <c r="M213" s="3"/>
      <c r="N213" s="28">
        <f>+Tabla15132[[#This Row],[VALOR TOTAL DEL CONTRATO
(en pesos)
CON IVA
(inicial)]]+Tabla15132[[#This Row],[VALOR DE LAS ADICIONES
(en pesos)
CON IVA]]</f>
        <v>3600000</v>
      </c>
      <c r="O213" s="37">
        <f>+Tabla15132[[#This Row],[FECHA TERMINACIÓN CONTRATO
(inicial)]]-Tabla15132[[#This Row],[FECHA INICIO CONTRATO]]</f>
        <v>0</v>
      </c>
      <c r="P213" s="23" t="s">
        <v>302</v>
      </c>
      <c r="Q213" s="101"/>
      <c r="R213" s="70" t="s">
        <v>302</v>
      </c>
      <c r="S213" s="70"/>
      <c r="T213" s="65">
        <v>46003</v>
      </c>
      <c r="U213" s="65">
        <v>46003</v>
      </c>
      <c r="V213" s="65">
        <v>46003</v>
      </c>
      <c r="W213" s="64" t="s">
        <v>320</v>
      </c>
      <c r="X213" s="71"/>
      <c r="Y213" s="71" t="s">
        <v>321</v>
      </c>
      <c r="Z213" s="30">
        <v>1</v>
      </c>
      <c r="AA213" s="30">
        <v>1</v>
      </c>
      <c r="AB213" s="31">
        <v>3600000</v>
      </c>
      <c r="AC213" s="32" t="s">
        <v>2431</v>
      </c>
    </row>
    <row r="214" spans="1:29" ht="29" x14ac:dyDescent="0.35">
      <c r="A214" s="2" t="s">
        <v>316</v>
      </c>
      <c r="B214" s="27" t="s">
        <v>365</v>
      </c>
      <c r="C214" s="66" t="s">
        <v>2432</v>
      </c>
      <c r="D214" s="65">
        <v>46002</v>
      </c>
      <c r="E214" s="26" t="s">
        <v>150</v>
      </c>
      <c r="F214" s="67" t="s">
        <v>2433</v>
      </c>
      <c r="G214" s="42" t="s">
        <v>2583</v>
      </c>
      <c r="H214" s="2" t="s">
        <v>477</v>
      </c>
      <c r="I214" s="33">
        <v>3300000</v>
      </c>
      <c r="J214" s="33">
        <v>287395</v>
      </c>
      <c r="K214" s="36">
        <v>3587395</v>
      </c>
      <c r="L214" s="69" t="s">
        <v>302</v>
      </c>
      <c r="M214" s="3"/>
      <c r="N214" s="28">
        <f>+Tabla15132[[#This Row],[VALOR TOTAL DEL CONTRATO
(en pesos)
CON IVA
(inicial)]]+Tabla15132[[#This Row],[VALOR DE LAS ADICIONES
(en pesos)
CON IVA]]</f>
        <v>3587395</v>
      </c>
      <c r="O214" s="37">
        <f>+Tabla15132[[#This Row],[FECHA TERMINACIÓN CONTRATO
(inicial)]]-Tabla15132[[#This Row],[FECHA INICIO CONTRATO]]</f>
        <v>2</v>
      </c>
      <c r="P214" s="23" t="s">
        <v>302</v>
      </c>
      <c r="Q214" s="101"/>
      <c r="R214" s="70" t="s">
        <v>302</v>
      </c>
      <c r="S214" s="70"/>
      <c r="T214" s="65">
        <v>46003</v>
      </c>
      <c r="U214" s="65">
        <v>46005</v>
      </c>
      <c r="V214" s="65">
        <v>46005</v>
      </c>
      <c r="W214" s="64" t="s">
        <v>320</v>
      </c>
      <c r="X214" s="71"/>
      <c r="Y214" s="71" t="s">
        <v>321</v>
      </c>
      <c r="Z214" s="30">
        <v>1</v>
      </c>
      <c r="AA214" s="30">
        <v>1</v>
      </c>
      <c r="AB214" s="31">
        <v>3587395</v>
      </c>
      <c r="AC214" s="32" t="s">
        <v>2434</v>
      </c>
    </row>
    <row r="215" spans="1:29" ht="29" x14ac:dyDescent="0.35">
      <c r="A215" s="2" t="s">
        <v>317</v>
      </c>
      <c r="B215" s="27" t="s">
        <v>300</v>
      </c>
      <c r="C215" s="66" t="s">
        <v>2435</v>
      </c>
      <c r="D215" s="65">
        <v>46002</v>
      </c>
      <c r="E215" s="26" t="s">
        <v>150</v>
      </c>
      <c r="F215" s="67" t="s">
        <v>2436</v>
      </c>
      <c r="G215" s="42" t="s">
        <v>2572</v>
      </c>
      <c r="H215" s="2" t="s">
        <v>2360</v>
      </c>
      <c r="I215" s="33">
        <v>11809259</v>
      </c>
      <c r="J215" s="33">
        <v>944741</v>
      </c>
      <c r="K215" s="36">
        <v>12754000</v>
      </c>
      <c r="L215" s="69" t="s">
        <v>302</v>
      </c>
      <c r="M215" s="3"/>
      <c r="N215" s="28">
        <f>+Tabla15132[[#This Row],[VALOR TOTAL DEL CONTRATO
(en pesos)
CON IVA
(inicial)]]+Tabla15132[[#This Row],[VALOR DE LAS ADICIONES
(en pesos)
CON IVA]]</f>
        <v>12754000</v>
      </c>
      <c r="O215" s="37">
        <v>1</v>
      </c>
      <c r="P215" s="23" t="s">
        <v>302</v>
      </c>
      <c r="Q215" s="101">
        <v>0</v>
      </c>
      <c r="R215" s="70" t="s">
        <v>302</v>
      </c>
      <c r="S215" s="70"/>
      <c r="T215" s="65">
        <v>46003</v>
      </c>
      <c r="U215" s="65">
        <v>46003</v>
      </c>
      <c r="V215" s="65">
        <v>46003</v>
      </c>
      <c r="W215" s="64" t="s">
        <v>320</v>
      </c>
      <c r="X215" s="71"/>
      <c r="Y215" s="71" t="s">
        <v>321</v>
      </c>
      <c r="Z215" s="30">
        <v>1</v>
      </c>
      <c r="AA215" s="30">
        <v>1</v>
      </c>
      <c r="AB215" s="31">
        <v>12754000</v>
      </c>
      <c r="AC215" s="32" t="s">
        <v>2437</v>
      </c>
    </row>
    <row r="216" spans="1:29" ht="29" x14ac:dyDescent="0.35">
      <c r="A216" s="2" t="s">
        <v>305</v>
      </c>
      <c r="B216" s="27" t="s">
        <v>365</v>
      </c>
      <c r="C216" s="66" t="s">
        <v>2438</v>
      </c>
      <c r="D216" s="65">
        <v>46002</v>
      </c>
      <c r="E216" s="26" t="s">
        <v>150</v>
      </c>
      <c r="F216" s="67" t="s">
        <v>2439</v>
      </c>
      <c r="G216" s="42" t="s">
        <v>2574</v>
      </c>
      <c r="H216" s="2" t="s">
        <v>453</v>
      </c>
      <c r="I216" s="33">
        <v>2700000</v>
      </c>
      <c r="J216" s="33">
        <v>216000</v>
      </c>
      <c r="K216" s="36">
        <v>2916000</v>
      </c>
      <c r="L216" s="69" t="s">
        <v>302</v>
      </c>
      <c r="M216" s="3"/>
      <c r="N216" s="28">
        <f>+Tabla15132[[#This Row],[VALOR TOTAL DEL CONTRATO
(en pesos)
CON IVA
(inicial)]]+Tabla15132[[#This Row],[VALOR DE LAS ADICIONES
(en pesos)
CON IVA]]</f>
        <v>2916000</v>
      </c>
      <c r="O216" s="37">
        <f>+Tabla15132[[#This Row],[FECHA TERMINACIÓN CONTRATO
(inicial)]]-Tabla15132[[#This Row],[FECHA INICIO CONTRATO]]</f>
        <v>0</v>
      </c>
      <c r="P216" s="23" t="s">
        <v>302</v>
      </c>
      <c r="Q216" s="101"/>
      <c r="R216" s="70" t="s">
        <v>302</v>
      </c>
      <c r="S216" s="70"/>
      <c r="T216" s="65">
        <v>46003</v>
      </c>
      <c r="U216" s="65">
        <v>46003</v>
      </c>
      <c r="V216" s="65">
        <v>46003</v>
      </c>
      <c r="W216" s="64" t="s">
        <v>320</v>
      </c>
      <c r="X216" s="71"/>
      <c r="Y216" s="71" t="s">
        <v>321</v>
      </c>
      <c r="Z216" s="30">
        <v>1</v>
      </c>
      <c r="AA216" s="30">
        <v>1</v>
      </c>
      <c r="AB216" s="31">
        <v>2916000</v>
      </c>
      <c r="AC216" s="32" t="s">
        <v>2440</v>
      </c>
    </row>
    <row r="217" spans="1:29" ht="29" x14ac:dyDescent="0.35">
      <c r="A217" s="2" t="s">
        <v>319</v>
      </c>
      <c r="B217" s="27" t="s">
        <v>365</v>
      </c>
      <c r="C217" s="66" t="s">
        <v>2441</v>
      </c>
      <c r="D217" s="65">
        <v>46001</v>
      </c>
      <c r="E217" s="26" t="s">
        <v>150</v>
      </c>
      <c r="F217" s="67" t="s">
        <v>2442</v>
      </c>
      <c r="G217" s="42" t="s">
        <v>2621</v>
      </c>
      <c r="H217" s="2" t="s">
        <v>454</v>
      </c>
      <c r="I217" s="33">
        <v>1030000</v>
      </c>
      <c r="J217" s="33">
        <v>82400</v>
      </c>
      <c r="K217" s="36">
        <v>1112400</v>
      </c>
      <c r="L217" s="69" t="s">
        <v>302</v>
      </c>
      <c r="M217" s="3"/>
      <c r="N217" s="28">
        <f>+Tabla15132[[#This Row],[VALOR TOTAL DEL CONTRATO
(en pesos)
CON IVA
(inicial)]]+Tabla15132[[#This Row],[VALOR DE LAS ADICIONES
(en pesos)
CON IVA]]</f>
        <v>1112400</v>
      </c>
      <c r="O217" s="37">
        <f>+Tabla15132[[#This Row],[FECHA TERMINACIÓN CONTRATO
(inicial)]]-Tabla15132[[#This Row],[FECHA INICIO CONTRATO]]</f>
        <v>0</v>
      </c>
      <c r="P217" s="23" t="s">
        <v>302</v>
      </c>
      <c r="Q217" s="101"/>
      <c r="R217" s="70" t="s">
        <v>302</v>
      </c>
      <c r="S217" s="70"/>
      <c r="T217" s="65">
        <v>46003</v>
      </c>
      <c r="U217" s="65">
        <v>46003</v>
      </c>
      <c r="V217" s="65">
        <v>46003</v>
      </c>
      <c r="W217" s="64" t="s">
        <v>320</v>
      </c>
      <c r="X217" s="71"/>
      <c r="Y217" s="71" t="s">
        <v>321</v>
      </c>
      <c r="Z217" s="59">
        <v>1</v>
      </c>
      <c r="AA217" s="59">
        <v>1</v>
      </c>
      <c r="AB217" s="98">
        <v>1112400</v>
      </c>
      <c r="AC217" s="32" t="s">
        <v>2443</v>
      </c>
    </row>
    <row r="218" spans="1:29" ht="29" x14ac:dyDescent="0.35">
      <c r="A218" s="2" t="s">
        <v>436</v>
      </c>
      <c r="B218" s="27" t="s">
        <v>365</v>
      </c>
      <c r="C218" s="66" t="s">
        <v>2444</v>
      </c>
      <c r="D218" s="65">
        <v>46002</v>
      </c>
      <c r="E218" s="26" t="s">
        <v>150</v>
      </c>
      <c r="F218" s="67" t="s">
        <v>2445</v>
      </c>
      <c r="G218" s="42">
        <v>89004605</v>
      </c>
      <c r="H218" s="2" t="s">
        <v>2446</v>
      </c>
      <c r="I218" s="33">
        <v>3600000</v>
      </c>
      <c r="J218" s="33">
        <v>0</v>
      </c>
      <c r="K218" s="36">
        <v>3600000</v>
      </c>
      <c r="L218" s="69" t="s">
        <v>302</v>
      </c>
      <c r="M218" s="3"/>
      <c r="N218" s="28">
        <f>+Tabla15132[[#This Row],[VALOR TOTAL DEL CONTRATO
(en pesos)
CON IVA
(inicial)]]+Tabla15132[[#This Row],[VALOR DE LAS ADICIONES
(en pesos)
CON IVA]]</f>
        <v>3600000</v>
      </c>
      <c r="O218" s="37">
        <f>+Tabla15132[[#This Row],[FECHA TERMINACIÓN CONTRATO
(inicial)]]-Tabla15132[[#This Row],[FECHA INICIO CONTRATO]]</f>
        <v>0</v>
      </c>
      <c r="P218" s="23" t="s">
        <v>302</v>
      </c>
      <c r="Q218" s="101"/>
      <c r="R218" s="70" t="s">
        <v>302</v>
      </c>
      <c r="S218" s="70"/>
      <c r="T218" s="65">
        <v>46003</v>
      </c>
      <c r="U218" s="65">
        <v>46003</v>
      </c>
      <c r="V218" s="65">
        <v>46003</v>
      </c>
      <c r="W218" s="64" t="s">
        <v>320</v>
      </c>
      <c r="X218" s="71"/>
      <c r="Y218" s="71" t="s">
        <v>321</v>
      </c>
      <c r="Z218" s="30">
        <v>1</v>
      </c>
      <c r="AA218" s="30">
        <v>1</v>
      </c>
      <c r="AB218" s="31">
        <v>3600000</v>
      </c>
      <c r="AC218" s="32" t="s">
        <v>2447</v>
      </c>
    </row>
    <row r="219" spans="1:29" ht="29" x14ac:dyDescent="0.35">
      <c r="A219" s="2" t="s">
        <v>314</v>
      </c>
      <c r="B219" s="27" t="s">
        <v>365</v>
      </c>
      <c r="C219" s="66" t="s">
        <v>2448</v>
      </c>
      <c r="D219" s="65">
        <v>46002</v>
      </c>
      <c r="E219" s="26" t="s">
        <v>150</v>
      </c>
      <c r="F219" s="67" t="s">
        <v>2390</v>
      </c>
      <c r="G219" s="42" t="s">
        <v>2575</v>
      </c>
      <c r="H219" s="2" t="s">
        <v>2449</v>
      </c>
      <c r="I219" s="33">
        <v>4444444</v>
      </c>
      <c r="J219" s="33">
        <v>355556</v>
      </c>
      <c r="K219" s="36">
        <v>4800000</v>
      </c>
      <c r="L219" s="69" t="s">
        <v>302</v>
      </c>
      <c r="M219" s="3"/>
      <c r="N219" s="28">
        <f>+Tabla15132[[#This Row],[VALOR TOTAL DEL CONTRATO
(en pesos)
CON IVA
(inicial)]]+Tabla15132[[#This Row],[VALOR DE LAS ADICIONES
(en pesos)
CON IVA]]</f>
        <v>4800000</v>
      </c>
      <c r="O219" s="37">
        <f>+Tabla15132[[#This Row],[FECHA TERMINACIÓN CONTRATO
(inicial)]]-Tabla15132[[#This Row],[FECHA INICIO CONTRATO]]</f>
        <v>1</v>
      </c>
      <c r="P219" s="23" t="s">
        <v>302</v>
      </c>
      <c r="Q219" s="101"/>
      <c r="R219" s="70" t="s">
        <v>302</v>
      </c>
      <c r="S219" s="70"/>
      <c r="T219" s="65">
        <v>46003</v>
      </c>
      <c r="U219" s="65">
        <v>46004</v>
      </c>
      <c r="V219" s="65">
        <v>46004</v>
      </c>
      <c r="W219" s="64" t="s">
        <v>320</v>
      </c>
      <c r="X219" s="71"/>
      <c r="Y219" s="71" t="s">
        <v>321</v>
      </c>
      <c r="Z219" s="30">
        <v>0.96799999999999997</v>
      </c>
      <c r="AA219" s="30">
        <v>0.96799999999999997</v>
      </c>
      <c r="AB219" s="31">
        <v>4644444</v>
      </c>
      <c r="AC219" s="32" t="s">
        <v>2450</v>
      </c>
    </row>
    <row r="220" spans="1:29" ht="29" x14ac:dyDescent="0.35">
      <c r="A220" s="2" t="s">
        <v>310</v>
      </c>
      <c r="B220" s="27" t="s">
        <v>300</v>
      </c>
      <c r="C220" s="66" t="s">
        <v>2451</v>
      </c>
      <c r="D220" s="65">
        <v>46002</v>
      </c>
      <c r="E220" s="26" t="s">
        <v>150</v>
      </c>
      <c r="F220" s="67" t="s">
        <v>2452</v>
      </c>
      <c r="G220" s="42">
        <v>1128447407</v>
      </c>
      <c r="H220" s="2" t="s">
        <v>2453</v>
      </c>
      <c r="I220" s="33">
        <v>14000000</v>
      </c>
      <c r="J220" s="33">
        <v>0</v>
      </c>
      <c r="K220" s="36">
        <v>14000000</v>
      </c>
      <c r="L220" s="69" t="s">
        <v>302</v>
      </c>
      <c r="M220" s="3"/>
      <c r="N220" s="28">
        <f>+Tabla15132[[#This Row],[VALOR TOTAL DEL CONTRATO
(en pesos)
CON IVA
(inicial)]]+Tabla15132[[#This Row],[VALOR DE LAS ADICIONES
(en pesos)
CON IVA]]</f>
        <v>14000000</v>
      </c>
      <c r="O220" s="37">
        <f>+Tabla15132[[#This Row],[FECHA TERMINACIÓN CONTRATO
(inicial)]]-Tabla15132[[#This Row],[FECHA INICIO CONTRATO]]</f>
        <v>0</v>
      </c>
      <c r="P220" s="23" t="s">
        <v>302</v>
      </c>
      <c r="Q220" s="101"/>
      <c r="R220" s="70" t="s">
        <v>302</v>
      </c>
      <c r="S220" s="70"/>
      <c r="T220" s="65">
        <v>46003</v>
      </c>
      <c r="U220" s="65">
        <v>46003</v>
      </c>
      <c r="V220" s="65">
        <v>46003</v>
      </c>
      <c r="W220" s="64" t="s">
        <v>320</v>
      </c>
      <c r="X220" s="71"/>
      <c r="Y220" s="71" t="s">
        <v>321</v>
      </c>
      <c r="Z220" s="30">
        <v>1</v>
      </c>
      <c r="AA220" s="30">
        <v>1</v>
      </c>
      <c r="AB220" s="31">
        <v>14000000</v>
      </c>
      <c r="AC220" s="32" t="s">
        <v>2454</v>
      </c>
    </row>
    <row r="221" spans="1:29" ht="29" x14ac:dyDescent="0.35">
      <c r="A221" s="2" t="s">
        <v>1797</v>
      </c>
      <c r="B221" s="27" t="s">
        <v>365</v>
      </c>
      <c r="C221" s="66" t="s">
        <v>2455</v>
      </c>
      <c r="D221" s="65">
        <v>46002</v>
      </c>
      <c r="E221" s="26" t="s">
        <v>150</v>
      </c>
      <c r="F221" s="67" t="s">
        <v>2456</v>
      </c>
      <c r="G221" s="42">
        <v>43630836</v>
      </c>
      <c r="H221" s="2" t="s">
        <v>2079</v>
      </c>
      <c r="I221" s="33">
        <v>2700000</v>
      </c>
      <c r="J221" s="33">
        <v>0</v>
      </c>
      <c r="K221" s="36">
        <v>2700000</v>
      </c>
      <c r="L221" s="69" t="s">
        <v>302</v>
      </c>
      <c r="M221" s="3"/>
      <c r="N221" s="28">
        <f>+Tabla15132[[#This Row],[VALOR TOTAL DEL CONTRATO
(en pesos)
CON IVA
(inicial)]]+Tabla15132[[#This Row],[VALOR DE LAS ADICIONES
(en pesos)
CON IVA]]</f>
        <v>2700000</v>
      </c>
      <c r="O221" s="37">
        <f>+Tabla15132[[#This Row],[FECHA TERMINACIÓN CONTRATO
(inicial)]]-Tabla15132[[#This Row],[FECHA INICIO CONTRATO]]</f>
        <v>0</v>
      </c>
      <c r="P221" s="23" t="s">
        <v>302</v>
      </c>
      <c r="Q221" s="101"/>
      <c r="R221" s="70" t="s">
        <v>302</v>
      </c>
      <c r="S221" s="70"/>
      <c r="T221" s="65">
        <v>46003</v>
      </c>
      <c r="U221" s="65">
        <v>46003</v>
      </c>
      <c r="V221" s="65">
        <v>46003</v>
      </c>
      <c r="W221" s="64" t="s">
        <v>320</v>
      </c>
      <c r="X221" s="71"/>
      <c r="Y221" s="71" t="s">
        <v>321</v>
      </c>
      <c r="Z221" s="30">
        <v>1</v>
      </c>
      <c r="AA221" s="30">
        <v>1</v>
      </c>
      <c r="AB221" s="31">
        <v>2700000</v>
      </c>
      <c r="AC221" s="32" t="s">
        <v>2457</v>
      </c>
    </row>
    <row r="222" spans="1:29" ht="29" x14ac:dyDescent="0.35">
      <c r="A222" s="2" t="s">
        <v>304</v>
      </c>
      <c r="B222" s="27" t="s">
        <v>365</v>
      </c>
      <c r="C222" s="66" t="s">
        <v>2458</v>
      </c>
      <c r="D222" s="65">
        <v>46002</v>
      </c>
      <c r="E222" s="26" t="s">
        <v>150</v>
      </c>
      <c r="F222" s="67" t="s">
        <v>2459</v>
      </c>
      <c r="G222" s="42">
        <v>1110061665</v>
      </c>
      <c r="H222" s="2" t="s">
        <v>2090</v>
      </c>
      <c r="I222" s="33">
        <v>3600000</v>
      </c>
      <c r="J222" s="33">
        <v>0</v>
      </c>
      <c r="K222" s="36">
        <v>3600000</v>
      </c>
      <c r="L222" s="69" t="s">
        <v>302</v>
      </c>
      <c r="M222" s="3"/>
      <c r="N222" s="28">
        <f>+Tabla15132[[#This Row],[VALOR TOTAL DEL CONTRATO
(en pesos)
CON IVA
(inicial)]]+Tabla15132[[#This Row],[VALOR DE LAS ADICIONES
(en pesos)
CON IVA]]</f>
        <v>3600000</v>
      </c>
      <c r="O222" s="37">
        <f>+Tabla15132[[#This Row],[FECHA TERMINACIÓN CONTRATO
(inicial)]]-Tabla15132[[#This Row],[FECHA INICIO CONTRATO]]</f>
        <v>0</v>
      </c>
      <c r="P222" s="23" t="s">
        <v>302</v>
      </c>
      <c r="Q222" s="101"/>
      <c r="R222" s="70" t="s">
        <v>302</v>
      </c>
      <c r="S222" s="70"/>
      <c r="T222" s="65">
        <v>46003</v>
      </c>
      <c r="U222" s="65">
        <v>46003</v>
      </c>
      <c r="V222" s="65">
        <v>46003</v>
      </c>
      <c r="W222" s="64" t="s">
        <v>320</v>
      </c>
      <c r="X222" s="71"/>
      <c r="Y222" s="71" t="s">
        <v>321</v>
      </c>
      <c r="Z222" s="30">
        <v>1</v>
      </c>
      <c r="AA222" s="30">
        <v>1</v>
      </c>
      <c r="AB222" s="31">
        <v>3600000</v>
      </c>
      <c r="AC222" s="32" t="s">
        <v>2460</v>
      </c>
    </row>
    <row r="223" spans="1:29" ht="29" x14ac:dyDescent="0.35">
      <c r="A223" s="2" t="s">
        <v>314</v>
      </c>
      <c r="B223" s="27" t="s">
        <v>365</v>
      </c>
      <c r="C223" s="66" t="s">
        <v>2461</v>
      </c>
      <c r="D223" s="65">
        <v>46003</v>
      </c>
      <c r="E223" s="26" t="s">
        <v>113</v>
      </c>
      <c r="F223" s="67" t="s">
        <v>2462</v>
      </c>
      <c r="G223" s="42">
        <v>63527265</v>
      </c>
      <c r="H223" s="2" t="s">
        <v>2342</v>
      </c>
      <c r="I223" s="33">
        <v>4361361</v>
      </c>
      <c r="J223" s="33">
        <v>828659</v>
      </c>
      <c r="K223" s="36">
        <v>5190020</v>
      </c>
      <c r="L223" s="69" t="s">
        <v>302</v>
      </c>
      <c r="M223" s="3"/>
      <c r="N223" s="28">
        <f>+Tabla15132[[#This Row],[VALOR TOTAL DEL CONTRATO
(en pesos)
CON IVA
(inicial)]]+Tabla15132[[#This Row],[VALOR DE LAS ADICIONES
(en pesos)
CON IVA]]</f>
        <v>5190020</v>
      </c>
      <c r="O223" s="37">
        <f>+Tabla15132[[#This Row],[FECHA TERMINACIÓN CONTRATO
(inicial)]]-Tabla15132[[#This Row],[FECHA INICIO CONTRATO]]</f>
        <v>19</v>
      </c>
      <c r="P223" s="23" t="s">
        <v>302</v>
      </c>
      <c r="Q223" s="101"/>
      <c r="R223" s="70" t="s">
        <v>302</v>
      </c>
      <c r="S223" s="70"/>
      <c r="T223" s="65">
        <v>46003</v>
      </c>
      <c r="U223" s="65">
        <v>46022</v>
      </c>
      <c r="V223" s="65">
        <v>46022</v>
      </c>
      <c r="W223" s="64" t="s">
        <v>320</v>
      </c>
      <c r="X223" s="71"/>
      <c r="Y223" s="71" t="s">
        <v>321</v>
      </c>
      <c r="Z223" s="30">
        <v>1</v>
      </c>
      <c r="AA223" s="30">
        <v>1</v>
      </c>
      <c r="AB223" s="31">
        <v>5190020</v>
      </c>
      <c r="AC223" s="32" t="s">
        <v>2463</v>
      </c>
    </row>
    <row r="224" spans="1:29" ht="29" x14ac:dyDescent="0.35">
      <c r="A224" s="2" t="s">
        <v>314</v>
      </c>
      <c r="B224" s="27" t="s">
        <v>300</v>
      </c>
      <c r="C224" s="66" t="s">
        <v>2464</v>
      </c>
      <c r="D224" s="65">
        <v>46003</v>
      </c>
      <c r="E224" s="26" t="s">
        <v>113</v>
      </c>
      <c r="F224" s="67" t="s">
        <v>2465</v>
      </c>
      <c r="G224" s="42" t="s">
        <v>2581</v>
      </c>
      <c r="H224" s="2" t="s">
        <v>2466</v>
      </c>
      <c r="I224" s="33">
        <v>8580416</v>
      </c>
      <c r="J224" s="33">
        <v>1630279</v>
      </c>
      <c r="K224" s="36">
        <v>10210695</v>
      </c>
      <c r="L224" s="69" t="s">
        <v>302</v>
      </c>
      <c r="M224" s="3"/>
      <c r="N224" s="28">
        <f>+Tabla15132[[#This Row],[VALOR TOTAL DEL CONTRATO
(en pesos)
CON IVA
(inicial)]]+Tabla15132[[#This Row],[VALOR DE LAS ADICIONES
(en pesos)
CON IVA]]</f>
        <v>10210695</v>
      </c>
      <c r="O224" s="37">
        <f>+Tabla15132[[#This Row],[FECHA TERMINACIÓN CONTRATO
(inicial)]]-Tabla15132[[#This Row],[FECHA INICIO CONTRATO]]</f>
        <v>15</v>
      </c>
      <c r="P224" s="23" t="s">
        <v>302</v>
      </c>
      <c r="Q224" s="101"/>
      <c r="R224" s="70" t="s">
        <v>302</v>
      </c>
      <c r="S224" s="70"/>
      <c r="T224" s="65">
        <v>46003</v>
      </c>
      <c r="U224" s="65">
        <v>46018</v>
      </c>
      <c r="V224" s="65">
        <v>46018</v>
      </c>
      <c r="W224" s="64" t="s">
        <v>320</v>
      </c>
      <c r="X224" s="71"/>
      <c r="Y224" s="71" t="s">
        <v>321</v>
      </c>
      <c r="Z224" s="30">
        <v>1</v>
      </c>
      <c r="AA224" s="30">
        <v>1</v>
      </c>
      <c r="AB224" s="31">
        <v>10210695</v>
      </c>
      <c r="AC224" s="32" t="s">
        <v>2467</v>
      </c>
    </row>
    <row r="225" spans="1:29" ht="29" x14ac:dyDescent="0.35">
      <c r="A225" s="2" t="s">
        <v>309</v>
      </c>
      <c r="B225" s="27" t="s">
        <v>365</v>
      </c>
      <c r="C225" s="66" t="s">
        <v>2468</v>
      </c>
      <c r="D225" s="65">
        <v>46002</v>
      </c>
      <c r="E225" s="26" t="s">
        <v>150</v>
      </c>
      <c r="F225" s="67" t="s">
        <v>2469</v>
      </c>
      <c r="G225" s="42">
        <v>73073771</v>
      </c>
      <c r="H225" s="2" t="s">
        <v>2470</v>
      </c>
      <c r="I225" s="33">
        <v>4200000</v>
      </c>
      <c r="J225" s="33">
        <v>0</v>
      </c>
      <c r="K225" s="36">
        <v>4200000</v>
      </c>
      <c r="L225" s="69" t="s">
        <v>302</v>
      </c>
      <c r="M225" s="3"/>
      <c r="N225" s="28">
        <f>+Tabla15132[[#This Row],[VALOR TOTAL DEL CONTRATO
(en pesos)
CON IVA
(inicial)]]+Tabla15132[[#This Row],[VALOR DE LAS ADICIONES
(en pesos)
CON IVA]]</f>
        <v>4200000</v>
      </c>
      <c r="O225" s="37">
        <f>+Tabla15132[[#This Row],[FECHA TERMINACIÓN CONTRATO
(inicial)]]-Tabla15132[[#This Row],[FECHA INICIO CONTRATO]]</f>
        <v>5</v>
      </c>
      <c r="P225" s="23" t="s">
        <v>302</v>
      </c>
      <c r="Q225" s="101"/>
      <c r="R225" s="70" t="s">
        <v>302</v>
      </c>
      <c r="S225" s="70"/>
      <c r="T225" s="65">
        <v>46002</v>
      </c>
      <c r="U225" s="65">
        <v>46007</v>
      </c>
      <c r="V225" s="65">
        <v>46007</v>
      </c>
      <c r="W225" s="64" t="s">
        <v>320</v>
      </c>
      <c r="X225" s="71"/>
      <c r="Y225" s="71" t="s">
        <v>321</v>
      </c>
      <c r="Z225" s="30">
        <v>1</v>
      </c>
      <c r="AA225" s="30">
        <v>1</v>
      </c>
      <c r="AB225" s="31">
        <v>4200000</v>
      </c>
      <c r="AC225" s="32" t="s">
        <v>2471</v>
      </c>
    </row>
    <row r="226" spans="1:29" ht="29" x14ac:dyDescent="0.35">
      <c r="A226" s="2" t="s">
        <v>436</v>
      </c>
      <c r="B226" s="27" t="s">
        <v>300</v>
      </c>
      <c r="C226" s="66" t="s">
        <v>2472</v>
      </c>
      <c r="D226" s="65">
        <v>46007</v>
      </c>
      <c r="E226" s="26" t="s">
        <v>113</v>
      </c>
      <c r="F226" s="67" t="s">
        <v>2473</v>
      </c>
      <c r="G226" s="42" t="s">
        <v>2546</v>
      </c>
      <c r="H226" s="2" t="s">
        <v>437</v>
      </c>
      <c r="I226" s="33">
        <v>14397807</v>
      </c>
      <c r="J226" s="33">
        <v>2735583</v>
      </c>
      <c r="K226" s="36">
        <v>17133390</v>
      </c>
      <c r="L226" s="69" t="s">
        <v>302</v>
      </c>
      <c r="M226" s="3"/>
      <c r="N226" s="28">
        <f>+Tabla15132[[#This Row],[VALOR TOTAL DEL CONTRATO
(en pesos)
CON IVA
(inicial)]]+Tabla15132[[#This Row],[VALOR DE LAS ADICIONES
(en pesos)
CON IVA]]</f>
        <v>17133390</v>
      </c>
      <c r="O226" s="37">
        <f>+Tabla15132[[#This Row],[FECHA TERMINACIÓN CONTRATO
(inicial)]]-Tabla15132[[#This Row],[FECHA INICIO CONTRATO]]</f>
        <v>15</v>
      </c>
      <c r="P226" s="23" t="s">
        <v>302</v>
      </c>
      <c r="Q226" s="101"/>
      <c r="R226" s="70" t="s">
        <v>302</v>
      </c>
      <c r="S226" s="70"/>
      <c r="T226" s="65">
        <v>46007</v>
      </c>
      <c r="U226" s="65">
        <v>46022</v>
      </c>
      <c r="V226" s="65">
        <v>46022</v>
      </c>
      <c r="W226" s="64" t="s">
        <v>323</v>
      </c>
      <c r="X226" s="71">
        <v>46029</v>
      </c>
      <c r="Y226" s="71" t="s">
        <v>321</v>
      </c>
      <c r="Z226" s="30">
        <v>1</v>
      </c>
      <c r="AA226" s="30">
        <v>1</v>
      </c>
      <c r="AB226" s="31">
        <v>14397807</v>
      </c>
      <c r="AC226" s="32" t="s">
        <v>2474</v>
      </c>
    </row>
    <row r="227" spans="1:29" ht="29" x14ac:dyDescent="0.35">
      <c r="A227" s="2" t="s">
        <v>299</v>
      </c>
      <c r="B227" s="27" t="s">
        <v>300</v>
      </c>
      <c r="C227" s="66" t="s">
        <v>2475</v>
      </c>
      <c r="D227" s="65">
        <v>46007</v>
      </c>
      <c r="E227" s="26" t="s">
        <v>142</v>
      </c>
      <c r="F227" s="67" t="s">
        <v>2476</v>
      </c>
      <c r="G227" s="42">
        <v>1116795039</v>
      </c>
      <c r="H227" s="2" t="s">
        <v>2015</v>
      </c>
      <c r="I227" s="33">
        <v>26984500</v>
      </c>
      <c r="J227" s="33">
        <v>0</v>
      </c>
      <c r="K227" s="36">
        <v>26984500</v>
      </c>
      <c r="L227" s="69" t="s">
        <v>302</v>
      </c>
      <c r="M227" s="3"/>
      <c r="N227" s="28">
        <f>+Tabla15132[[#This Row],[VALOR TOTAL DEL CONTRATO
(en pesos)
CON IVA
(inicial)]]+Tabla15132[[#This Row],[VALOR DE LAS ADICIONES
(en pesos)
CON IVA]]</f>
        <v>26984500</v>
      </c>
      <c r="O227" s="37">
        <f>+Tabla15132[[#This Row],[FECHA TERMINACIÓN CONTRATO
(inicial)]]-Tabla15132[[#This Row],[FECHA INICIO CONTRATO]]</f>
        <v>15</v>
      </c>
      <c r="P227" s="23" t="s">
        <v>302</v>
      </c>
      <c r="Q227" s="101"/>
      <c r="R227" s="70" t="s">
        <v>302</v>
      </c>
      <c r="S227" s="70"/>
      <c r="T227" s="65">
        <v>46007</v>
      </c>
      <c r="U227" s="65">
        <v>46022</v>
      </c>
      <c r="V227" s="65">
        <v>46022</v>
      </c>
      <c r="W227" s="64" t="s">
        <v>320</v>
      </c>
      <c r="X227" s="71"/>
      <c r="Y227" s="71" t="s">
        <v>321</v>
      </c>
      <c r="Z227" s="30">
        <v>1</v>
      </c>
      <c r="AA227" s="30">
        <v>1</v>
      </c>
      <c r="AB227" s="31">
        <v>26984500</v>
      </c>
      <c r="AC227" s="32" t="s">
        <v>2477</v>
      </c>
    </row>
    <row r="228" spans="1:29" ht="29" x14ac:dyDescent="0.35">
      <c r="A228" s="2" t="s">
        <v>304</v>
      </c>
      <c r="B228" s="27" t="s">
        <v>300</v>
      </c>
      <c r="C228" s="66" t="s">
        <v>2478</v>
      </c>
      <c r="D228" s="65">
        <v>46008</v>
      </c>
      <c r="E228" s="26" t="s">
        <v>113</v>
      </c>
      <c r="F228" s="67" t="s">
        <v>2479</v>
      </c>
      <c r="G228" s="42" t="s">
        <v>1679</v>
      </c>
      <c r="H228" s="2" t="s">
        <v>461</v>
      </c>
      <c r="I228" s="33">
        <v>47027000</v>
      </c>
      <c r="J228" s="33">
        <v>8935130</v>
      </c>
      <c r="K228" s="36">
        <v>55962130</v>
      </c>
      <c r="L228" s="69" t="s">
        <v>302</v>
      </c>
      <c r="M228" s="3"/>
      <c r="N228" s="28">
        <f>+Tabla15132[[#This Row],[VALOR TOTAL DEL CONTRATO
(en pesos)
CON IVA
(inicial)]]+Tabla15132[[#This Row],[VALOR DE LAS ADICIONES
(en pesos)
CON IVA]]</f>
        <v>55962130</v>
      </c>
      <c r="O228" s="37">
        <f>+Tabla15132[[#This Row],[FECHA TERMINACIÓN CONTRATO
(inicial)]]-Tabla15132[[#This Row],[FECHA INICIO CONTRATO]]</f>
        <v>4</v>
      </c>
      <c r="P228" s="23" t="s">
        <v>302</v>
      </c>
      <c r="Q228" s="101"/>
      <c r="R228" s="70" t="s">
        <v>302</v>
      </c>
      <c r="S228" s="70"/>
      <c r="T228" s="65">
        <v>46010</v>
      </c>
      <c r="U228" s="65">
        <v>46014</v>
      </c>
      <c r="V228" s="65">
        <v>46014</v>
      </c>
      <c r="W228" s="64" t="s">
        <v>320</v>
      </c>
      <c r="X228" s="71"/>
      <c r="Y228" s="71" t="s">
        <v>321</v>
      </c>
      <c r="Z228" s="30">
        <v>1</v>
      </c>
      <c r="AA228" s="30">
        <v>1</v>
      </c>
      <c r="AB228" s="31">
        <v>55962130</v>
      </c>
      <c r="AC228" s="32" t="s">
        <v>2480</v>
      </c>
    </row>
    <row r="229" spans="1:29" ht="29" x14ac:dyDescent="0.35">
      <c r="A229" s="26" t="s">
        <v>1732</v>
      </c>
      <c r="B229" s="27" t="s">
        <v>300</v>
      </c>
      <c r="C229" s="66" t="s">
        <v>2481</v>
      </c>
      <c r="D229" s="65">
        <v>46010</v>
      </c>
      <c r="E229" s="26" t="s">
        <v>142</v>
      </c>
      <c r="F229" s="67" t="s">
        <v>2482</v>
      </c>
      <c r="G229" s="42">
        <v>1077449036</v>
      </c>
      <c r="H229" s="2" t="s">
        <v>2483</v>
      </c>
      <c r="I229" s="33">
        <v>8159488</v>
      </c>
      <c r="J229" s="33">
        <v>1550303</v>
      </c>
      <c r="K229" s="36">
        <v>9709791</v>
      </c>
      <c r="L229" s="69" t="s">
        <v>302</v>
      </c>
      <c r="M229" s="3"/>
      <c r="N229" s="28">
        <f>+Tabla15132[[#This Row],[VALOR TOTAL DEL CONTRATO
(en pesos)
CON IVA
(inicial)]]+Tabla15132[[#This Row],[VALOR DE LAS ADICIONES
(en pesos)
CON IVA]]</f>
        <v>9709791</v>
      </c>
      <c r="O229" s="37">
        <f>+Tabla15132[[#This Row],[FECHA TERMINACIÓN CONTRATO
(inicial)]]-Tabla15132[[#This Row],[FECHA INICIO CONTRATO]]</f>
        <v>45</v>
      </c>
      <c r="P229" s="23" t="s">
        <v>302</v>
      </c>
      <c r="Q229" s="101"/>
      <c r="R229" s="70" t="s">
        <v>302</v>
      </c>
      <c r="S229" s="70"/>
      <c r="T229" s="65">
        <v>46010</v>
      </c>
      <c r="U229" s="65">
        <v>46055</v>
      </c>
      <c r="V229" s="65">
        <v>46055</v>
      </c>
      <c r="W229" s="64" t="s">
        <v>303</v>
      </c>
      <c r="X229" s="71"/>
      <c r="Y229" s="71"/>
      <c r="Z229" s="100">
        <v>0.1</v>
      </c>
      <c r="AA229" s="100">
        <v>0.1</v>
      </c>
      <c r="AB229" s="31">
        <v>0</v>
      </c>
      <c r="AC229" s="32" t="s">
        <v>2484</v>
      </c>
    </row>
    <row r="230" spans="1:29" ht="43.5" x14ac:dyDescent="0.35">
      <c r="A230" s="2" t="s">
        <v>313</v>
      </c>
      <c r="B230" s="27" t="s">
        <v>365</v>
      </c>
      <c r="C230" s="66" t="s">
        <v>2485</v>
      </c>
      <c r="D230" s="65">
        <v>46008</v>
      </c>
      <c r="E230" s="26" t="s">
        <v>150</v>
      </c>
      <c r="F230" s="67" t="s">
        <v>2486</v>
      </c>
      <c r="G230" s="42" t="s">
        <v>2613</v>
      </c>
      <c r="H230" s="2" t="s">
        <v>2487</v>
      </c>
      <c r="I230" s="33">
        <v>2397000</v>
      </c>
      <c r="J230" s="33">
        <v>0</v>
      </c>
      <c r="K230" s="36">
        <v>2397000</v>
      </c>
      <c r="L230" s="69" t="s">
        <v>302</v>
      </c>
      <c r="M230" s="3"/>
      <c r="N230" s="28">
        <f>+Tabla15132[[#This Row],[VALOR TOTAL DEL CONTRATO
(en pesos)
CON IVA
(inicial)]]+Tabla15132[[#This Row],[VALOR DE LAS ADICIONES
(en pesos)
CON IVA]]</f>
        <v>2397000</v>
      </c>
      <c r="O230" s="37">
        <f>+Tabla15132[[#This Row],[FECHA TERMINACIÓN CONTRATO
(inicial)]]-Tabla15132[[#This Row],[FECHA INICIO CONTRATO]]</f>
        <v>14</v>
      </c>
      <c r="P230" s="23" t="s">
        <v>302</v>
      </c>
      <c r="Q230" s="101"/>
      <c r="R230" s="70" t="s">
        <v>302</v>
      </c>
      <c r="S230" s="70"/>
      <c r="T230" s="65">
        <v>46008</v>
      </c>
      <c r="U230" s="65">
        <v>46022</v>
      </c>
      <c r="V230" s="65">
        <v>46022</v>
      </c>
      <c r="W230" s="64" t="s">
        <v>323</v>
      </c>
      <c r="X230" s="71">
        <v>46013</v>
      </c>
      <c r="Y230" s="71" t="s">
        <v>321</v>
      </c>
      <c r="Z230" s="30">
        <v>1</v>
      </c>
      <c r="AA230" s="30">
        <v>1</v>
      </c>
      <c r="AB230" s="31">
        <v>2397000</v>
      </c>
      <c r="AC230" s="32" t="s">
        <v>2488</v>
      </c>
    </row>
    <row r="231" spans="1:29" ht="29" x14ac:dyDescent="0.35">
      <c r="A231" s="2" t="s">
        <v>314</v>
      </c>
      <c r="B231" s="27" t="s">
        <v>365</v>
      </c>
      <c r="C231" s="66" t="s">
        <v>2489</v>
      </c>
      <c r="D231" s="65">
        <v>46008</v>
      </c>
      <c r="E231" s="26" t="s">
        <v>142</v>
      </c>
      <c r="F231" s="67" t="s">
        <v>2490</v>
      </c>
      <c r="G231" s="42">
        <v>91480357</v>
      </c>
      <c r="H231" s="2" t="s">
        <v>456</v>
      </c>
      <c r="I231" s="33">
        <v>650000</v>
      </c>
      <c r="J231" s="33">
        <v>0</v>
      </c>
      <c r="K231" s="36">
        <v>650000</v>
      </c>
      <c r="L231" s="69" t="s">
        <v>302</v>
      </c>
      <c r="M231" s="3"/>
      <c r="N231" s="28">
        <f>+Tabla15132[[#This Row],[VALOR TOTAL DEL CONTRATO
(en pesos)
CON IVA
(inicial)]]+Tabla15132[[#This Row],[VALOR DE LAS ADICIONES
(en pesos)
CON IVA]]</f>
        <v>650000</v>
      </c>
      <c r="O231" s="37">
        <f>+Tabla15132[[#This Row],[FECHA TERMINACIÓN CONTRATO
(inicial)]]-Tabla15132[[#This Row],[FECHA INICIO CONTRATO]]</f>
        <v>5</v>
      </c>
      <c r="P231" s="23" t="s">
        <v>302</v>
      </c>
      <c r="Q231" s="101"/>
      <c r="R231" s="70" t="s">
        <v>302</v>
      </c>
      <c r="S231" s="70"/>
      <c r="T231" s="65">
        <v>46009</v>
      </c>
      <c r="U231" s="65">
        <v>46014</v>
      </c>
      <c r="V231" s="65">
        <v>46014</v>
      </c>
      <c r="W231" s="64" t="s">
        <v>320</v>
      </c>
      <c r="X231" s="71"/>
      <c r="Y231" s="71" t="s">
        <v>321</v>
      </c>
      <c r="Z231" s="30">
        <v>1</v>
      </c>
      <c r="AA231" s="30">
        <v>1</v>
      </c>
      <c r="AB231" s="31">
        <v>650000</v>
      </c>
      <c r="AC231" s="32" t="s">
        <v>2491</v>
      </c>
    </row>
    <row r="232" spans="1:29" ht="29" x14ac:dyDescent="0.35">
      <c r="A232" s="2" t="s">
        <v>304</v>
      </c>
      <c r="B232" s="27" t="s">
        <v>300</v>
      </c>
      <c r="C232" s="66" t="s">
        <v>2492</v>
      </c>
      <c r="D232" s="65">
        <v>46009</v>
      </c>
      <c r="E232" s="26" t="s">
        <v>113</v>
      </c>
      <c r="F232" s="67" t="s">
        <v>2493</v>
      </c>
      <c r="G232" s="42" t="s">
        <v>1679</v>
      </c>
      <c r="H232" s="2" t="s">
        <v>461</v>
      </c>
      <c r="I232" s="33">
        <v>59572600</v>
      </c>
      <c r="J232" s="33">
        <v>11318794</v>
      </c>
      <c r="K232" s="36">
        <v>70891394</v>
      </c>
      <c r="L232" s="69" t="s">
        <v>302</v>
      </c>
      <c r="M232" s="3"/>
      <c r="N232" s="28">
        <f>+Tabla15132[[#This Row],[VALOR TOTAL DEL CONTRATO
(en pesos)
CON IVA
(inicial)]]+Tabla15132[[#This Row],[VALOR DE LAS ADICIONES
(en pesos)
CON IVA]]</f>
        <v>70891394</v>
      </c>
      <c r="O232" s="37">
        <f>+Tabla15132[[#This Row],[FECHA TERMINACIÓN CONTRATO
(inicial)]]-Tabla15132[[#This Row],[FECHA INICIO CONTRATO]]</f>
        <v>30</v>
      </c>
      <c r="P232" s="23" t="s">
        <v>302</v>
      </c>
      <c r="Q232" s="101"/>
      <c r="R232" s="70" t="s">
        <v>302</v>
      </c>
      <c r="S232" s="70"/>
      <c r="T232" s="65">
        <v>46010</v>
      </c>
      <c r="U232" s="65">
        <v>46040</v>
      </c>
      <c r="V232" s="65">
        <v>46040</v>
      </c>
      <c r="W232" s="64" t="s">
        <v>303</v>
      </c>
      <c r="X232" s="71"/>
      <c r="Y232" s="75"/>
      <c r="Z232" s="30">
        <v>0.8</v>
      </c>
      <c r="AA232" s="30">
        <v>0</v>
      </c>
      <c r="AB232" s="31">
        <v>0</v>
      </c>
      <c r="AC232" s="32" t="s">
        <v>2494</v>
      </c>
    </row>
    <row r="233" spans="1:29" ht="29" x14ac:dyDescent="0.35">
      <c r="A233" s="2" t="s">
        <v>304</v>
      </c>
      <c r="B233" s="27" t="s">
        <v>300</v>
      </c>
      <c r="C233" s="66" t="s">
        <v>2495</v>
      </c>
      <c r="D233" s="65">
        <v>46009</v>
      </c>
      <c r="E233" s="26" t="s">
        <v>113</v>
      </c>
      <c r="F233" s="67" t="s">
        <v>2636</v>
      </c>
      <c r="G233" s="42">
        <v>5822623</v>
      </c>
      <c r="H233" s="2" t="s">
        <v>479</v>
      </c>
      <c r="I233" s="33">
        <v>20266007</v>
      </c>
      <c r="J233" s="33">
        <v>3850541</v>
      </c>
      <c r="K233" s="36">
        <v>24116548</v>
      </c>
      <c r="L233" s="69" t="s">
        <v>302</v>
      </c>
      <c r="M233" s="3"/>
      <c r="N233" s="28">
        <f>+Tabla15132[[#This Row],[VALOR TOTAL DEL CONTRATO
(en pesos)
CON IVA
(inicial)]]+Tabla15132[[#This Row],[VALOR DE LAS ADICIONES
(en pesos)
CON IVA]]</f>
        <v>24116548</v>
      </c>
      <c r="O233" s="37">
        <f>+Tabla15132[[#This Row],[FECHA TERMINACIÓN CONTRATO
(inicial)]]-Tabla15132[[#This Row],[FECHA INICIO CONTRATO]]</f>
        <v>5</v>
      </c>
      <c r="P233" s="23" t="s">
        <v>302</v>
      </c>
      <c r="Q233" s="101"/>
      <c r="R233" s="70" t="s">
        <v>302</v>
      </c>
      <c r="S233" s="70"/>
      <c r="T233" s="65">
        <v>46009</v>
      </c>
      <c r="U233" s="65">
        <v>46014</v>
      </c>
      <c r="V233" s="65">
        <v>46014</v>
      </c>
      <c r="W233" s="64" t="s">
        <v>320</v>
      </c>
      <c r="X233" s="71"/>
      <c r="Y233" s="71" t="s">
        <v>321</v>
      </c>
      <c r="Z233" s="30">
        <v>1</v>
      </c>
      <c r="AA233" s="30">
        <v>1</v>
      </c>
      <c r="AB233" s="31">
        <v>24116548</v>
      </c>
      <c r="AC233" s="32" t="s">
        <v>2496</v>
      </c>
    </row>
    <row r="234" spans="1:29" ht="29" x14ac:dyDescent="0.35">
      <c r="A234" s="26" t="s">
        <v>1732</v>
      </c>
      <c r="B234" s="27" t="s">
        <v>365</v>
      </c>
      <c r="C234" s="66" t="s">
        <v>2497</v>
      </c>
      <c r="D234" s="65">
        <v>45993</v>
      </c>
      <c r="E234" s="26" t="s">
        <v>150</v>
      </c>
      <c r="F234" s="67" t="s">
        <v>2498</v>
      </c>
      <c r="G234" s="42" t="s">
        <v>2630</v>
      </c>
      <c r="H234" s="2" t="s">
        <v>480</v>
      </c>
      <c r="I234" s="33">
        <v>1260504</v>
      </c>
      <c r="J234" s="33">
        <v>239496</v>
      </c>
      <c r="K234" s="36">
        <v>1500000</v>
      </c>
      <c r="L234" s="69" t="s">
        <v>302</v>
      </c>
      <c r="M234" s="3"/>
      <c r="N234" s="28">
        <f>+Tabla15132[[#This Row],[VALOR TOTAL DEL CONTRATO
(en pesos)
CON IVA
(inicial)]]+Tabla15132[[#This Row],[VALOR DE LAS ADICIONES
(en pesos)
CON IVA]]</f>
        <v>1500000</v>
      </c>
      <c r="O234" s="37">
        <f>+Tabla15132[[#This Row],[FECHA TERMINACIÓN CONTRATO
(inicial)]]-Tabla15132[[#This Row],[FECHA INICIO CONTRATO]]</f>
        <v>0</v>
      </c>
      <c r="P234" s="23" t="s">
        <v>302</v>
      </c>
      <c r="Q234" s="101"/>
      <c r="R234" s="70" t="s">
        <v>302</v>
      </c>
      <c r="S234" s="70"/>
      <c r="T234" s="65">
        <v>45995</v>
      </c>
      <c r="U234" s="65">
        <v>45995</v>
      </c>
      <c r="V234" s="65">
        <v>45995</v>
      </c>
      <c r="W234" s="64" t="s">
        <v>320</v>
      </c>
      <c r="X234" s="71"/>
      <c r="Y234" s="71" t="s">
        <v>321</v>
      </c>
      <c r="Z234" s="30">
        <v>1</v>
      </c>
      <c r="AA234" s="30">
        <v>1</v>
      </c>
      <c r="AB234" s="31">
        <v>0</v>
      </c>
      <c r="AC234" s="32" t="s">
        <v>2499</v>
      </c>
    </row>
    <row r="235" spans="1:29" ht="29" x14ac:dyDescent="0.35">
      <c r="A235" s="2" t="s">
        <v>436</v>
      </c>
      <c r="B235" s="27" t="s">
        <v>365</v>
      </c>
      <c r="C235" s="66" t="s">
        <v>2500</v>
      </c>
      <c r="D235" s="65">
        <v>46008</v>
      </c>
      <c r="E235" s="26" t="s">
        <v>113</v>
      </c>
      <c r="F235" s="67" t="s">
        <v>2501</v>
      </c>
      <c r="G235" s="42">
        <v>9773743</v>
      </c>
      <c r="H235" s="2" t="s">
        <v>2502</v>
      </c>
      <c r="I235" s="33">
        <v>1236870</v>
      </c>
      <c r="J235" s="33">
        <v>290130</v>
      </c>
      <c r="K235" s="36">
        <v>1527000</v>
      </c>
      <c r="L235" s="69" t="s">
        <v>302</v>
      </c>
      <c r="M235" s="3"/>
      <c r="N235" s="28">
        <f>+Tabla15132[[#This Row],[VALOR TOTAL DEL CONTRATO
(en pesos)
CON IVA
(inicial)]]+Tabla15132[[#This Row],[VALOR DE LAS ADICIONES
(en pesos)
CON IVA]]</f>
        <v>1527000</v>
      </c>
      <c r="O235" s="37">
        <f>+Tabla15132[[#This Row],[FECHA TERMINACIÓN CONTRATO
(inicial)]]-Tabla15132[[#This Row],[FECHA INICIO CONTRATO]]</f>
        <v>14</v>
      </c>
      <c r="P235" s="23" t="s">
        <v>302</v>
      </c>
      <c r="Q235" s="101"/>
      <c r="R235" s="70" t="s">
        <v>302</v>
      </c>
      <c r="S235" s="70"/>
      <c r="T235" s="65">
        <v>46008</v>
      </c>
      <c r="U235" s="65">
        <v>46022</v>
      </c>
      <c r="V235" s="65">
        <v>46022</v>
      </c>
      <c r="W235" s="64" t="s">
        <v>320</v>
      </c>
      <c r="X235" s="71"/>
      <c r="Y235" s="71" t="s">
        <v>321</v>
      </c>
      <c r="Z235" s="30">
        <v>1</v>
      </c>
      <c r="AA235" s="30">
        <v>1</v>
      </c>
      <c r="AB235" s="31">
        <v>1527000</v>
      </c>
      <c r="AC235" s="32" t="s">
        <v>2503</v>
      </c>
    </row>
    <row r="236" spans="1:29" ht="29" x14ac:dyDescent="0.35">
      <c r="A236" s="2" t="s">
        <v>441</v>
      </c>
      <c r="B236" s="27" t="s">
        <v>365</v>
      </c>
      <c r="C236" s="66" t="s">
        <v>2504</v>
      </c>
      <c r="D236" s="65">
        <v>46013</v>
      </c>
      <c r="E236" s="26" t="s">
        <v>142</v>
      </c>
      <c r="F236" s="67" t="s">
        <v>2505</v>
      </c>
      <c r="G236" s="42">
        <v>98397457</v>
      </c>
      <c r="H236" s="2" t="s">
        <v>1984</v>
      </c>
      <c r="I236" s="33">
        <v>1119156</v>
      </c>
      <c r="J236" s="33">
        <v>212640</v>
      </c>
      <c r="K236" s="36">
        <v>1331796</v>
      </c>
      <c r="L236" s="69" t="s">
        <v>302</v>
      </c>
      <c r="M236" s="3"/>
      <c r="N236" s="28">
        <f>+Tabla15132[[#This Row],[VALOR TOTAL DEL CONTRATO
(en pesos)
CON IVA
(inicial)]]+Tabla15132[[#This Row],[VALOR DE LAS ADICIONES
(en pesos)
CON IVA]]</f>
        <v>1331796</v>
      </c>
      <c r="O236" s="37">
        <f>+Tabla15132[[#This Row],[FECHA TERMINACIÓN CONTRATO
(inicial)]]-Tabla15132[[#This Row],[FECHA INICIO CONTRATO]]</f>
        <v>334</v>
      </c>
      <c r="P236" s="23" t="s">
        <v>302</v>
      </c>
      <c r="Q236" s="101"/>
      <c r="R236" s="70" t="s">
        <v>302</v>
      </c>
      <c r="S236" s="70"/>
      <c r="T236" s="65">
        <v>46037</v>
      </c>
      <c r="U236" s="65">
        <v>46371</v>
      </c>
      <c r="V236" s="65">
        <v>46371</v>
      </c>
      <c r="W236" s="64" t="s">
        <v>303</v>
      </c>
      <c r="X236" s="71"/>
      <c r="Y236" s="75"/>
      <c r="Z236" s="30">
        <v>0</v>
      </c>
      <c r="AA236" s="30">
        <v>0</v>
      </c>
      <c r="AB236" s="31">
        <v>0</v>
      </c>
      <c r="AC236" s="32" t="s">
        <v>2506</v>
      </c>
    </row>
    <row r="237" spans="1:29" ht="29" x14ac:dyDescent="0.35">
      <c r="A237" s="2" t="s">
        <v>304</v>
      </c>
      <c r="B237" s="27" t="s">
        <v>300</v>
      </c>
      <c r="C237" s="66" t="s">
        <v>2507</v>
      </c>
      <c r="D237" s="65">
        <v>46015</v>
      </c>
      <c r="E237" s="26" t="s">
        <v>113</v>
      </c>
      <c r="F237" s="67" t="s">
        <v>2508</v>
      </c>
      <c r="G237" s="42" t="s">
        <v>2614</v>
      </c>
      <c r="H237" s="2" t="s">
        <v>2509</v>
      </c>
      <c r="I237" s="33">
        <v>60715826</v>
      </c>
      <c r="J237" s="33">
        <v>9684174</v>
      </c>
      <c r="K237" s="36">
        <v>70400000</v>
      </c>
      <c r="L237" s="69" t="s">
        <v>302</v>
      </c>
      <c r="M237" s="3"/>
      <c r="N237" s="28">
        <f>+Tabla15132[[#This Row],[VALOR TOTAL DEL CONTRATO
(en pesos)
CON IVA
(inicial)]]+Tabla15132[[#This Row],[VALOR DE LAS ADICIONES
(en pesos)
CON IVA]]</f>
        <v>70400000</v>
      </c>
      <c r="O237" s="37">
        <f>+Tabla15132[[#This Row],[FECHA TERMINACIÓN CONTRATO
(inicial)]]-Tabla15132[[#This Row],[FECHA INICIO CONTRATO]]</f>
        <v>7</v>
      </c>
      <c r="P237" s="23" t="s">
        <v>302</v>
      </c>
      <c r="Q237" s="101"/>
      <c r="R237" s="70" t="s">
        <v>302</v>
      </c>
      <c r="S237" s="70"/>
      <c r="T237" s="65">
        <v>46017</v>
      </c>
      <c r="U237" s="65">
        <v>46024</v>
      </c>
      <c r="V237" s="65">
        <v>46024</v>
      </c>
      <c r="W237" s="64" t="s">
        <v>303</v>
      </c>
      <c r="X237" s="71"/>
      <c r="Y237" s="75"/>
      <c r="Z237" s="30">
        <v>1</v>
      </c>
      <c r="AA237" s="30">
        <v>1</v>
      </c>
      <c r="AB237" s="31">
        <v>0</v>
      </c>
      <c r="AC237" s="32" t="s">
        <v>2510</v>
      </c>
    </row>
    <row r="238" spans="1:29" ht="29" x14ac:dyDescent="0.35">
      <c r="A238" s="2" t="s">
        <v>304</v>
      </c>
      <c r="B238" s="27" t="s">
        <v>300</v>
      </c>
      <c r="C238" s="66" t="s">
        <v>2511</v>
      </c>
      <c r="D238" s="65">
        <v>46015</v>
      </c>
      <c r="E238" s="26" t="s">
        <v>113</v>
      </c>
      <c r="F238" s="67" t="s">
        <v>2512</v>
      </c>
      <c r="G238" s="42">
        <v>65737323</v>
      </c>
      <c r="H238" s="2" t="s">
        <v>2513</v>
      </c>
      <c r="I238" s="33">
        <v>8216000</v>
      </c>
      <c r="J238" s="33">
        <v>0</v>
      </c>
      <c r="K238" s="36">
        <v>8216000</v>
      </c>
      <c r="L238" s="69" t="s">
        <v>302</v>
      </c>
      <c r="M238" s="3"/>
      <c r="N238" s="28">
        <f>+Tabla15132[[#This Row],[VALOR TOTAL DEL CONTRATO
(en pesos)
CON IVA
(inicial)]]+Tabla15132[[#This Row],[VALOR DE LAS ADICIONES
(en pesos)
CON IVA]]</f>
        <v>8216000</v>
      </c>
      <c r="O238" s="37">
        <f>+Tabla15132[[#This Row],[FECHA TERMINACIÓN CONTRATO
(inicial)]]-Tabla15132[[#This Row],[FECHA INICIO CONTRATO]]</f>
        <v>9</v>
      </c>
      <c r="P238" s="23" t="s">
        <v>302</v>
      </c>
      <c r="Q238" s="101"/>
      <c r="R238" s="70" t="s">
        <v>302</v>
      </c>
      <c r="S238" s="70"/>
      <c r="T238" s="65">
        <v>46015</v>
      </c>
      <c r="U238" s="65">
        <v>46024</v>
      </c>
      <c r="V238" s="65">
        <v>46024</v>
      </c>
      <c r="W238" s="64" t="s">
        <v>303</v>
      </c>
      <c r="X238" s="71"/>
      <c r="Y238" s="75"/>
      <c r="Z238" s="30">
        <v>1</v>
      </c>
      <c r="AA238" s="30">
        <v>1</v>
      </c>
      <c r="AB238" s="31">
        <v>0</v>
      </c>
      <c r="AC238" s="32" t="s">
        <v>2514</v>
      </c>
    </row>
    <row r="239" spans="1:29" ht="29" x14ac:dyDescent="0.35">
      <c r="A239" s="2" t="s">
        <v>304</v>
      </c>
      <c r="B239" s="27" t="s">
        <v>365</v>
      </c>
      <c r="C239" s="66" t="s">
        <v>2515</v>
      </c>
      <c r="D239" s="65">
        <v>46017</v>
      </c>
      <c r="E239" s="26" t="s">
        <v>113</v>
      </c>
      <c r="F239" s="67" t="s">
        <v>2516</v>
      </c>
      <c r="G239" s="42">
        <v>2230635</v>
      </c>
      <c r="H239" s="2" t="s">
        <v>478</v>
      </c>
      <c r="I239" s="33">
        <v>3523000</v>
      </c>
      <c r="J239" s="33">
        <v>0</v>
      </c>
      <c r="K239" s="36">
        <v>3523000</v>
      </c>
      <c r="L239" s="69" t="s">
        <v>302</v>
      </c>
      <c r="M239" s="3"/>
      <c r="N239" s="28">
        <f>+Tabla15132[[#This Row],[VALOR TOTAL DEL CONTRATO
(en pesos)
CON IVA
(inicial)]]+Tabla15132[[#This Row],[VALOR DE LAS ADICIONES
(en pesos)
CON IVA]]</f>
        <v>3523000</v>
      </c>
      <c r="O239" s="37">
        <f>+Tabla15132[[#This Row],[FECHA TERMINACIÓN CONTRATO
(inicial)]]-Tabla15132[[#This Row],[FECHA INICIO CONTRATO]]</f>
        <v>7</v>
      </c>
      <c r="P239" s="23" t="s">
        <v>302</v>
      </c>
      <c r="Q239" s="101"/>
      <c r="R239" s="70" t="s">
        <v>302</v>
      </c>
      <c r="S239" s="70"/>
      <c r="T239" s="65">
        <v>46017</v>
      </c>
      <c r="U239" s="65">
        <v>46024</v>
      </c>
      <c r="V239" s="65">
        <v>46024</v>
      </c>
      <c r="W239" s="64" t="s">
        <v>303</v>
      </c>
      <c r="X239" s="71"/>
      <c r="Y239" s="75"/>
      <c r="Z239" s="30">
        <v>1</v>
      </c>
      <c r="AA239" s="30">
        <v>1</v>
      </c>
      <c r="AB239" s="31">
        <v>0</v>
      </c>
      <c r="AC239" s="32" t="s">
        <v>2517</v>
      </c>
    </row>
    <row r="240" spans="1:29" ht="29" x14ac:dyDescent="0.35">
      <c r="A240" s="2" t="s">
        <v>311</v>
      </c>
      <c r="B240" s="27" t="s">
        <v>365</v>
      </c>
      <c r="C240" s="66" t="s">
        <v>2518</v>
      </c>
      <c r="D240" s="65">
        <v>46017</v>
      </c>
      <c r="E240" s="26" t="s">
        <v>142</v>
      </c>
      <c r="F240" s="67" t="s">
        <v>2519</v>
      </c>
      <c r="G240" s="42" t="s">
        <v>2582</v>
      </c>
      <c r="H240" s="2" t="s">
        <v>2520</v>
      </c>
      <c r="I240" s="33">
        <v>645379</v>
      </c>
      <c r="J240" s="33">
        <v>122621</v>
      </c>
      <c r="K240" s="36">
        <v>768000</v>
      </c>
      <c r="L240" s="69" t="s">
        <v>302</v>
      </c>
      <c r="M240" s="3"/>
      <c r="N240" s="28">
        <f>+Tabla15132[[#This Row],[VALOR TOTAL DEL CONTRATO
(en pesos)
CON IVA
(inicial)]]+Tabla15132[[#This Row],[VALOR DE LAS ADICIONES
(en pesos)
CON IVA]]</f>
        <v>768000</v>
      </c>
      <c r="O240" s="37">
        <f>+Tabla15132[[#This Row],[FECHA TERMINACIÓN CONTRATO
(inicial)]]-Tabla15132[[#This Row],[FECHA INICIO CONTRATO]]</f>
        <v>15</v>
      </c>
      <c r="P240" s="23" t="s">
        <v>302</v>
      </c>
      <c r="Q240" s="101"/>
      <c r="R240" s="70" t="s">
        <v>302</v>
      </c>
      <c r="S240" s="70"/>
      <c r="T240" s="65">
        <v>46017</v>
      </c>
      <c r="U240" s="65">
        <v>46032</v>
      </c>
      <c r="V240" s="65">
        <v>46032</v>
      </c>
      <c r="W240" s="64" t="s">
        <v>303</v>
      </c>
      <c r="X240" s="71"/>
      <c r="Y240" s="75"/>
      <c r="Z240" s="30">
        <v>0.5</v>
      </c>
      <c r="AA240" s="30">
        <v>0</v>
      </c>
      <c r="AB240" s="31">
        <v>0</v>
      </c>
      <c r="AC240" s="32" t="s">
        <v>2521</v>
      </c>
    </row>
    <row r="241" spans="1:30" ht="29" x14ac:dyDescent="0.35">
      <c r="A241" s="2" t="s">
        <v>309</v>
      </c>
      <c r="B241" s="27" t="s">
        <v>300</v>
      </c>
      <c r="C241" s="66" t="s">
        <v>2522</v>
      </c>
      <c r="D241" s="65">
        <v>46014</v>
      </c>
      <c r="E241" s="26" t="s">
        <v>150</v>
      </c>
      <c r="F241" s="67" t="s">
        <v>2523</v>
      </c>
      <c r="G241" s="42" t="s">
        <v>2626</v>
      </c>
      <c r="H241" s="2" t="s">
        <v>451</v>
      </c>
      <c r="I241" s="33">
        <v>9983871</v>
      </c>
      <c r="J241" s="33">
        <v>1354085</v>
      </c>
      <c r="K241" s="36">
        <v>11337956</v>
      </c>
      <c r="L241" s="69" t="s">
        <v>302</v>
      </c>
      <c r="M241" s="3"/>
      <c r="N241" s="28">
        <f>+Tabla15132[[#This Row],[VALOR TOTAL DEL CONTRATO
(en pesos)
CON IVA
(inicial)]]+Tabla15132[[#This Row],[VALOR DE LAS ADICIONES
(en pesos)
CON IVA]]</f>
        <v>11337956</v>
      </c>
      <c r="O241" s="37">
        <f>+Tabla15132[[#This Row],[FECHA TERMINACIÓN CONTRATO
(inicial)]]-Tabla15132[[#This Row],[FECHA INICIO CONTRATO]]</f>
        <v>8</v>
      </c>
      <c r="P241" s="23" t="s">
        <v>302</v>
      </c>
      <c r="Q241" s="101"/>
      <c r="R241" s="70" t="s">
        <v>302</v>
      </c>
      <c r="S241" s="70"/>
      <c r="T241" s="65">
        <v>46014</v>
      </c>
      <c r="U241" s="65">
        <v>46022</v>
      </c>
      <c r="V241" s="65">
        <v>46022</v>
      </c>
      <c r="W241" s="64" t="s">
        <v>320</v>
      </c>
      <c r="X241" s="71"/>
      <c r="Y241" s="71" t="s">
        <v>321</v>
      </c>
      <c r="Z241" s="30">
        <v>1</v>
      </c>
      <c r="AA241" s="30">
        <v>1</v>
      </c>
      <c r="AB241" s="31">
        <v>11337996</v>
      </c>
      <c r="AC241" s="32" t="s">
        <v>2524</v>
      </c>
    </row>
    <row r="242" spans="1:30" ht="29" x14ac:dyDescent="0.35">
      <c r="A242" s="2" t="s">
        <v>444</v>
      </c>
      <c r="B242" s="27" t="s">
        <v>365</v>
      </c>
      <c r="C242" s="66" t="s">
        <v>2525</v>
      </c>
      <c r="D242" s="65">
        <v>46003</v>
      </c>
      <c r="E242" s="26" t="s">
        <v>150</v>
      </c>
      <c r="F242" s="67" t="s">
        <v>2526</v>
      </c>
      <c r="G242" s="42">
        <v>12552821</v>
      </c>
      <c r="H242" s="2" t="s">
        <v>475</v>
      </c>
      <c r="I242" s="33">
        <v>1512605</v>
      </c>
      <c r="J242" s="33">
        <v>287395</v>
      </c>
      <c r="K242" s="36">
        <v>1800000</v>
      </c>
      <c r="L242" s="69" t="s">
        <v>302</v>
      </c>
      <c r="M242" s="3"/>
      <c r="N242" s="28">
        <f>+Tabla15132[[#This Row],[VALOR TOTAL DEL CONTRATO
(en pesos)
CON IVA
(inicial)]]+Tabla15132[[#This Row],[VALOR DE LAS ADICIONES
(en pesos)
CON IVA]]</f>
        <v>1800000</v>
      </c>
      <c r="O242" s="37">
        <f>+Tabla15132[[#This Row],[FECHA TERMINACIÓN CONTRATO
(inicial)]]-Tabla15132[[#This Row],[FECHA INICIO CONTRATO]]</f>
        <v>7</v>
      </c>
      <c r="P242" s="23" t="s">
        <v>302</v>
      </c>
      <c r="Q242" s="101"/>
      <c r="R242" s="70" t="s">
        <v>302</v>
      </c>
      <c r="S242" s="70"/>
      <c r="T242" s="65">
        <v>46003</v>
      </c>
      <c r="U242" s="65">
        <v>46010</v>
      </c>
      <c r="V242" s="65">
        <v>46010</v>
      </c>
      <c r="W242" s="64" t="s">
        <v>320</v>
      </c>
      <c r="X242" s="71"/>
      <c r="Y242" s="71" t="s">
        <v>321</v>
      </c>
      <c r="Z242" s="30">
        <v>1</v>
      </c>
      <c r="AA242" s="30">
        <v>1</v>
      </c>
      <c r="AB242" s="31">
        <v>1800000</v>
      </c>
      <c r="AC242" s="32" t="s">
        <v>2527</v>
      </c>
    </row>
    <row r="243" spans="1:30" ht="25" customHeight="1" x14ac:dyDescent="0.35">
      <c r="A243" s="24">
        <f>SUBTOTAL(103,Tabla15132[[ÁREA QUE CONTRATA ]])</f>
        <v>237</v>
      </c>
      <c r="B243" s="24">
        <f>SUBTOTAL(103,Tabla15132[MODALIDAD CONTRATACIÓN])</f>
        <v>237</v>
      </c>
      <c r="C243" s="24">
        <f>SUBTOTAL(103,Tabla15132[N° DE CONTRATO])</f>
        <v>237</v>
      </c>
      <c r="D243" s="24">
        <f>SUBTOTAL(103,Tabla15132[FECHA SUSCRIPCIÓN DEL CONTRATO])</f>
        <v>237</v>
      </c>
      <c r="E243" s="24">
        <f>SUBTOTAL(103,Tabla15132[CLASE DE CONTRATO])</f>
        <v>237</v>
      </c>
      <c r="F243" s="24">
        <f>SUBTOTAL(103,Tabla15132[OBJETO DEL CONTRATO])</f>
        <v>237</v>
      </c>
      <c r="G243" s="24">
        <f>SUBTOTAL(103,Tabla15132[N° DE IDENTIFICACIÓN DEL CONTRATISTA])</f>
        <v>237</v>
      </c>
      <c r="H243" s="24">
        <f>SUBTOTAL(103,Tabla15132[RAZÓN SOCIAL DEL CONTRATISTA])</f>
        <v>237</v>
      </c>
      <c r="I243" s="25">
        <f>SUBTOTAL(109,Tabla15132[VALOR INICIAL DEL CONTRATO
 (en pesos) 
SIN IVA])</f>
        <v>1702293247</v>
      </c>
      <c r="J243" s="25">
        <f>SUBTOTAL(109,Tabla15132[VALOR IVA
(si aplica)])</f>
        <v>188394207</v>
      </c>
      <c r="K243" s="25">
        <f>SUBTOTAL(109,Tabla15132[VALOR TOTAL DEL CONTRATO
(en pesos)
CON IVA
(inicial)])</f>
        <v>1890687455</v>
      </c>
      <c r="L243" s="24">
        <f>SUBTOTAL(103,Tabla15132[ADICIONES
(SI / NO)])</f>
        <v>237</v>
      </c>
      <c r="M243" s="25">
        <f>SUBTOTAL(109,Tabla15132[VALOR DE LAS ADICIONES
(en pesos)
CON IVA])</f>
        <v>7346850</v>
      </c>
      <c r="N243" s="25">
        <f>SUBTOTAL(109,Tabla15132[VALOR TOTAL CONTRATO CON IVA (VALOR INICIAL + ADICIONES) ])</f>
        <v>1898034305</v>
      </c>
      <c r="O243" s="24">
        <f>SUBTOTAL(102,O6:O242)</f>
        <v>237</v>
      </c>
      <c r="P243" s="24">
        <f>SUBTOTAL(103,Tabla15132[PRÓRROGA
(SI / NO)])</f>
        <v>237</v>
      </c>
      <c r="Q243" s="24">
        <f>SUBTOTAL(103,Tabla15132[ADICIONES: NÚMERO DE DÍAS])</f>
        <v>10</v>
      </c>
      <c r="R243" s="24">
        <f>SUBTOTAL(103,Tabla15132[SUSPENSIÓN (SI/NO)])</f>
        <v>237</v>
      </c>
      <c r="S243" s="24"/>
      <c r="T243" s="24">
        <f>SUBTOTAL(103,Tabla15132[FECHA INICIO CONTRATO])</f>
        <v>237</v>
      </c>
      <c r="U243" s="24">
        <f>SUBTOTAL(103,Tabla15132[FECHA TERMINACIÓN CONTRATO
(inicial)])</f>
        <v>237</v>
      </c>
      <c r="V243" s="24">
        <f>SUBTOTAL(103,Tabla15132[FECHA TERMINACIÓN DEL CONTRATO
(inicial + prórrogas)])</f>
        <v>237</v>
      </c>
      <c r="W243" s="24">
        <f>SUBTOTAL(103,Tabla15132[ESTADO DEL CONTRATO (EN EJECUCIÓN EN LIQUIDACIÓN POR LIQUIDAR NO SE LIQUIDA)])</f>
        <v>237</v>
      </c>
      <c r="X243" s="24">
        <f>SUBTOTAL(103,Tabla15132[FECHA LIQUIDACIÓN DEL CONTRATO])</f>
        <v>20</v>
      </c>
      <c r="Y243" s="24">
        <f>SUBTOTAL(103,Tabla15132[CAUSAL DE TERMINACIÓN])</f>
        <v>228</v>
      </c>
      <c r="Z243" s="24">
        <f>SUBTOTAL(103,Tabla15132[PORCENTAJE DE EJECUCIÓN FÍSICA 
A 31 DICIEMBRE 2025])</f>
        <v>237</v>
      </c>
      <c r="AA243" s="24">
        <f>SUBTOTAL(103,Tabla15132[PORCENTAJE DE EJECUCIÓN PRESUPUESTAL
A 31 DICIEMBRE 20252025])</f>
        <v>237</v>
      </c>
      <c r="AB243" s="25">
        <f>SUBTOTAL(109,Tabla15132[VALOR PAGADO (en pesos)
A 31 DICIEMBRE 2025])</f>
        <v>1483159827.7600002</v>
      </c>
      <c r="AC243" s="24"/>
    </row>
    <row r="244" spans="1:30" x14ac:dyDescent="0.35">
      <c r="A244" s="26"/>
      <c r="B244" s="26"/>
      <c r="C244" s="26"/>
      <c r="D244" s="26"/>
      <c r="E244" s="26"/>
      <c r="F244" s="28"/>
      <c r="H244" s="26"/>
      <c r="I244" s="26"/>
      <c r="J244" s="26"/>
      <c r="K244" s="28"/>
      <c r="L244" s="28"/>
      <c r="M244" s="35"/>
      <c r="N244" s="28"/>
      <c r="O244" s="28"/>
      <c r="P244" s="28"/>
      <c r="Q244" s="29"/>
      <c r="R244" s="26"/>
      <c r="S244" s="26"/>
      <c r="T244" s="26"/>
      <c r="U244" s="26"/>
      <c r="V244" s="26"/>
      <c r="W244" s="26"/>
      <c r="X244" s="42"/>
      <c r="Y244" s="42"/>
      <c r="Z244" s="39"/>
      <c r="AA244" s="39"/>
      <c r="AB244" s="39"/>
      <c r="AC244" s="40"/>
      <c r="AD244" s="26"/>
    </row>
    <row r="245" spans="1:30" x14ac:dyDescent="0.35">
      <c r="M245" s="35"/>
    </row>
  </sheetData>
  <sheetProtection autoFilter="0"/>
  <protectedRanges>
    <protectedRange sqref="E6:E242" name="Rango1"/>
  </protectedRanges>
  <autoFilter ref="L251" xr:uid="{632A1C6B-7F6F-4B21-9F30-EDEFA05ABDAD}"/>
  <mergeCells count="3">
    <mergeCell ref="A3:AC3"/>
    <mergeCell ref="A1:AC1"/>
    <mergeCell ref="A2:AC2"/>
  </mergeCells>
  <phoneticPr fontId="8" type="noConversion"/>
  <dataValidations count="6">
    <dataValidation type="list" allowBlank="1" showInputMessage="1" showErrorMessage="1" sqref="W6:W242" xr:uid="{DDE917D9-648A-4493-8B4E-07CEDE1662F3}">
      <formula1>"En ejecución, Finalizado, En Liquidación, Liquidado, Por Liquidar,No se Liquida"</formula1>
    </dataValidation>
    <dataValidation type="list" allowBlank="1" showInputMessage="1" showErrorMessage="1" sqref="R23:S242 P6:P242 L6:L242" xr:uid="{A89A5DE4-8EE5-4A55-8F47-4681A3A95CC0}">
      <formula1>"SI, NO"</formula1>
    </dataValidation>
    <dataValidation type="list" allowBlank="1" showInputMessage="1" showErrorMessage="1" sqref="B26:B189 B191:B242" xr:uid="{9A922DD5-36BB-4F1D-8A0F-B6EF664B7EEB}">
      <formula1>"SIMPLIFICADA, INVITACIÓN ABIERTA, INVITACIÓN CERRADA, INVITACIÓN DIRECTA,CONTRATACIÓN DIRECTA"</formula1>
    </dataValidation>
    <dataValidation type="list" allowBlank="1" showInputMessage="1" showErrorMessage="1" sqref="B6:B25" xr:uid="{58DEA8F2-77DA-44F7-9D82-FC0DCF851942}">
      <formula1>"ACEPTACIÓN DE OFERTA, INVITACIÓN ABIERTA, INVITACIÓN CERRADA, INVITACIÓN DIRECTA,SIMPLIFICADA"</formula1>
    </dataValidation>
    <dataValidation type="whole" allowBlank="1" showInputMessage="1" showErrorMessage="1" sqref="K49" xr:uid="{55333289-3727-4CDE-9D03-8EB7A64BF873}">
      <formula1>1</formula1>
      <formula2>70000000</formula2>
    </dataValidation>
    <dataValidation type="whole" allowBlank="1" showInputMessage="1" showErrorMessage="1" sqref="I36 K30:K33 K50:K52 K35:K48 K73 K54:K55" xr:uid="{B627BBE4-85B3-4D13-B230-9BABD98765EF}">
      <formula1>1</formula1>
      <formula2>58000000</formula2>
    </dataValidation>
  </dataValidations>
  <pageMargins left="0.51181102362204722" right="0.51181102362204722" top="0.74803149606299213" bottom="0.74803149606299213" header="0.31496062992125984" footer="0.31496062992125984"/>
  <pageSetup scale="90" orientation="landscape" r:id="rId1"/>
  <headerFooter>
    <oddFooter>&amp;C_x000D_&amp;1#&amp;"Calibri"&amp;10&amp;K000000 DOCUMENTO DE USO INTERNO</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B015BA8-A40B-48DA-8262-8F6AC791EF54}">
          <x14:formula1>
            <xm:f>Hoja1!$B$72:$B$101</xm:f>
          </x14:formula1>
          <xm:sqref>E6:E242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A0B55-0BCF-4E13-866E-4F88E25B3621}">
  <dimension ref="A1:AY310"/>
  <sheetViews>
    <sheetView showGridLines="0" zoomScale="90" zoomScaleNormal="90" workbookViewId="0">
      <selection activeCell="F308" sqref="F308"/>
    </sheetView>
  </sheetViews>
  <sheetFormatPr baseColWidth="10" defaultColWidth="11.453125" defaultRowHeight="14.5" x14ac:dyDescent="0.35"/>
  <cols>
    <col min="1" max="1" width="11.453125" style="2" customWidth="1"/>
    <col min="2" max="2" width="17.90625" style="2" customWidth="1"/>
    <col min="3" max="3" width="17.54296875" style="2" bestFit="1" customWidth="1"/>
    <col min="4" max="4" width="15.08984375" style="2" customWidth="1"/>
    <col min="5" max="5" width="16.08984375" style="2" customWidth="1"/>
    <col min="6" max="6" width="14.90625" style="2" customWidth="1"/>
    <col min="7" max="7" width="15.453125" style="2" customWidth="1"/>
    <col min="8" max="8" width="18.453125" style="2" customWidth="1"/>
    <col min="9" max="9" width="39.90625" style="1" customWidth="1"/>
    <col min="10" max="11" width="15.26953125" customWidth="1"/>
    <col min="12" max="12" width="16.81640625" style="2" customWidth="1"/>
    <col min="13" max="13" width="22.1796875" style="2" customWidth="1"/>
    <col min="14" max="14" width="19.1796875" style="2" hidden="1" customWidth="1"/>
    <col min="15" max="15" width="15.81640625" style="2" hidden="1" customWidth="1"/>
    <col min="16" max="16" width="18" style="2" customWidth="1"/>
    <col min="17" max="17" width="14.54296875" style="2" customWidth="1"/>
    <col min="18" max="18" width="17.1796875" style="2" customWidth="1"/>
    <col min="19" max="19" width="20" style="2" customWidth="1"/>
    <col min="20" max="20" width="17.6328125" style="2" customWidth="1"/>
    <col min="21" max="21" width="14.90625" style="2" customWidth="1"/>
    <col min="22" max="22" width="17.90625" style="27" customWidth="1"/>
    <col min="23" max="24" width="15.453125" style="2" customWidth="1"/>
    <col min="25" max="25" width="15.81640625" style="2" customWidth="1"/>
    <col min="26" max="26" width="15.08984375" style="2" customWidth="1"/>
    <col min="27" max="27" width="19.54296875" style="2" customWidth="1"/>
    <col min="28" max="28" width="21.26953125" style="2" customWidth="1"/>
    <col min="29" max="29" width="22.6328125" style="2" customWidth="1"/>
    <col min="30" max="30" width="18.54296875" style="2" customWidth="1"/>
    <col min="31" max="31" width="20.7265625" style="2" customWidth="1"/>
    <col min="32" max="32" width="21.1796875" style="2" customWidth="1"/>
    <col min="33" max="33" width="22.7265625" style="34" customWidth="1"/>
    <col min="34" max="34" width="26.90625" style="2" customWidth="1"/>
    <col min="35" max="35" width="23.453125" style="2" customWidth="1"/>
    <col min="36" max="36" width="13.54296875" style="2" customWidth="1"/>
    <col min="37" max="37" width="26.90625" style="2" customWidth="1"/>
    <col min="38" max="38" width="13.453125" style="46" customWidth="1"/>
    <col min="39" max="39" width="21" style="2" customWidth="1"/>
    <col min="40" max="16384" width="11.453125" style="2"/>
  </cols>
  <sheetData>
    <row r="1" spans="1:38" ht="18.5" thickBot="1" x14ac:dyDescent="0.4">
      <c r="A1" s="190" t="s">
        <v>4063</v>
      </c>
      <c r="B1" s="190"/>
      <c r="C1" s="190"/>
      <c r="D1" s="190"/>
      <c r="E1" s="190"/>
      <c r="F1" s="190"/>
      <c r="G1" s="190"/>
      <c r="H1" s="190"/>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L1" s="2"/>
    </row>
    <row r="2" spans="1:38" ht="18.5" thickBot="1" x14ac:dyDescent="0.4">
      <c r="A2" s="190" t="s">
        <v>4062</v>
      </c>
      <c r="B2" s="190"/>
      <c r="C2" s="190"/>
      <c r="D2" s="190"/>
      <c r="E2" s="190"/>
      <c r="F2" s="190"/>
      <c r="G2" s="190"/>
      <c r="H2" s="190"/>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L2" s="2"/>
    </row>
    <row r="3" spans="1:38" ht="87.5" thickBot="1" x14ac:dyDescent="0.4">
      <c r="A3" s="189" t="s">
        <v>280</v>
      </c>
      <c r="B3" s="189" t="s">
        <v>281</v>
      </c>
      <c r="C3" s="189" t="s">
        <v>282</v>
      </c>
      <c r="D3" s="189" t="s">
        <v>2637</v>
      </c>
      <c r="E3" s="189" t="s">
        <v>2638</v>
      </c>
      <c r="F3" s="189" t="s">
        <v>284</v>
      </c>
      <c r="G3" s="189" t="s">
        <v>1378</v>
      </c>
      <c r="H3" s="189" t="s">
        <v>285</v>
      </c>
      <c r="I3" s="57" t="s">
        <v>286</v>
      </c>
      <c r="J3" s="48" t="s">
        <v>287</v>
      </c>
      <c r="K3" s="48" t="s">
        <v>288</v>
      </c>
      <c r="L3" s="48" t="s">
        <v>1379</v>
      </c>
      <c r="M3" s="48" t="s">
        <v>1436</v>
      </c>
      <c r="N3" s="49" t="s">
        <v>1437</v>
      </c>
      <c r="O3" s="49" t="s">
        <v>1380</v>
      </c>
      <c r="P3" s="49" t="s">
        <v>1438</v>
      </c>
      <c r="Q3" s="49" t="s">
        <v>289</v>
      </c>
      <c r="R3" s="49" t="s">
        <v>1439</v>
      </c>
      <c r="S3" s="50" t="s">
        <v>1440</v>
      </c>
      <c r="T3" s="51" t="s">
        <v>1381</v>
      </c>
      <c r="U3" s="51" t="s">
        <v>290</v>
      </c>
      <c r="V3" s="48" t="s">
        <v>291</v>
      </c>
      <c r="W3" s="51" t="s">
        <v>292</v>
      </c>
      <c r="X3" s="51" t="s">
        <v>1404</v>
      </c>
      <c r="Y3" s="52" t="s">
        <v>293</v>
      </c>
      <c r="Z3" s="52" t="s">
        <v>2639</v>
      </c>
      <c r="AA3" s="52" t="s">
        <v>2640</v>
      </c>
      <c r="AB3" s="48" t="s">
        <v>294</v>
      </c>
      <c r="AC3" s="51" t="s">
        <v>295</v>
      </c>
      <c r="AD3" s="51" t="s">
        <v>296</v>
      </c>
      <c r="AE3" s="54" t="s">
        <v>2641</v>
      </c>
      <c r="AF3" s="54" t="s">
        <v>2642</v>
      </c>
      <c r="AG3" s="53" t="s">
        <v>1442</v>
      </c>
      <c r="AH3" s="51" t="s">
        <v>1443</v>
      </c>
      <c r="AI3" s="51" t="s">
        <v>1444</v>
      </c>
      <c r="AJ3" s="51" t="s">
        <v>297</v>
      </c>
      <c r="AL3" s="2"/>
    </row>
    <row r="4" spans="1:38" ht="78" x14ac:dyDescent="0.35">
      <c r="A4" s="43" t="s">
        <v>306</v>
      </c>
      <c r="B4" s="26" t="s">
        <v>11</v>
      </c>
      <c r="C4" s="26" t="s">
        <v>2643</v>
      </c>
      <c r="D4" s="27" t="s">
        <v>2644</v>
      </c>
      <c r="E4" s="111" t="s">
        <v>300</v>
      </c>
      <c r="F4" s="74" t="s">
        <v>2645</v>
      </c>
      <c r="G4" s="71">
        <v>36770</v>
      </c>
      <c r="H4" s="2" t="s">
        <v>88</v>
      </c>
      <c r="I4" s="112" t="s">
        <v>2646</v>
      </c>
      <c r="J4" s="47" t="s">
        <v>83</v>
      </c>
      <c r="K4" s="113" t="s">
        <v>96</v>
      </c>
      <c r="L4" s="26" t="s">
        <v>2647</v>
      </c>
      <c r="M4" s="26" t="s">
        <v>2648</v>
      </c>
      <c r="N4" s="114">
        <v>4200000</v>
      </c>
      <c r="O4" s="115">
        <v>0</v>
      </c>
      <c r="P4" s="29">
        <v>4200000</v>
      </c>
      <c r="Q4" s="70" t="s">
        <v>301</v>
      </c>
      <c r="R4" s="116">
        <v>354335491</v>
      </c>
      <c r="S4" s="28">
        <f>+Tabla15133[[#This Row],[VALOR TOTAL DEL CONTRATO
(en pesos)
CON IVA
(inicial)]]+Tabla15133[[#This Row],[VALOR DE LAS ADICIONES
(en pesos)
CON IVA]]</f>
        <v>358535491</v>
      </c>
      <c r="T4" s="4">
        <v>365</v>
      </c>
      <c r="U4" s="70" t="s">
        <v>301</v>
      </c>
      <c r="V4" s="101">
        <f>+Tabla15133[[#This Row],[FECHA TERMINACIÓN DEL CONTRATO
(inicial + prórroga)]]-Tabla15133[[#This Row],[FECHA TERMINACIÓN DEL CONTRATO
(inicial)]]</f>
        <v>9131</v>
      </c>
      <c r="W4" s="117" t="s">
        <v>302</v>
      </c>
      <c r="X4" s="117"/>
      <c r="Y4" s="71">
        <v>36770</v>
      </c>
      <c r="Z4" s="118">
        <v>37134</v>
      </c>
      <c r="AA4" s="118">
        <v>46265</v>
      </c>
      <c r="AB4" s="43" t="s">
        <v>303</v>
      </c>
      <c r="AC4" s="71"/>
      <c r="AD4" s="70"/>
      <c r="AE4" s="30">
        <v>0.25</v>
      </c>
      <c r="AF4" s="30">
        <v>0.58330000000000004</v>
      </c>
      <c r="AG4" s="31">
        <v>16243304</v>
      </c>
      <c r="AH4" s="72" t="s">
        <v>2649</v>
      </c>
      <c r="AI4" s="119" t="s">
        <v>2644</v>
      </c>
      <c r="AJ4" s="44">
        <v>2000</v>
      </c>
      <c r="AL4" s="2"/>
    </row>
    <row r="5" spans="1:38" ht="91" x14ac:dyDescent="0.35">
      <c r="A5" s="43" t="s">
        <v>306</v>
      </c>
      <c r="B5" s="26" t="s">
        <v>11</v>
      </c>
      <c r="C5" s="26" t="s">
        <v>2643</v>
      </c>
      <c r="D5" s="27" t="s">
        <v>2650</v>
      </c>
      <c r="E5" s="111" t="s">
        <v>300</v>
      </c>
      <c r="F5" s="74" t="s">
        <v>2651</v>
      </c>
      <c r="G5" s="71">
        <v>36739</v>
      </c>
      <c r="H5" s="2" t="s">
        <v>88</v>
      </c>
      <c r="I5" s="112" t="s">
        <v>2652</v>
      </c>
      <c r="J5" s="47" t="s">
        <v>89</v>
      </c>
      <c r="K5" s="113" t="s">
        <v>84</v>
      </c>
      <c r="L5" s="26" t="s">
        <v>2653</v>
      </c>
      <c r="M5" s="26" t="s">
        <v>2654</v>
      </c>
      <c r="N5" s="29">
        <v>138062292</v>
      </c>
      <c r="O5" s="28">
        <v>26231835</v>
      </c>
      <c r="P5" s="29">
        <v>164294127</v>
      </c>
      <c r="Q5" s="70" t="s">
        <v>301</v>
      </c>
      <c r="R5" s="116">
        <v>1357069818</v>
      </c>
      <c r="S5" s="28">
        <f>+Tabla15133[[#This Row],[VALOR TOTAL DEL CONTRATO
(en pesos)
CON IVA
(inicial)]]+Tabla15133[[#This Row],[VALOR DE LAS ADICIONES
(en pesos)
CON IVA]]</f>
        <v>1521363945</v>
      </c>
      <c r="T5" s="4">
        <f>+Tabla15133[[#This Row],[FECHA TERMINACIÓN DEL CONTRATO
(inicial)]]-Tabla15133[[#This Row],[FECHA INICIO CONTRATO]]</f>
        <v>364</v>
      </c>
      <c r="U5" s="70" t="s">
        <v>301</v>
      </c>
      <c r="V5" s="101">
        <f>+Tabla15133[[#This Row],[FECHA TERMINACIÓN DEL CONTRATO
(inicial + prórroga)]]-Tabla15133[[#This Row],[FECHA TERMINACIÓN DEL CONTRATO
(inicial)]]</f>
        <v>9131</v>
      </c>
      <c r="W5" s="117" t="s">
        <v>302</v>
      </c>
      <c r="X5" s="117"/>
      <c r="Y5" s="71">
        <v>36739</v>
      </c>
      <c r="Z5" s="118">
        <v>37103</v>
      </c>
      <c r="AA5" s="118">
        <v>46234</v>
      </c>
      <c r="AB5" s="43" t="s">
        <v>303</v>
      </c>
      <c r="AC5" s="71"/>
      <c r="AD5" s="70"/>
      <c r="AE5" s="30">
        <v>0.41670000000000001</v>
      </c>
      <c r="AF5" s="30">
        <v>0.41670000000000001</v>
      </c>
      <c r="AG5" s="31">
        <v>73617464</v>
      </c>
      <c r="AH5" s="72" t="s">
        <v>2655</v>
      </c>
      <c r="AI5" s="120" t="s">
        <v>2644</v>
      </c>
      <c r="AJ5" s="44">
        <v>2000</v>
      </c>
      <c r="AL5" s="2"/>
    </row>
    <row r="6" spans="1:38" ht="83.5" customHeight="1" x14ac:dyDescent="0.35">
      <c r="A6" s="43" t="s">
        <v>306</v>
      </c>
      <c r="B6" s="26" t="s">
        <v>11</v>
      </c>
      <c r="C6" s="26" t="s">
        <v>2643</v>
      </c>
      <c r="D6" s="27">
        <v>40</v>
      </c>
      <c r="E6" s="26" t="s">
        <v>312</v>
      </c>
      <c r="F6" s="74" t="s">
        <v>2656</v>
      </c>
      <c r="G6" s="71">
        <v>40443</v>
      </c>
      <c r="H6" s="26" t="s">
        <v>150</v>
      </c>
      <c r="I6" s="112" t="s">
        <v>2657</v>
      </c>
      <c r="J6" s="47" t="s">
        <v>89</v>
      </c>
      <c r="K6" s="113" t="s">
        <v>84</v>
      </c>
      <c r="L6" s="26" t="s">
        <v>2658</v>
      </c>
      <c r="M6" s="26" t="s">
        <v>2659</v>
      </c>
      <c r="N6" s="28">
        <v>0</v>
      </c>
      <c r="O6" s="28">
        <v>0</v>
      </c>
      <c r="P6" s="3">
        <v>0</v>
      </c>
      <c r="Q6" s="70" t="s">
        <v>302</v>
      </c>
      <c r="R6" s="116"/>
      <c r="S6" s="28">
        <f>+Tabla15133[[#This Row],[VALOR TOTAL DEL CONTRATO
(en pesos)
CON IVA
(inicial)]]+Tabla15133[[#This Row],[VALOR DE LAS ADICIONES
(en pesos)
CON IVA]]</f>
        <v>0</v>
      </c>
      <c r="T6" s="4">
        <f>+Tabla15133[[#This Row],[FECHA TERMINACIÓN DEL CONTRATO
(inicial)]]-Tabla15133[[#This Row],[FECHA INICIO CONTRATO]]</f>
        <v>365</v>
      </c>
      <c r="U6" s="70" t="s">
        <v>301</v>
      </c>
      <c r="V6" s="101">
        <f>+Tabla15133[[#This Row],[FECHA TERMINACIÓN DEL CONTRATO
(inicial + prórroga)]]-Tabla15133[[#This Row],[FECHA TERMINACIÓN DEL CONTRATO
(inicial)]]</f>
        <v>5479</v>
      </c>
      <c r="W6" s="117" t="s">
        <v>302</v>
      </c>
      <c r="X6" s="117"/>
      <c r="Y6" s="71">
        <v>40515</v>
      </c>
      <c r="Z6" s="118">
        <v>40880</v>
      </c>
      <c r="AA6" s="118">
        <v>46359</v>
      </c>
      <c r="AB6" s="43" t="s">
        <v>303</v>
      </c>
      <c r="AC6" s="71"/>
      <c r="AD6" s="70"/>
      <c r="AE6" s="30">
        <v>0</v>
      </c>
      <c r="AF6" s="30">
        <v>0</v>
      </c>
      <c r="AG6" s="31">
        <v>1135921</v>
      </c>
      <c r="AH6" s="121" t="s">
        <v>2660</v>
      </c>
      <c r="AI6" s="119" t="s">
        <v>2644</v>
      </c>
      <c r="AJ6" s="44">
        <v>2010</v>
      </c>
      <c r="AL6" s="2"/>
    </row>
    <row r="7" spans="1:38" ht="94.5" customHeight="1" x14ac:dyDescent="0.35">
      <c r="A7" s="43" t="s">
        <v>306</v>
      </c>
      <c r="B7" s="26" t="s">
        <v>11</v>
      </c>
      <c r="C7" s="26" t="s">
        <v>2643</v>
      </c>
      <c r="D7" s="27">
        <v>46</v>
      </c>
      <c r="E7" s="111" t="s">
        <v>300</v>
      </c>
      <c r="F7" s="74" t="s">
        <v>2661</v>
      </c>
      <c r="G7" s="71">
        <v>40730</v>
      </c>
      <c r="H7" s="26" t="s">
        <v>150</v>
      </c>
      <c r="I7" s="112" t="s">
        <v>2662</v>
      </c>
      <c r="J7" s="47" t="s">
        <v>89</v>
      </c>
      <c r="K7" s="113" t="s">
        <v>84</v>
      </c>
      <c r="L7" s="26" t="s">
        <v>2658</v>
      </c>
      <c r="M7" s="26" t="s">
        <v>2659</v>
      </c>
      <c r="N7" s="28">
        <v>0</v>
      </c>
      <c r="O7" s="28">
        <v>0</v>
      </c>
      <c r="P7" s="3">
        <v>0</v>
      </c>
      <c r="Q7" s="70" t="s">
        <v>302</v>
      </c>
      <c r="R7" s="116"/>
      <c r="S7" s="28">
        <f>+Tabla15133[[#This Row],[VALOR TOTAL DEL CONTRATO
(en pesos)
CON IVA
(inicial)]]+Tabla15133[[#This Row],[VALOR DE LAS ADICIONES
(en pesos)
CON IVA]]</f>
        <v>0</v>
      </c>
      <c r="T7" s="4">
        <f>+Tabla15133[[#This Row],[FECHA TERMINACIÓN DEL CONTRATO
(inicial)]]-Tabla15133[[#This Row],[FECHA INICIO CONTRATO]]</f>
        <v>365</v>
      </c>
      <c r="U7" s="70" t="s">
        <v>301</v>
      </c>
      <c r="V7" s="101">
        <f>+Tabla15133[[#This Row],[FECHA TERMINACIÓN DEL CONTRATO
(inicial + prórroga)]]-Tabla15133[[#This Row],[FECHA TERMINACIÓN DEL CONTRATO
(inicial)]]</f>
        <v>5113</v>
      </c>
      <c r="W7" s="117" t="s">
        <v>302</v>
      </c>
      <c r="X7" s="117"/>
      <c r="Y7" s="71">
        <v>40821</v>
      </c>
      <c r="Z7" s="118">
        <v>41186</v>
      </c>
      <c r="AA7" s="118">
        <v>46299</v>
      </c>
      <c r="AB7" s="43" t="s">
        <v>303</v>
      </c>
      <c r="AC7" s="71"/>
      <c r="AD7" s="70"/>
      <c r="AE7" s="30">
        <v>0</v>
      </c>
      <c r="AF7" s="30">
        <v>0</v>
      </c>
      <c r="AG7" s="31">
        <v>0</v>
      </c>
      <c r="AH7" s="121" t="s">
        <v>2663</v>
      </c>
      <c r="AI7" s="119" t="s">
        <v>2644</v>
      </c>
      <c r="AJ7" s="44">
        <v>2011</v>
      </c>
      <c r="AL7" s="2"/>
    </row>
    <row r="8" spans="1:38" ht="78" x14ac:dyDescent="0.35">
      <c r="A8" s="43" t="s">
        <v>306</v>
      </c>
      <c r="B8" s="26" t="s">
        <v>11</v>
      </c>
      <c r="C8" s="26" t="s">
        <v>2643</v>
      </c>
      <c r="D8" s="27">
        <v>50</v>
      </c>
      <c r="E8" s="111" t="s">
        <v>300</v>
      </c>
      <c r="F8" s="74" t="s">
        <v>2664</v>
      </c>
      <c r="G8" s="71">
        <v>40840</v>
      </c>
      <c r="H8" s="2" t="s">
        <v>88</v>
      </c>
      <c r="I8" s="112" t="s">
        <v>2665</v>
      </c>
      <c r="J8" s="47" t="s">
        <v>83</v>
      </c>
      <c r="K8" s="113" t="s">
        <v>96</v>
      </c>
      <c r="L8" s="26" t="s">
        <v>2666</v>
      </c>
      <c r="M8" s="26" t="s">
        <v>2667</v>
      </c>
      <c r="N8" s="114">
        <v>12714250</v>
      </c>
      <c r="O8" s="115">
        <v>0</v>
      </c>
      <c r="P8" s="29">
        <v>12714250</v>
      </c>
      <c r="Q8" s="70" t="s">
        <v>301</v>
      </c>
      <c r="R8" s="116">
        <v>169517147</v>
      </c>
      <c r="S8" s="28">
        <f>+Tabla15133[[#This Row],[VALOR TOTAL DEL CONTRATO
(en pesos)
CON IVA
(inicial)]]+Tabla15133[[#This Row],[VALOR DE LAS ADICIONES
(en pesos)
CON IVA]]</f>
        <v>182231397</v>
      </c>
      <c r="T8" s="4">
        <f>+Tabla15133[[#This Row],[FECHA TERMINACIÓN DEL CONTRATO
(inicial)]]-Tabla15133[[#This Row],[FECHA INICIO CONTRATO]]</f>
        <v>365</v>
      </c>
      <c r="U8" s="70" t="s">
        <v>301</v>
      </c>
      <c r="V8" s="101">
        <f>+Tabla15133[[#This Row],[FECHA TERMINACIÓN DEL CONTRATO
(inicial + prórroga)]]-Tabla15133[[#This Row],[FECHA TERMINACIÓN DEL CONTRATO
(inicial)]]</f>
        <v>5113</v>
      </c>
      <c r="W8" s="117" t="s">
        <v>302</v>
      </c>
      <c r="X8" s="117"/>
      <c r="Y8" s="71">
        <v>40840</v>
      </c>
      <c r="Z8" s="118">
        <v>41205</v>
      </c>
      <c r="AA8" s="118">
        <v>46318</v>
      </c>
      <c r="AB8" s="43" t="s">
        <v>303</v>
      </c>
      <c r="AC8" s="71"/>
      <c r="AD8" s="70"/>
      <c r="AE8" s="30">
        <v>0.08</v>
      </c>
      <c r="AF8" s="30">
        <v>8.3299999999999999E-2</v>
      </c>
      <c r="AG8" s="31">
        <v>1774050</v>
      </c>
      <c r="AH8" s="121" t="s">
        <v>2649</v>
      </c>
      <c r="AI8" s="119" t="s">
        <v>2644</v>
      </c>
      <c r="AJ8" s="44">
        <v>2011</v>
      </c>
      <c r="AL8" s="2"/>
    </row>
    <row r="9" spans="1:38" ht="91" x14ac:dyDescent="0.35">
      <c r="A9" s="43" t="s">
        <v>306</v>
      </c>
      <c r="B9" s="26" t="s">
        <v>11</v>
      </c>
      <c r="C9" s="26" t="s">
        <v>2643</v>
      </c>
      <c r="D9" s="27">
        <v>65</v>
      </c>
      <c r="E9" s="111" t="s">
        <v>300</v>
      </c>
      <c r="F9" s="74" t="s">
        <v>2668</v>
      </c>
      <c r="G9" s="71">
        <v>41142</v>
      </c>
      <c r="H9" s="2" t="s">
        <v>88</v>
      </c>
      <c r="I9" s="112" t="s">
        <v>2669</v>
      </c>
      <c r="J9" s="47" t="s">
        <v>89</v>
      </c>
      <c r="K9" s="113" t="s">
        <v>84</v>
      </c>
      <c r="L9" s="26" t="s">
        <v>2670</v>
      </c>
      <c r="M9" s="81" t="s">
        <v>2671</v>
      </c>
      <c r="N9" s="28">
        <v>184800000</v>
      </c>
      <c r="O9" s="28">
        <v>0</v>
      </c>
      <c r="P9" s="3">
        <v>184800000</v>
      </c>
      <c r="Q9" s="70" t="s">
        <v>301</v>
      </c>
      <c r="R9" s="116">
        <v>3341404059</v>
      </c>
      <c r="S9" s="28">
        <f>+Tabla15133[[#This Row],[VALOR TOTAL DEL CONTRATO
(en pesos)
CON IVA
(inicial)]]+Tabla15133[[#This Row],[VALOR DE LAS ADICIONES
(en pesos)
CON IVA]]</f>
        <v>3526204059</v>
      </c>
      <c r="T9" s="4">
        <f>+Tabla15133[[#This Row],[FECHA TERMINACIÓN DEL CONTRATO
(inicial)]]-Tabla15133[[#This Row],[FECHA INICIO CONTRATO]]</f>
        <v>1460</v>
      </c>
      <c r="U9" s="70" t="s">
        <v>301</v>
      </c>
      <c r="V9" s="101">
        <f>+Tabla15133[[#This Row],[FECHA TERMINACIÓN DEL CONTRATO
(inicial + prórroga)]]-Tabla15133[[#This Row],[FECHA TERMINACIÓN DEL CONTRATO
(inicial)]]</f>
        <v>3652</v>
      </c>
      <c r="W9" s="117" t="s">
        <v>302</v>
      </c>
      <c r="X9" s="117"/>
      <c r="Y9" s="71">
        <v>41183</v>
      </c>
      <c r="Z9" s="118">
        <v>42643</v>
      </c>
      <c r="AA9" s="118">
        <v>46295</v>
      </c>
      <c r="AB9" s="43" t="s">
        <v>303</v>
      </c>
      <c r="AC9" s="71"/>
      <c r="AD9" s="70"/>
      <c r="AE9" s="30">
        <v>0.25</v>
      </c>
      <c r="AF9" s="30">
        <v>0</v>
      </c>
      <c r="AG9" s="31">
        <v>0</v>
      </c>
      <c r="AH9" s="121" t="s">
        <v>2672</v>
      </c>
      <c r="AI9" s="119" t="s">
        <v>2644</v>
      </c>
      <c r="AJ9" s="44">
        <v>2012</v>
      </c>
      <c r="AL9" s="2"/>
    </row>
    <row r="10" spans="1:38" ht="132" x14ac:dyDescent="0.35">
      <c r="A10" s="43" t="s">
        <v>306</v>
      </c>
      <c r="B10" s="26" t="s">
        <v>298</v>
      </c>
      <c r="C10" s="26" t="s">
        <v>2673</v>
      </c>
      <c r="D10" s="27" t="s">
        <v>2644</v>
      </c>
      <c r="E10" s="111" t="s">
        <v>300</v>
      </c>
      <c r="F10" s="74" t="s">
        <v>2674</v>
      </c>
      <c r="G10" s="71">
        <v>42640</v>
      </c>
      <c r="H10" s="26" t="s">
        <v>160</v>
      </c>
      <c r="I10" s="112" t="s">
        <v>2675</v>
      </c>
      <c r="J10" s="47" t="s">
        <v>89</v>
      </c>
      <c r="K10" s="113" t="s">
        <v>84</v>
      </c>
      <c r="L10" s="26" t="s">
        <v>2676</v>
      </c>
      <c r="M10" s="26" t="s">
        <v>2677</v>
      </c>
      <c r="N10" s="28">
        <v>1150000000</v>
      </c>
      <c r="O10" s="28">
        <v>0</v>
      </c>
      <c r="P10" s="3">
        <v>1150000000</v>
      </c>
      <c r="Q10" s="70" t="s">
        <v>302</v>
      </c>
      <c r="R10" s="116"/>
      <c r="S10" s="28">
        <f>+Tabla15133[[#This Row],[VALOR TOTAL DEL CONTRATO
(en pesos)
CON IVA
(inicial)]]+Tabla15133[[#This Row],[VALOR DE LAS ADICIONES
(en pesos)
CON IVA]]</f>
        <v>1150000000</v>
      </c>
      <c r="T10" s="4">
        <f>+Tabla15133[[#This Row],[FECHA TERMINACIÓN DEL CONTRATO
(inicial)]]-Tabla15133[[#This Row],[FECHA INICIO CONTRATO]]</f>
        <v>1826</v>
      </c>
      <c r="U10" s="70" t="s">
        <v>301</v>
      </c>
      <c r="V10" s="101">
        <f>+Tabla15133[[#This Row],[FECHA TERMINACIÓN DEL CONTRATO
(inicial + prórroga)]]-Tabla15133[[#This Row],[FECHA TERMINACIÓN DEL CONTRATO
(inicial)]]</f>
        <v>1733</v>
      </c>
      <c r="W10" s="117" t="s">
        <v>302</v>
      </c>
      <c r="X10" s="117"/>
      <c r="Y10" s="71">
        <v>42644</v>
      </c>
      <c r="Z10" s="118">
        <v>44470</v>
      </c>
      <c r="AA10" s="118">
        <v>46203</v>
      </c>
      <c r="AB10" s="43" t="s">
        <v>303</v>
      </c>
      <c r="AC10" s="71"/>
      <c r="AD10" s="70"/>
      <c r="AE10" s="30">
        <v>1</v>
      </c>
      <c r="AF10" s="30">
        <v>0</v>
      </c>
      <c r="AG10" s="31">
        <v>0</v>
      </c>
      <c r="AH10" s="122" t="s">
        <v>2678</v>
      </c>
      <c r="AI10" s="119" t="s">
        <v>2644</v>
      </c>
      <c r="AJ10" s="44">
        <v>2016</v>
      </c>
      <c r="AL10" s="2"/>
    </row>
    <row r="11" spans="1:38" ht="78" x14ac:dyDescent="0.35">
      <c r="A11" s="43" t="s">
        <v>306</v>
      </c>
      <c r="B11" s="26" t="s">
        <v>11</v>
      </c>
      <c r="C11" s="26" t="s">
        <v>2643</v>
      </c>
      <c r="D11" s="27" t="s">
        <v>2679</v>
      </c>
      <c r="E11" s="111" t="s">
        <v>300</v>
      </c>
      <c r="F11" s="74" t="s">
        <v>2680</v>
      </c>
      <c r="G11" s="71">
        <v>43228</v>
      </c>
      <c r="H11" s="2" t="s">
        <v>88</v>
      </c>
      <c r="I11" s="112" t="s">
        <v>2681</v>
      </c>
      <c r="J11" s="47" t="s">
        <v>89</v>
      </c>
      <c r="K11" s="113" t="s">
        <v>84</v>
      </c>
      <c r="L11" s="26" t="s">
        <v>2682</v>
      </c>
      <c r="M11" s="26" t="s">
        <v>2683</v>
      </c>
      <c r="N11" s="3">
        <v>6977208000</v>
      </c>
      <c r="O11" s="28">
        <v>0</v>
      </c>
      <c r="P11" s="3">
        <v>6977208000</v>
      </c>
      <c r="Q11" s="70" t="s">
        <v>301</v>
      </c>
      <c r="R11" s="116">
        <v>7449462665</v>
      </c>
      <c r="S11" s="28">
        <f>+Tabla15133[[#This Row],[VALOR TOTAL DEL CONTRATO
(en pesos)
CON IVA
(inicial)]]+Tabla15133[[#This Row],[VALOR DE LAS ADICIONES
(en pesos)
CON IVA]]</f>
        <v>14426670665</v>
      </c>
      <c r="T11" s="4">
        <v>2556</v>
      </c>
      <c r="U11" s="70" t="s">
        <v>301</v>
      </c>
      <c r="V11" s="101">
        <f>+Tabla15133[[#This Row],[FECHA TERMINACIÓN DEL CONTRATO
(inicial + prórroga)]]-Tabla15133[[#This Row],[FECHA TERMINACIÓN DEL CONTRATO
(inicial)]]</f>
        <v>1825</v>
      </c>
      <c r="W11" s="70" t="s">
        <v>302</v>
      </c>
      <c r="X11" s="70"/>
      <c r="Y11" s="71">
        <v>43250</v>
      </c>
      <c r="Z11" s="118">
        <v>45806</v>
      </c>
      <c r="AA11" s="118">
        <v>47631</v>
      </c>
      <c r="AB11" s="43" t="s">
        <v>303</v>
      </c>
      <c r="AC11" s="71"/>
      <c r="AD11" s="70"/>
      <c r="AE11" s="30">
        <v>0.58330000000000004</v>
      </c>
      <c r="AF11" s="30">
        <v>0</v>
      </c>
      <c r="AG11" s="31">
        <v>0</v>
      </c>
      <c r="AH11" s="121" t="s">
        <v>2684</v>
      </c>
      <c r="AI11" s="119" t="s">
        <v>2644</v>
      </c>
      <c r="AJ11" s="44">
        <v>2018</v>
      </c>
      <c r="AL11" s="2"/>
    </row>
    <row r="12" spans="1:38" ht="43.5" x14ac:dyDescent="0.35">
      <c r="A12" s="43" t="s">
        <v>306</v>
      </c>
      <c r="B12" s="26" t="s">
        <v>31</v>
      </c>
      <c r="C12" s="26" t="s">
        <v>36</v>
      </c>
      <c r="D12" s="27">
        <v>6652</v>
      </c>
      <c r="E12" s="111" t="s">
        <v>300</v>
      </c>
      <c r="F12" s="74" t="s">
        <v>2685</v>
      </c>
      <c r="G12" s="71">
        <v>43622</v>
      </c>
      <c r="H12" s="26" t="s">
        <v>326</v>
      </c>
      <c r="I12" s="112" t="s">
        <v>2686</v>
      </c>
      <c r="J12" s="47" t="s">
        <v>89</v>
      </c>
      <c r="K12" s="113" t="s">
        <v>84</v>
      </c>
      <c r="L12" s="26" t="s">
        <v>2687</v>
      </c>
      <c r="M12" s="26" t="s">
        <v>2688</v>
      </c>
      <c r="N12" s="28">
        <v>1135828574</v>
      </c>
      <c r="O12" s="28">
        <v>215807429</v>
      </c>
      <c r="P12" s="3">
        <v>1351636003</v>
      </c>
      <c r="Q12" s="70" t="s">
        <v>301</v>
      </c>
      <c r="R12" s="116">
        <v>300000000</v>
      </c>
      <c r="S12" s="28">
        <f>+Tabla15133[[#This Row],[VALOR TOTAL DEL CONTRATO
(en pesos)
CON IVA
(inicial)]]+Tabla15133[[#This Row],[VALOR DE LAS ADICIONES
(en pesos)
CON IVA]]</f>
        <v>1651636003</v>
      </c>
      <c r="T12" s="4">
        <v>1096</v>
      </c>
      <c r="U12" s="70" t="s">
        <v>301</v>
      </c>
      <c r="V12" s="101">
        <v>945</v>
      </c>
      <c r="W12" s="117" t="s">
        <v>302</v>
      </c>
      <c r="X12" s="117"/>
      <c r="Y12" s="71">
        <v>43647</v>
      </c>
      <c r="Z12" s="118">
        <v>44743</v>
      </c>
      <c r="AA12" s="118">
        <v>45688</v>
      </c>
      <c r="AB12" s="43" t="s">
        <v>323</v>
      </c>
      <c r="AC12" s="71">
        <v>45982</v>
      </c>
      <c r="AD12" s="70" t="s">
        <v>321</v>
      </c>
      <c r="AE12" s="30">
        <v>1</v>
      </c>
      <c r="AF12" s="30">
        <f>+Tabla15133[[#This Row],[VALOR PAGADO (en pesos)
A 31 DICIEMBRE 2025]]/Tabla15133[[#This Row],[VALOR TOTAL CONTRATO CON IVA (VALOR INICIAL + ADICIONES) ]]</f>
        <v>0.86331161923091115</v>
      </c>
      <c r="AG12" s="31">
        <v>1425876552.1300001</v>
      </c>
      <c r="AH12" s="121" t="s">
        <v>2689</v>
      </c>
      <c r="AI12" s="119" t="s">
        <v>2690</v>
      </c>
      <c r="AJ12" s="44">
        <v>2019</v>
      </c>
      <c r="AL12" s="2"/>
    </row>
    <row r="13" spans="1:38" ht="156" x14ac:dyDescent="0.35">
      <c r="A13" s="43" t="s">
        <v>306</v>
      </c>
      <c r="B13" s="26" t="s">
        <v>322</v>
      </c>
      <c r="C13" s="26" t="s">
        <v>71</v>
      </c>
      <c r="D13" s="27">
        <v>6231</v>
      </c>
      <c r="E13" s="111" t="s">
        <v>300</v>
      </c>
      <c r="F13" s="74" t="s">
        <v>2691</v>
      </c>
      <c r="G13" s="71">
        <v>43714</v>
      </c>
      <c r="H13" s="26" t="s">
        <v>150</v>
      </c>
      <c r="I13" s="112" t="s">
        <v>2692</v>
      </c>
      <c r="J13" s="47" t="s">
        <v>89</v>
      </c>
      <c r="K13" s="113" t="s">
        <v>84</v>
      </c>
      <c r="L13" s="26" t="s">
        <v>2693</v>
      </c>
      <c r="M13" s="26" t="s">
        <v>2694</v>
      </c>
      <c r="N13" s="28">
        <v>422184874</v>
      </c>
      <c r="O13" s="28">
        <v>80215126</v>
      </c>
      <c r="P13" s="3">
        <v>502400000</v>
      </c>
      <c r="Q13" s="70" t="s">
        <v>301</v>
      </c>
      <c r="R13" s="116">
        <v>4029188266</v>
      </c>
      <c r="S13" s="28">
        <f>+Tabla15133[[#This Row],[VALOR TOTAL DEL CONTRATO
(en pesos)
CON IVA
(inicial)]]+Tabla15133[[#This Row],[VALOR DE LAS ADICIONES
(en pesos)
CON IVA]]</f>
        <v>4531588266</v>
      </c>
      <c r="T13" s="4">
        <v>782</v>
      </c>
      <c r="U13" s="70" t="s">
        <v>301</v>
      </c>
      <c r="V13" s="101">
        <f>+Tabla15133[[#This Row],[FECHA TERMINACIÓN DEL CONTRATO
(inicial + prórroga)]]-Tabla15133[[#This Row],[FECHA TERMINACIÓN DEL CONTRATO
(inicial)]]</f>
        <v>1826</v>
      </c>
      <c r="W13" s="117" t="s">
        <v>302</v>
      </c>
      <c r="X13" s="117"/>
      <c r="Y13" s="71">
        <v>43718</v>
      </c>
      <c r="Z13" s="118">
        <v>44500</v>
      </c>
      <c r="AA13" s="118">
        <v>46326</v>
      </c>
      <c r="AB13" s="43" t="s">
        <v>303</v>
      </c>
      <c r="AC13" s="71"/>
      <c r="AD13" s="70"/>
      <c r="AE13" s="30">
        <v>0.88370000000000004</v>
      </c>
      <c r="AF13" s="30">
        <v>0.95750000000000002</v>
      </c>
      <c r="AG13" s="31">
        <v>4339198391</v>
      </c>
      <c r="AH13" s="121" t="s">
        <v>2695</v>
      </c>
      <c r="AI13" s="32" t="s">
        <v>2696</v>
      </c>
      <c r="AJ13" s="44">
        <v>2019</v>
      </c>
      <c r="AL13" s="2"/>
    </row>
    <row r="14" spans="1:38" ht="87" x14ac:dyDescent="0.35">
      <c r="A14" s="43" t="s">
        <v>306</v>
      </c>
      <c r="B14" s="26" t="s">
        <v>11</v>
      </c>
      <c r="C14" s="26" t="s">
        <v>2643</v>
      </c>
      <c r="D14" s="27">
        <v>4052</v>
      </c>
      <c r="E14" s="111" t="s">
        <v>300</v>
      </c>
      <c r="F14" s="74" t="s">
        <v>2697</v>
      </c>
      <c r="G14" s="71">
        <v>43767</v>
      </c>
      <c r="H14" s="26" t="s">
        <v>150</v>
      </c>
      <c r="I14" s="112" t="s">
        <v>2698</v>
      </c>
      <c r="J14" s="47" t="s">
        <v>89</v>
      </c>
      <c r="K14" s="113" t="s">
        <v>84</v>
      </c>
      <c r="L14" s="26" t="s">
        <v>2699</v>
      </c>
      <c r="M14" s="26" t="s">
        <v>2700</v>
      </c>
      <c r="N14" s="28">
        <v>248882164</v>
      </c>
      <c r="O14" s="28">
        <v>47287610</v>
      </c>
      <c r="P14" s="3">
        <v>296169774</v>
      </c>
      <c r="Q14" s="70" t="s">
        <v>302</v>
      </c>
      <c r="R14" s="116"/>
      <c r="S14" s="28">
        <f>+Tabla15133[[#This Row],[VALOR TOTAL DEL CONTRATO
(en pesos)
CON IVA
(inicial)]]+Tabla15133[[#This Row],[VALOR DE LAS ADICIONES
(en pesos)
CON IVA]]</f>
        <v>296169774</v>
      </c>
      <c r="T14" s="4">
        <v>1826</v>
      </c>
      <c r="U14" s="70" t="s">
        <v>302</v>
      </c>
      <c r="V14" s="101"/>
      <c r="W14" s="70" t="s">
        <v>302</v>
      </c>
      <c r="X14" s="70"/>
      <c r="Y14" s="71">
        <v>43769</v>
      </c>
      <c r="Z14" s="118">
        <v>45595</v>
      </c>
      <c r="AA14" s="118">
        <v>45595</v>
      </c>
      <c r="AB14" s="43" t="s">
        <v>323</v>
      </c>
      <c r="AC14" s="71">
        <v>45720</v>
      </c>
      <c r="AD14" s="70" t="s">
        <v>321</v>
      </c>
      <c r="AE14" s="30">
        <v>1</v>
      </c>
      <c r="AF14" s="30">
        <v>1</v>
      </c>
      <c r="AG14" s="31">
        <v>296169773.73000002</v>
      </c>
      <c r="AH14" s="121"/>
      <c r="AI14" s="56" t="s">
        <v>2701</v>
      </c>
      <c r="AJ14" s="44">
        <v>2019</v>
      </c>
      <c r="AL14" s="2"/>
    </row>
    <row r="15" spans="1:38" ht="117" x14ac:dyDescent="0.35">
      <c r="A15" s="43" t="s">
        <v>306</v>
      </c>
      <c r="B15" s="26" t="s">
        <v>11</v>
      </c>
      <c r="C15" s="26" t="s">
        <v>20</v>
      </c>
      <c r="D15" s="27">
        <v>6326</v>
      </c>
      <c r="E15" s="111" t="s">
        <v>300</v>
      </c>
      <c r="F15" s="74" t="s">
        <v>2702</v>
      </c>
      <c r="G15" s="71">
        <v>43782</v>
      </c>
      <c r="H15" s="26" t="s">
        <v>150</v>
      </c>
      <c r="I15" s="112" t="s">
        <v>2703</v>
      </c>
      <c r="J15" s="47" t="s">
        <v>89</v>
      </c>
      <c r="K15" s="113" t="s">
        <v>84</v>
      </c>
      <c r="L15" s="26" t="s">
        <v>2704</v>
      </c>
      <c r="M15" s="26" t="s">
        <v>2705</v>
      </c>
      <c r="N15" s="28">
        <v>9900000</v>
      </c>
      <c r="O15" s="28">
        <v>1881000</v>
      </c>
      <c r="P15" s="3">
        <v>11781000</v>
      </c>
      <c r="Q15" s="70" t="s">
        <v>301</v>
      </c>
      <c r="R15" s="116">
        <v>1816342</v>
      </c>
      <c r="S15" s="28">
        <f>+Tabla15133[[#This Row],[VALOR TOTAL DEL CONTRATO
(en pesos)
CON IVA
(inicial)]]+Tabla15133[[#This Row],[VALOR DE LAS ADICIONES
(en pesos)
CON IVA]]</f>
        <v>13597342</v>
      </c>
      <c r="T15" s="4">
        <v>730</v>
      </c>
      <c r="U15" s="70" t="s">
        <v>301</v>
      </c>
      <c r="V15" s="101">
        <f>+Tabla15133[[#This Row],[FECHA TERMINACIÓN DEL CONTRATO
(inicial + prórroga)]]-Tabla15133[[#This Row],[FECHA TERMINACIÓN DEL CONTRATO
(inicial)]]</f>
        <v>1144</v>
      </c>
      <c r="W15" s="117" t="s">
        <v>302</v>
      </c>
      <c r="X15" s="117"/>
      <c r="Y15" s="71">
        <v>43782</v>
      </c>
      <c r="Z15" s="118">
        <v>44512</v>
      </c>
      <c r="AA15" s="118">
        <v>45656</v>
      </c>
      <c r="AB15" s="43" t="s">
        <v>323</v>
      </c>
      <c r="AC15" s="71">
        <v>45736</v>
      </c>
      <c r="AD15" s="70" t="s">
        <v>2706</v>
      </c>
      <c r="AE15" s="30">
        <v>0.86</v>
      </c>
      <c r="AF15" s="30">
        <v>1</v>
      </c>
      <c r="AG15" s="31">
        <v>13597342</v>
      </c>
      <c r="AH15" s="121" t="s">
        <v>2707</v>
      </c>
      <c r="AI15" s="56" t="s">
        <v>2708</v>
      </c>
      <c r="AJ15" s="44">
        <v>2019</v>
      </c>
      <c r="AL15" s="2"/>
    </row>
    <row r="16" spans="1:38" ht="43.5" x14ac:dyDescent="0.35">
      <c r="A16" s="43" t="s">
        <v>306</v>
      </c>
      <c r="B16" s="26" t="s">
        <v>31</v>
      </c>
      <c r="C16" s="26" t="s">
        <v>36</v>
      </c>
      <c r="D16" s="27">
        <v>5737</v>
      </c>
      <c r="E16" s="26" t="s">
        <v>324</v>
      </c>
      <c r="F16" s="74" t="s">
        <v>2709</v>
      </c>
      <c r="G16" s="71">
        <v>43963</v>
      </c>
      <c r="H16" s="26" t="s">
        <v>150</v>
      </c>
      <c r="I16" s="112" t="s">
        <v>2710</v>
      </c>
      <c r="J16" s="47" t="s">
        <v>89</v>
      </c>
      <c r="K16" s="113" t="s">
        <v>84</v>
      </c>
      <c r="L16" s="26" t="s">
        <v>2711</v>
      </c>
      <c r="M16" s="26" t="s">
        <v>2712</v>
      </c>
      <c r="N16" s="28">
        <v>1297348074</v>
      </c>
      <c r="O16" s="28">
        <v>0</v>
      </c>
      <c r="P16" s="3">
        <v>1297348074</v>
      </c>
      <c r="Q16" s="70" t="s">
        <v>301</v>
      </c>
      <c r="R16" s="116">
        <v>812368368</v>
      </c>
      <c r="S16" s="28">
        <f>+Tabla15133[[#This Row],[VALOR TOTAL DEL CONTRATO
(en pesos)
CON IVA
(inicial)]]+Tabla15133[[#This Row],[VALOR DE LAS ADICIONES
(en pesos)
CON IVA]]</f>
        <v>2109716442</v>
      </c>
      <c r="T16" s="4">
        <v>1248</v>
      </c>
      <c r="U16" s="70" t="s">
        <v>301</v>
      </c>
      <c r="V16" s="101">
        <v>182</v>
      </c>
      <c r="W16" s="117" t="s">
        <v>302</v>
      </c>
      <c r="X16" s="117"/>
      <c r="Y16" s="71">
        <v>43978</v>
      </c>
      <c r="Z16" s="118">
        <v>45226</v>
      </c>
      <c r="AA16" s="118">
        <v>45408</v>
      </c>
      <c r="AB16" s="43" t="s">
        <v>323</v>
      </c>
      <c r="AC16" s="71">
        <v>45751</v>
      </c>
      <c r="AD16" s="71" t="s">
        <v>321</v>
      </c>
      <c r="AE16" s="30">
        <v>1</v>
      </c>
      <c r="AF16" s="30">
        <v>1</v>
      </c>
      <c r="AG16" s="31">
        <v>2065225324</v>
      </c>
      <c r="AH16" s="121"/>
      <c r="AI16" s="56" t="s">
        <v>2713</v>
      </c>
      <c r="AJ16" s="44">
        <v>2020</v>
      </c>
      <c r="AL16" s="2"/>
    </row>
    <row r="17" spans="1:38" ht="29" x14ac:dyDescent="0.35">
      <c r="A17" s="43" t="s">
        <v>306</v>
      </c>
      <c r="B17" s="26" t="s">
        <v>327</v>
      </c>
      <c r="C17" s="26" t="s">
        <v>2714</v>
      </c>
      <c r="D17" s="27">
        <v>5783</v>
      </c>
      <c r="E17" s="26" t="s">
        <v>312</v>
      </c>
      <c r="F17" s="74" t="s">
        <v>2715</v>
      </c>
      <c r="G17" s="71">
        <v>43979</v>
      </c>
      <c r="H17" s="26" t="s">
        <v>150</v>
      </c>
      <c r="I17" s="112" t="s">
        <v>2716</v>
      </c>
      <c r="J17" s="47" t="s">
        <v>89</v>
      </c>
      <c r="K17" s="113" t="s">
        <v>84</v>
      </c>
      <c r="L17" s="26" t="s">
        <v>1680</v>
      </c>
      <c r="M17" s="26" t="s">
        <v>2717</v>
      </c>
      <c r="N17" s="28">
        <v>263189916</v>
      </c>
      <c r="O17" s="28">
        <v>50006084</v>
      </c>
      <c r="P17" s="3">
        <v>313196000</v>
      </c>
      <c r="Q17" s="70" t="s">
        <v>301</v>
      </c>
      <c r="R17" s="116">
        <v>307567400</v>
      </c>
      <c r="S17" s="28">
        <f>+Tabla15133[[#This Row],[VALOR TOTAL DEL CONTRATO
(en pesos)
CON IVA
(inicial)]]+Tabla15133[[#This Row],[VALOR DE LAS ADICIONES
(en pesos)
CON IVA]]</f>
        <v>620763400</v>
      </c>
      <c r="T17" s="4">
        <v>1097</v>
      </c>
      <c r="U17" s="70" t="s">
        <v>301</v>
      </c>
      <c r="V17" s="101">
        <v>884</v>
      </c>
      <c r="W17" s="117" t="s">
        <v>302</v>
      </c>
      <c r="X17" s="117"/>
      <c r="Y17" s="71">
        <v>43980</v>
      </c>
      <c r="Z17" s="118">
        <v>45077</v>
      </c>
      <c r="AA17" s="118">
        <v>45961</v>
      </c>
      <c r="AB17" s="43" t="s">
        <v>342</v>
      </c>
      <c r="AC17" s="71"/>
      <c r="AD17" s="70" t="s">
        <v>321</v>
      </c>
      <c r="AE17" s="61">
        <v>1</v>
      </c>
      <c r="AF17" s="61">
        <v>1</v>
      </c>
      <c r="AG17" s="62">
        <v>620763386</v>
      </c>
      <c r="AH17" s="121"/>
      <c r="AI17" s="56" t="s">
        <v>2718</v>
      </c>
      <c r="AJ17" s="44">
        <v>2020</v>
      </c>
      <c r="AL17" s="2"/>
    </row>
    <row r="18" spans="1:38" ht="43.5" x14ac:dyDescent="0.35">
      <c r="A18" s="43" t="s">
        <v>306</v>
      </c>
      <c r="B18" s="26" t="s">
        <v>31</v>
      </c>
      <c r="C18" s="26" t="s">
        <v>36</v>
      </c>
      <c r="D18" s="27">
        <v>5953</v>
      </c>
      <c r="E18" s="26" t="s">
        <v>324</v>
      </c>
      <c r="F18" s="74" t="s">
        <v>2719</v>
      </c>
      <c r="G18" s="71">
        <v>44014</v>
      </c>
      <c r="H18" s="26" t="s">
        <v>150</v>
      </c>
      <c r="I18" s="112" t="s">
        <v>2720</v>
      </c>
      <c r="J18" s="47" t="s">
        <v>89</v>
      </c>
      <c r="K18" s="113" t="s">
        <v>84</v>
      </c>
      <c r="L18" s="26" t="s">
        <v>2721</v>
      </c>
      <c r="M18" s="26" t="s">
        <v>2722</v>
      </c>
      <c r="N18" s="28">
        <v>5166257406</v>
      </c>
      <c r="O18" s="28">
        <v>981588908</v>
      </c>
      <c r="P18" s="3">
        <v>6147846314</v>
      </c>
      <c r="Q18" s="70" t="s">
        <v>301</v>
      </c>
      <c r="R18" s="116">
        <v>4663509882</v>
      </c>
      <c r="S18" s="28">
        <f>+Tabla15133[[#This Row],[VALOR TOTAL DEL CONTRATO
(en pesos)
CON IVA
(inicial)]]+Tabla15133[[#This Row],[VALOR DE LAS ADICIONES
(en pesos)
CON IVA]]</f>
        <v>10811356196</v>
      </c>
      <c r="T18" s="4">
        <v>1239</v>
      </c>
      <c r="U18" s="70" t="s">
        <v>301</v>
      </c>
      <c r="V18" s="101">
        <f>+Tabla15133[[#This Row],[FECHA TERMINACIÓN DEL CONTRATO
(inicial + prórroga)]]-Tabla15133[[#This Row],[FECHA TERMINACIÓN DEL CONTRATO
(inicial)]]</f>
        <v>731</v>
      </c>
      <c r="W18" s="117" t="s">
        <v>302</v>
      </c>
      <c r="X18" s="117"/>
      <c r="Y18" s="71">
        <v>44021</v>
      </c>
      <c r="Z18" s="118">
        <v>45260</v>
      </c>
      <c r="AA18" s="118">
        <v>45991</v>
      </c>
      <c r="AB18" s="43" t="s">
        <v>342</v>
      </c>
      <c r="AC18" s="71"/>
      <c r="AD18" s="70" t="s">
        <v>321</v>
      </c>
      <c r="AE18" s="30">
        <v>1</v>
      </c>
      <c r="AF18" s="30">
        <v>0.874</v>
      </c>
      <c r="AG18" s="31">
        <v>1362747028</v>
      </c>
      <c r="AH18" s="121"/>
      <c r="AI18" s="56" t="s">
        <v>2723</v>
      </c>
      <c r="AJ18" s="44">
        <v>2020</v>
      </c>
      <c r="AL18" s="2"/>
    </row>
    <row r="19" spans="1:38" ht="58" x14ac:dyDescent="0.35">
      <c r="A19" s="43" t="s">
        <v>306</v>
      </c>
      <c r="B19" s="26" t="s">
        <v>329</v>
      </c>
      <c r="C19" s="26" t="s">
        <v>51</v>
      </c>
      <c r="D19" s="27" t="s">
        <v>2724</v>
      </c>
      <c r="E19" s="26" t="s">
        <v>312</v>
      </c>
      <c r="F19" s="74" t="s">
        <v>2725</v>
      </c>
      <c r="G19" s="71">
        <v>44070</v>
      </c>
      <c r="H19" s="26" t="s">
        <v>150</v>
      </c>
      <c r="I19" s="112" t="s">
        <v>2726</v>
      </c>
      <c r="J19" s="47" t="s">
        <v>89</v>
      </c>
      <c r="K19" s="113" t="s">
        <v>84</v>
      </c>
      <c r="L19" s="26" t="s">
        <v>2727</v>
      </c>
      <c r="M19" s="26" t="s">
        <v>2728</v>
      </c>
      <c r="N19" s="29">
        <v>4793883384.0336132</v>
      </c>
      <c r="O19" s="28">
        <v>910837842.96638656</v>
      </c>
      <c r="P19" s="29">
        <v>5704721227</v>
      </c>
      <c r="Q19" s="70" t="s">
        <v>301</v>
      </c>
      <c r="R19" s="116">
        <v>1666133280</v>
      </c>
      <c r="S19" s="28">
        <f>+Tabla15133[[#This Row],[VALOR TOTAL DEL CONTRATO
(en pesos)
CON IVA
(inicial)]]+Tabla15133[[#This Row],[VALOR DE LAS ADICIONES
(en pesos)
CON IVA]]</f>
        <v>7370854507</v>
      </c>
      <c r="T19" s="4">
        <v>1096</v>
      </c>
      <c r="U19" s="70" t="s">
        <v>301</v>
      </c>
      <c r="V19" s="101">
        <v>303</v>
      </c>
      <c r="W19" s="117" t="s">
        <v>302</v>
      </c>
      <c r="X19" s="117"/>
      <c r="Y19" s="71">
        <v>44074</v>
      </c>
      <c r="Z19" s="118">
        <v>45170</v>
      </c>
      <c r="AA19" s="118">
        <v>45473</v>
      </c>
      <c r="AB19" s="43" t="s">
        <v>323</v>
      </c>
      <c r="AC19" s="71">
        <v>45712</v>
      </c>
      <c r="AD19" s="71" t="s">
        <v>321</v>
      </c>
      <c r="AE19" s="30">
        <v>1</v>
      </c>
      <c r="AF19" s="30">
        <v>0.85240000000000005</v>
      </c>
      <c r="AG19" s="31">
        <v>6282956157.3599997</v>
      </c>
      <c r="AH19" s="121" t="s">
        <v>2729</v>
      </c>
      <c r="AI19" s="56" t="s">
        <v>2730</v>
      </c>
      <c r="AJ19" s="44">
        <v>2020</v>
      </c>
      <c r="AL19" s="2"/>
    </row>
    <row r="20" spans="1:38" ht="78" x14ac:dyDescent="0.35">
      <c r="A20" s="43" t="s">
        <v>306</v>
      </c>
      <c r="B20" s="26" t="s">
        <v>298</v>
      </c>
      <c r="C20" s="26" t="s">
        <v>2731</v>
      </c>
      <c r="D20" s="27" t="s">
        <v>2732</v>
      </c>
      <c r="E20" s="26" t="s">
        <v>324</v>
      </c>
      <c r="F20" s="74" t="s">
        <v>2733</v>
      </c>
      <c r="G20" s="71">
        <v>44083</v>
      </c>
      <c r="H20" s="26" t="s">
        <v>2734</v>
      </c>
      <c r="I20" s="112" t="s">
        <v>2735</v>
      </c>
      <c r="J20" s="47" t="s">
        <v>89</v>
      </c>
      <c r="K20" s="113" t="s">
        <v>84</v>
      </c>
      <c r="L20" s="26" t="s">
        <v>2736</v>
      </c>
      <c r="M20" s="26" t="s">
        <v>2737</v>
      </c>
      <c r="N20" s="28">
        <v>9471288150</v>
      </c>
      <c r="O20" s="28">
        <v>1799544748</v>
      </c>
      <c r="P20" s="3">
        <v>11270832898</v>
      </c>
      <c r="Q20" s="70" t="s">
        <v>301</v>
      </c>
      <c r="R20" s="116">
        <v>7901960375</v>
      </c>
      <c r="S20" s="28">
        <f>+Tabla15133[[#This Row],[VALOR TOTAL DEL CONTRATO
(en pesos)
CON IVA
(inicial)]]+Tabla15133[[#This Row],[VALOR DE LAS ADICIONES
(en pesos)
CON IVA]]</f>
        <v>19172793273</v>
      </c>
      <c r="T20" s="4">
        <v>1094</v>
      </c>
      <c r="U20" s="70" t="s">
        <v>301</v>
      </c>
      <c r="V20" s="101">
        <v>427</v>
      </c>
      <c r="W20" s="117" t="s">
        <v>302</v>
      </c>
      <c r="X20" s="117"/>
      <c r="Y20" s="71">
        <v>44105</v>
      </c>
      <c r="Z20" s="118">
        <v>45199</v>
      </c>
      <c r="AA20" s="118">
        <v>45626</v>
      </c>
      <c r="AB20" s="43" t="s">
        <v>323</v>
      </c>
      <c r="AC20" s="71">
        <v>46020</v>
      </c>
      <c r="AD20" s="70" t="s">
        <v>321</v>
      </c>
      <c r="AE20" s="30">
        <v>1</v>
      </c>
      <c r="AF20" s="30">
        <v>0.96</v>
      </c>
      <c r="AG20" s="31">
        <v>18370908241</v>
      </c>
      <c r="AH20" s="121" t="s">
        <v>2738</v>
      </c>
      <c r="AI20" s="56" t="s">
        <v>2739</v>
      </c>
      <c r="AJ20" s="44">
        <v>2020</v>
      </c>
      <c r="AL20" s="2"/>
    </row>
    <row r="21" spans="1:38" ht="43.5" x14ac:dyDescent="0.35">
      <c r="A21" s="43" t="s">
        <v>306</v>
      </c>
      <c r="B21" s="26" t="s">
        <v>31</v>
      </c>
      <c r="C21" s="26" t="s">
        <v>36</v>
      </c>
      <c r="D21" s="27">
        <v>4431</v>
      </c>
      <c r="E21" s="26" t="s">
        <v>312</v>
      </c>
      <c r="F21" s="74" t="s">
        <v>2740</v>
      </c>
      <c r="G21" s="71">
        <v>44098</v>
      </c>
      <c r="H21" s="26" t="s">
        <v>150</v>
      </c>
      <c r="I21" s="112" t="s">
        <v>2741</v>
      </c>
      <c r="J21" s="47" t="s">
        <v>89</v>
      </c>
      <c r="K21" s="113" t="s">
        <v>84</v>
      </c>
      <c r="L21" s="26" t="s">
        <v>2742</v>
      </c>
      <c r="M21" s="26" t="s">
        <v>2743</v>
      </c>
      <c r="N21" s="28">
        <v>402357600</v>
      </c>
      <c r="O21" s="28">
        <v>76447944</v>
      </c>
      <c r="P21" s="3">
        <v>478805544</v>
      </c>
      <c r="Q21" s="70" t="s">
        <v>301</v>
      </c>
      <c r="R21" s="116">
        <v>478805544</v>
      </c>
      <c r="S21" s="28">
        <f>+Tabla15133[[#This Row],[VALOR TOTAL DEL CONTRATO
(en pesos)
CON IVA
(inicial)]]+Tabla15133[[#This Row],[VALOR DE LAS ADICIONES
(en pesos)
CON IVA]]</f>
        <v>957611088</v>
      </c>
      <c r="T21" s="4">
        <v>730</v>
      </c>
      <c r="U21" s="70" t="s">
        <v>301</v>
      </c>
      <c r="V21" s="101">
        <v>731</v>
      </c>
      <c r="W21" s="117" t="s">
        <v>302</v>
      </c>
      <c r="X21" s="117"/>
      <c r="Y21" s="71">
        <v>44102</v>
      </c>
      <c r="Z21" s="118">
        <v>44832</v>
      </c>
      <c r="AA21" s="118">
        <v>45563</v>
      </c>
      <c r="AB21" s="43" t="s">
        <v>323</v>
      </c>
      <c r="AC21" s="71">
        <v>45971</v>
      </c>
      <c r="AD21" s="71" t="s">
        <v>321</v>
      </c>
      <c r="AE21" s="30">
        <v>1</v>
      </c>
      <c r="AF21" s="30">
        <v>1</v>
      </c>
      <c r="AG21" s="31">
        <v>957611088</v>
      </c>
      <c r="AH21" s="121"/>
      <c r="AI21" s="56" t="s">
        <v>2744</v>
      </c>
      <c r="AJ21" s="44">
        <v>2020</v>
      </c>
      <c r="AL21" s="2"/>
    </row>
    <row r="22" spans="1:38" ht="117" x14ac:dyDescent="0.35">
      <c r="A22" s="43" t="s">
        <v>306</v>
      </c>
      <c r="B22" s="26" t="s">
        <v>327</v>
      </c>
      <c r="C22" s="26" t="s">
        <v>45</v>
      </c>
      <c r="D22" s="27">
        <v>4299</v>
      </c>
      <c r="E22" s="111" t="s">
        <v>300</v>
      </c>
      <c r="F22" s="74" t="s">
        <v>2745</v>
      </c>
      <c r="G22" s="71">
        <v>43906</v>
      </c>
      <c r="H22" s="2" t="s">
        <v>106</v>
      </c>
      <c r="I22" s="112" t="s">
        <v>2746</v>
      </c>
      <c r="J22" s="47" t="s">
        <v>89</v>
      </c>
      <c r="K22" s="113" t="s">
        <v>84</v>
      </c>
      <c r="L22" s="26" t="s">
        <v>2747</v>
      </c>
      <c r="M22" s="26" t="s">
        <v>2748</v>
      </c>
      <c r="N22" s="28">
        <v>0</v>
      </c>
      <c r="O22" s="28">
        <v>0</v>
      </c>
      <c r="P22" s="3">
        <v>0</v>
      </c>
      <c r="Q22" s="70" t="s">
        <v>302</v>
      </c>
      <c r="R22" s="116"/>
      <c r="S22" s="28">
        <f>+Tabla15133[[#This Row],[VALOR TOTAL DEL CONTRATO
(en pesos)
CON IVA
(inicial)]]+Tabla15133[[#This Row],[VALOR DE LAS ADICIONES
(en pesos)
CON IVA]]</f>
        <v>0</v>
      </c>
      <c r="T22" s="4">
        <v>1829</v>
      </c>
      <c r="U22" s="70" t="s">
        <v>301</v>
      </c>
      <c r="V22" s="101">
        <f>+Tabla15133[[#This Row],[FECHA TERMINACIÓN DEL CONTRATO
(inicial + prórroga)]]-Tabla15133[[#This Row],[FECHA TERMINACIÓN DEL CONTRATO
(inicial)]]</f>
        <v>1826</v>
      </c>
      <c r="W22" s="70" t="s">
        <v>302</v>
      </c>
      <c r="X22" s="70"/>
      <c r="Y22" s="71">
        <v>43906</v>
      </c>
      <c r="Z22" s="118">
        <v>45732</v>
      </c>
      <c r="AA22" s="118">
        <v>47558</v>
      </c>
      <c r="AB22" s="43" t="s">
        <v>303</v>
      </c>
      <c r="AC22" s="71"/>
      <c r="AD22" s="70"/>
      <c r="AE22" s="30">
        <v>0.97</v>
      </c>
      <c r="AF22" s="30">
        <v>0</v>
      </c>
      <c r="AG22" s="31">
        <v>0</v>
      </c>
      <c r="AH22" s="121" t="s">
        <v>2749</v>
      </c>
      <c r="AI22" s="56" t="s">
        <v>2644</v>
      </c>
      <c r="AJ22" s="44">
        <v>2020</v>
      </c>
      <c r="AL22" s="2"/>
    </row>
    <row r="23" spans="1:38" ht="43.5" x14ac:dyDescent="0.35">
      <c r="A23" s="43" t="s">
        <v>306</v>
      </c>
      <c r="B23" s="26" t="s">
        <v>327</v>
      </c>
      <c r="C23" s="26" t="s">
        <v>45</v>
      </c>
      <c r="D23" s="27">
        <v>6145</v>
      </c>
      <c r="E23" s="111" t="s">
        <v>300</v>
      </c>
      <c r="F23" s="74" t="s">
        <v>2750</v>
      </c>
      <c r="G23" s="71">
        <v>44239</v>
      </c>
      <c r="H23" s="26" t="s">
        <v>150</v>
      </c>
      <c r="I23" s="112" t="s">
        <v>2751</v>
      </c>
      <c r="J23" s="47" t="s">
        <v>89</v>
      </c>
      <c r="K23" s="113" t="s">
        <v>84</v>
      </c>
      <c r="L23" s="26" t="s">
        <v>1447</v>
      </c>
      <c r="M23" s="26" t="s">
        <v>2752</v>
      </c>
      <c r="N23" s="29">
        <v>301539323</v>
      </c>
      <c r="O23" s="28">
        <v>57292471</v>
      </c>
      <c r="P23" s="29">
        <v>358831794</v>
      </c>
      <c r="Q23" s="70" t="s">
        <v>301</v>
      </c>
      <c r="R23" s="116">
        <v>434971383</v>
      </c>
      <c r="S23" s="28">
        <f>+Tabla15133[[#This Row],[VALOR TOTAL DEL CONTRATO
(en pesos)
CON IVA
(inicial)]]+Tabla15133[[#This Row],[VALOR DE LAS ADICIONES
(en pesos)
CON IVA]]</f>
        <v>793803177</v>
      </c>
      <c r="T23" s="4">
        <v>718</v>
      </c>
      <c r="U23" s="70" t="s">
        <v>301</v>
      </c>
      <c r="V23" s="101">
        <v>731</v>
      </c>
      <c r="W23" s="117" t="s">
        <v>302</v>
      </c>
      <c r="X23" s="117"/>
      <c r="Y23" s="71">
        <v>44239</v>
      </c>
      <c r="Z23" s="118">
        <v>44957</v>
      </c>
      <c r="AA23" s="118">
        <v>45688</v>
      </c>
      <c r="AB23" s="43" t="s">
        <v>323</v>
      </c>
      <c r="AC23" s="71">
        <v>45787</v>
      </c>
      <c r="AD23" s="70" t="s">
        <v>321</v>
      </c>
      <c r="AE23" s="30">
        <v>0.98</v>
      </c>
      <c r="AF23" s="30">
        <v>0.95</v>
      </c>
      <c r="AG23" s="31">
        <v>678841473</v>
      </c>
      <c r="AH23" s="121"/>
      <c r="AI23" s="56" t="s">
        <v>2753</v>
      </c>
      <c r="AJ23" s="44">
        <v>2021</v>
      </c>
      <c r="AL23" s="2"/>
    </row>
    <row r="24" spans="1:38" ht="91" x14ac:dyDescent="0.35">
      <c r="A24" s="43" t="s">
        <v>306</v>
      </c>
      <c r="B24" s="26" t="s">
        <v>11</v>
      </c>
      <c r="C24" s="26" t="s">
        <v>2643</v>
      </c>
      <c r="D24" s="27" t="s">
        <v>2754</v>
      </c>
      <c r="E24" s="111" t="s">
        <v>300</v>
      </c>
      <c r="F24" s="74" t="s">
        <v>2755</v>
      </c>
      <c r="G24" s="71">
        <v>44250</v>
      </c>
      <c r="H24" s="2" t="s">
        <v>88</v>
      </c>
      <c r="I24" s="112" t="s">
        <v>2756</v>
      </c>
      <c r="J24" s="47" t="s">
        <v>89</v>
      </c>
      <c r="K24" s="113" t="s">
        <v>84</v>
      </c>
      <c r="L24" s="26" t="s">
        <v>2757</v>
      </c>
      <c r="M24" s="26" t="s">
        <v>2758</v>
      </c>
      <c r="N24" s="29">
        <v>26360854</v>
      </c>
      <c r="O24" s="28">
        <v>0</v>
      </c>
      <c r="P24" s="29">
        <v>26360854</v>
      </c>
      <c r="Q24" s="70" t="s">
        <v>301</v>
      </c>
      <c r="R24" s="116">
        <v>65397740</v>
      </c>
      <c r="S24" s="28">
        <f>+Tabla15133[[#This Row],[VALOR TOTAL DEL CONTRATO
(en pesos)
CON IVA
(inicial)]]+Tabla15133[[#This Row],[VALOR DE LAS ADICIONES
(en pesos)
CON IVA]]</f>
        <v>91758594</v>
      </c>
      <c r="T24" s="4">
        <v>311</v>
      </c>
      <c r="U24" s="70" t="s">
        <v>301</v>
      </c>
      <c r="V24" s="101">
        <f>+Tabla15133[[#This Row],[FECHA TERMINACIÓN DEL CONTRATO
(inicial + prórroga)]]-Tabla15133[[#This Row],[FECHA TERMINACIÓN DEL CONTRATO
(inicial)]]</f>
        <v>1826</v>
      </c>
      <c r="W24" s="117" t="s">
        <v>302</v>
      </c>
      <c r="X24" s="117"/>
      <c r="Y24" s="71">
        <v>44250</v>
      </c>
      <c r="Z24" s="118">
        <v>44561</v>
      </c>
      <c r="AA24" s="118">
        <v>46387</v>
      </c>
      <c r="AB24" s="43" t="s">
        <v>303</v>
      </c>
      <c r="AC24" s="71"/>
      <c r="AD24" s="70"/>
      <c r="AE24" s="30">
        <v>1</v>
      </c>
      <c r="AF24" s="30">
        <v>1</v>
      </c>
      <c r="AG24" s="31">
        <v>47487708</v>
      </c>
      <c r="AH24" s="121" t="s">
        <v>2759</v>
      </c>
      <c r="AI24" s="56" t="s">
        <v>2644</v>
      </c>
      <c r="AJ24" s="44">
        <v>2021</v>
      </c>
      <c r="AL24" s="2"/>
    </row>
    <row r="25" spans="1:38" ht="43.5" x14ac:dyDescent="0.35">
      <c r="A25" s="43" t="s">
        <v>306</v>
      </c>
      <c r="B25" s="26" t="s">
        <v>31</v>
      </c>
      <c r="C25" s="26" t="s">
        <v>36</v>
      </c>
      <c r="D25" s="27">
        <v>5717</v>
      </c>
      <c r="E25" s="26" t="s">
        <v>324</v>
      </c>
      <c r="F25" s="74" t="s">
        <v>2760</v>
      </c>
      <c r="G25" s="71">
        <v>44329</v>
      </c>
      <c r="H25" s="26" t="s">
        <v>150</v>
      </c>
      <c r="I25" s="112" t="s">
        <v>2761</v>
      </c>
      <c r="J25" s="47" t="s">
        <v>89</v>
      </c>
      <c r="K25" s="113" t="s">
        <v>84</v>
      </c>
      <c r="L25" s="26" t="s">
        <v>2762</v>
      </c>
      <c r="M25" s="26" t="s">
        <v>2763</v>
      </c>
      <c r="N25" s="28">
        <v>20222907556.299999</v>
      </c>
      <c r="O25" s="28">
        <v>3842352435.6999998</v>
      </c>
      <c r="P25" s="3">
        <v>24065259992</v>
      </c>
      <c r="Q25" s="70" t="s">
        <v>301</v>
      </c>
      <c r="R25" s="116">
        <v>5932679927</v>
      </c>
      <c r="S25" s="28">
        <f>+Tabla15133[[#This Row],[VALOR TOTAL DEL CONTRATO
(en pesos)
CON IVA
(inicial)]]+Tabla15133[[#This Row],[VALOR DE LAS ADICIONES
(en pesos)
CON IVA]]</f>
        <v>29997939919</v>
      </c>
      <c r="T25" s="4">
        <v>1982</v>
      </c>
      <c r="U25" s="70" t="s">
        <v>302</v>
      </c>
      <c r="V25" s="101"/>
      <c r="W25" s="70" t="s">
        <v>302</v>
      </c>
      <c r="X25" s="70"/>
      <c r="Y25" s="71">
        <v>44344</v>
      </c>
      <c r="Z25" s="118">
        <v>46326</v>
      </c>
      <c r="AA25" s="118">
        <v>46326</v>
      </c>
      <c r="AB25" s="43" t="s">
        <v>303</v>
      </c>
      <c r="AC25" s="71"/>
      <c r="AD25" s="70"/>
      <c r="AE25" s="30">
        <v>0.83079999999999998</v>
      </c>
      <c r="AF25" s="30">
        <v>0.6663</v>
      </c>
      <c r="AG25" s="31">
        <v>19254661687</v>
      </c>
      <c r="AH25" s="121"/>
      <c r="AI25" s="56" t="s">
        <v>2764</v>
      </c>
      <c r="AJ25" s="44">
        <v>2021</v>
      </c>
      <c r="AL25" s="2"/>
    </row>
    <row r="26" spans="1:38" ht="43.5" x14ac:dyDescent="0.35">
      <c r="A26" s="43" t="s">
        <v>306</v>
      </c>
      <c r="B26" s="26" t="s">
        <v>31</v>
      </c>
      <c r="C26" s="26" t="s">
        <v>36</v>
      </c>
      <c r="D26" s="27">
        <v>6473</v>
      </c>
      <c r="E26" s="26" t="s">
        <v>324</v>
      </c>
      <c r="F26" s="74" t="s">
        <v>2765</v>
      </c>
      <c r="G26" s="71">
        <v>44340</v>
      </c>
      <c r="H26" s="26" t="s">
        <v>150</v>
      </c>
      <c r="I26" s="112" t="s">
        <v>2766</v>
      </c>
      <c r="J26" s="47" t="s">
        <v>89</v>
      </c>
      <c r="K26" s="113" t="s">
        <v>84</v>
      </c>
      <c r="L26" s="26" t="s">
        <v>2762</v>
      </c>
      <c r="M26" s="26" t="s">
        <v>2763</v>
      </c>
      <c r="N26" s="28">
        <v>3354812531</v>
      </c>
      <c r="O26" s="28">
        <v>637414380.88999999</v>
      </c>
      <c r="P26" s="3">
        <v>3992226912</v>
      </c>
      <c r="Q26" s="70" t="s">
        <v>301</v>
      </c>
      <c r="R26" s="116">
        <v>1994695384</v>
      </c>
      <c r="S26" s="28">
        <f>+Tabla15133[[#This Row],[VALOR TOTAL DEL CONTRATO
(en pesos)
CON IVA
(inicial)]]+Tabla15133[[#This Row],[VALOR DE LAS ADICIONES
(en pesos)
CON IVA]]</f>
        <v>5986922296</v>
      </c>
      <c r="T26" s="4">
        <v>1156</v>
      </c>
      <c r="U26" s="70" t="s">
        <v>301</v>
      </c>
      <c r="V26" s="101">
        <f>+Tabla15133[[#This Row],[FECHA TERMINACIÓN DEL CONTRATO
(inicial + prórroga)]]-Tabla15133[[#This Row],[FECHA TERMINACIÓN DEL CONTRATO
(inicial)]]</f>
        <v>635</v>
      </c>
      <c r="W26" s="117" t="s">
        <v>302</v>
      </c>
      <c r="X26" s="117"/>
      <c r="Y26" s="71">
        <v>44351</v>
      </c>
      <c r="Z26" s="118">
        <v>45507</v>
      </c>
      <c r="AA26" s="118">
        <v>46142</v>
      </c>
      <c r="AB26" s="43" t="s">
        <v>303</v>
      </c>
      <c r="AC26" s="71"/>
      <c r="AD26" s="70"/>
      <c r="AE26" s="30">
        <v>0.92859999999999998</v>
      </c>
      <c r="AF26" s="30">
        <v>0.80289999999999995</v>
      </c>
      <c r="AG26" s="31">
        <v>3767831287</v>
      </c>
      <c r="AH26" s="121" t="s">
        <v>2767</v>
      </c>
      <c r="AI26" s="56" t="s">
        <v>2768</v>
      </c>
      <c r="AJ26" s="44">
        <v>2021</v>
      </c>
      <c r="AL26" s="2"/>
    </row>
    <row r="27" spans="1:38" ht="52" x14ac:dyDescent="0.35">
      <c r="A27" s="43" t="s">
        <v>306</v>
      </c>
      <c r="B27" s="26" t="s">
        <v>31</v>
      </c>
      <c r="C27" s="26" t="s">
        <v>36</v>
      </c>
      <c r="D27" s="27" t="s">
        <v>2769</v>
      </c>
      <c r="E27" s="26" t="s">
        <v>324</v>
      </c>
      <c r="F27" s="74" t="s">
        <v>2770</v>
      </c>
      <c r="G27" s="71">
        <v>44404</v>
      </c>
      <c r="H27" s="26" t="s">
        <v>150</v>
      </c>
      <c r="I27" s="112" t="s">
        <v>2771</v>
      </c>
      <c r="J27" s="47" t="s">
        <v>89</v>
      </c>
      <c r="K27" s="113" t="s">
        <v>84</v>
      </c>
      <c r="L27" s="26" t="s">
        <v>2772</v>
      </c>
      <c r="M27" s="26" t="s">
        <v>2773</v>
      </c>
      <c r="N27" s="28">
        <v>2142720000</v>
      </c>
      <c r="O27" s="28">
        <v>407116800</v>
      </c>
      <c r="P27" s="3">
        <v>2549836800</v>
      </c>
      <c r="Q27" s="70" t="s">
        <v>301</v>
      </c>
      <c r="R27" s="116">
        <v>525270977</v>
      </c>
      <c r="S27" s="28">
        <f>+Tabla15133[[#This Row],[VALOR TOTAL DEL CONTRATO
(en pesos)
CON IVA
(inicial)]]+Tabla15133[[#This Row],[VALOR DE LAS ADICIONES
(en pesos)
CON IVA]]</f>
        <v>3075107777</v>
      </c>
      <c r="T27" s="4">
        <v>1126</v>
      </c>
      <c r="U27" s="70" t="s">
        <v>301</v>
      </c>
      <c r="V27" s="101">
        <v>181</v>
      </c>
      <c r="W27" s="117" t="s">
        <v>302</v>
      </c>
      <c r="X27" s="117"/>
      <c r="Y27" s="71">
        <v>44410</v>
      </c>
      <c r="Z27" s="118">
        <v>45536</v>
      </c>
      <c r="AA27" s="118">
        <v>45717</v>
      </c>
      <c r="AB27" s="43" t="s">
        <v>323</v>
      </c>
      <c r="AC27" s="71">
        <v>45870</v>
      </c>
      <c r="AD27" s="70" t="s">
        <v>321</v>
      </c>
      <c r="AE27" s="30">
        <v>1</v>
      </c>
      <c r="AF27" s="30">
        <v>0.99</v>
      </c>
      <c r="AG27" s="31">
        <v>3072982365</v>
      </c>
      <c r="AH27" s="121" t="s">
        <v>2774</v>
      </c>
      <c r="AI27" s="56" t="s">
        <v>2775</v>
      </c>
      <c r="AJ27" s="44">
        <v>2021</v>
      </c>
      <c r="AL27" s="2"/>
    </row>
    <row r="28" spans="1:38" ht="78" x14ac:dyDescent="0.35">
      <c r="A28" s="43" t="s">
        <v>306</v>
      </c>
      <c r="B28" s="26" t="s">
        <v>327</v>
      </c>
      <c r="C28" s="26" t="s">
        <v>43</v>
      </c>
      <c r="D28" s="27">
        <v>6267</v>
      </c>
      <c r="E28" s="111" t="s">
        <v>300</v>
      </c>
      <c r="F28" s="74" t="s">
        <v>2776</v>
      </c>
      <c r="G28" s="71">
        <v>44421</v>
      </c>
      <c r="H28" s="26" t="s">
        <v>150</v>
      </c>
      <c r="I28" s="112" t="s">
        <v>2777</v>
      </c>
      <c r="J28" s="47" t="s">
        <v>89</v>
      </c>
      <c r="K28" s="113" t="s">
        <v>84</v>
      </c>
      <c r="L28" s="26" t="s">
        <v>1585</v>
      </c>
      <c r="M28" s="26" t="s">
        <v>330</v>
      </c>
      <c r="N28" s="28">
        <v>498241644</v>
      </c>
      <c r="O28" s="28">
        <v>94665912</v>
      </c>
      <c r="P28" s="3">
        <v>592907556</v>
      </c>
      <c r="Q28" s="70" t="s">
        <v>301</v>
      </c>
      <c r="R28" s="116">
        <v>540090324</v>
      </c>
      <c r="S28" s="28">
        <f>+Tabla15133[[#This Row],[VALOR TOTAL DEL CONTRATO
(en pesos)
CON IVA
(inicial)]]+Tabla15133[[#This Row],[VALOR DE LAS ADICIONES
(en pesos)
CON IVA]]</f>
        <v>1132997880</v>
      </c>
      <c r="T28" s="4">
        <v>1095</v>
      </c>
      <c r="U28" s="70" t="s">
        <v>301</v>
      </c>
      <c r="V28" s="101">
        <v>138</v>
      </c>
      <c r="W28" s="117" t="s">
        <v>302</v>
      </c>
      <c r="X28" s="117"/>
      <c r="Y28" s="71">
        <v>44423</v>
      </c>
      <c r="Z28" s="118">
        <v>45519</v>
      </c>
      <c r="AA28" s="118">
        <v>45657</v>
      </c>
      <c r="AB28" s="43" t="s">
        <v>323</v>
      </c>
      <c r="AC28" s="71">
        <v>45703</v>
      </c>
      <c r="AD28" s="70" t="s">
        <v>321</v>
      </c>
      <c r="AE28" s="30">
        <v>1</v>
      </c>
      <c r="AF28" s="55">
        <v>0.94</v>
      </c>
      <c r="AG28" s="31">
        <v>1062059993</v>
      </c>
      <c r="AH28" s="121" t="s">
        <v>2778</v>
      </c>
      <c r="AI28" s="56" t="s">
        <v>2779</v>
      </c>
      <c r="AJ28" s="44">
        <v>2021</v>
      </c>
      <c r="AL28" s="2"/>
    </row>
    <row r="29" spans="1:38" ht="58" x14ac:dyDescent="0.35">
      <c r="A29" s="43" t="s">
        <v>306</v>
      </c>
      <c r="B29" s="26" t="s">
        <v>31</v>
      </c>
      <c r="C29" s="26" t="s">
        <v>37</v>
      </c>
      <c r="D29" s="27">
        <v>6541</v>
      </c>
      <c r="E29" s="26" t="s">
        <v>324</v>
      </c>
      <c r="F29" s="74" t="s">
        <v>2780</v>
      </c>
      <c r="G29" s="71">
        <v>44476</v>
      </c>
      <c r="H29" s="26" t="s">
        <v>150</v>
      </c>
      <c r="I29" s="112" t="s">
        <v>2781</v>
      </c>
      <c r="J29" s="47" t="s">
        <v>89</v>
      </c>
      <c r="K29" s="113" t="s">
        <v>84</v>
      </c>
      <c r="L29" s="26" t="s">
        <v>2782</v>
      </c>
      <c r="M29" s="26" t="s">
        <v>2783</v>
      </c>
      <c r="N29" s="28">
        <v>1194360000</v>
      </c>
      <c r="O29" s="28">
        <v>226928400</v>
      </c>
      <c r="P29" s="3">
        <v>1421288400</v>
      </c>
      <c r="Q29" s="70" t="s">
        <v>301</v>
      </c>
      <c r="R29" s="116">
        <v>1421288400</v>
      </c>
      <c r="S29" s="28">
        <f>+Tabla15133[[#This Row],[VALOR TOTAL DEL CONTRATO
(en pesos)
CON IVA
(inicial)]]+Tabla15133[[#This Row],[VALOR DE LAS ADICIONES
(en pesos)
CON IVA]]</f>
        <v>2842576800</v>
      </c>
      <c r="T29" s="4">
        <v>730</v>
      </c>
      <c r="U29" s="70" t="s">
        <v>301</v>
      </c>
      <c r="V29" s="101">
        <v>731</v>
      </c>
      <c r="W29" s="117" t="s">
        <v>302</v>
      </c>
      <c r="X29" s="117"/>
      <c r="Y29" s="71">
        <v>44481</v>
      </c>
      <c r="Z29" s="118">
        <v>45211</v>
      </c>
      <c r="AA29" s="118">
        <v>45942</v>
      </c>
      <c r="AB29" s="43" t="s">
        <v>323</v>
      </c>
      <c r="AC29" s="71">
        <v>45982</v>
      </c>
      <c r="AD29" s="70" t="s">
        <v>321</v>
      </c>
      <c r="AE29" s="30">
        <v>1</v>
      </c>
      <c r="AF29" s="30">
        <f>+Tabla15133[[#This Row],[VALOR PAGADO (en pesos)
A 31 DICIEMBRE 2025]]/Tabla15133[[#This Row],[VALOR TOTAL CONTRATO CON IVA (VALOR INICIAL + ADICIONES) ]]</f>
        <v>0.95006132238186136</v>
      </c>
      <c r="AG29" s="31">
        <v>2700622273.5799999</v>
      </c>
      <c r="AH29" s="121"/>
      <c r="AI29" s="56" t="s">
        <v>2784</v>
      </c>
      <c r="AJ29" s="44">
        <v>2021</v>
      </c>
      <c r="AL29" s="2"/>
    </row>
    <row r="30" spans="1:38" ht="43.5" x14ac:dyDescent="0.35">
      <c r="A30" s="43" t="s">
        <v>306</v>
      </c>
      <c r="B30" s="26" t="s">
        <v>31</v>
      </c>
      <c r="C30" s="26" t="s">
        <v>36</v>
      </c>
      <c r="D30" s="27">
        <v>4929</v>
      </c>
      <c r="E30" s="111" t="s">
        <v>300</v>
      </c>
      <c r="F30" s="74" t="s">
        <v>2785</v>
      </c>
      <c r="G30" s="71">
        <v>44494</v>
      </c>
      <c r="H30" s="26" t="s">
        <v>142</v>
      </c>
      <c r="I30" s="112" t="s">
        <v>2786</v>
      </c>
      <c r="J30" s="47" t="s">
        <v>89</v>
      </c>
      <c r="K30" s="113" t="s">
        <v>84</v>
      </c>
      <c r="L30" s="26" t="s">
        <v>1483</v>
      </c>
      <c r="M30" s="26" t="s">
        <v>2787</v>
      </c>
      <c r="N30" s="28">
        <v>204232448</v>
      </c>
      <c r="O30" s="28">
        <v>38804165</v>
      </c>
      <c r="P30" s="3">
        <v>243036613</v>
      </c>
      <c r="Q30" s="70" t="s">
        <v>302</v>
      </c>
      <c r="R30" s="116"/>
      <c r="S30" s="28">
        <f>+Tabla15133[[#This Row],[VALOR TOTAL DEL CONTRATO
(en pesos)
CON IVA
(inicial)]]+Tabla15133[[#This Row],[VALOR DE LAS ADICIONES
(en pesos)
CON IVA]]</f>
        <v>243036613</v>
      </c>
      <c r="T30" s="4">
        <v>1188</v>
      </c>
      <c r="U30" s="70" t="s">
        <v>302</v>
      </c>
      <c r="V30" s="101"/>
      <c r="W30" s="70" t="s">
        <v>302</v>
      </c>
      <c r="X30" s="70"/>
      <c r="Y30" s="71">
        <v>44516</v>
      </c>
      <c r="Z30" s="118">
        <v>45704</v>
      </c>
      <c r="AA30" s="118">
        <v>45704</v>
      </c>
      <c r="AB30" s="43" t="s">
        <v>323</v>
      </c>
      <c r="AC30" s="71">
        <v>45884</v>
      </c>
      <c r="AD30" s="70" t="s">
        <v>321</v>
      </c>
      <c r="AE30" s="30">
        <v>0.97</v>
      </c>
      <c r="AF30" s="30">
        <v>0.99</v>
      </c>
      <c r="AG30" s="31">
        <v>240836244.34999999</v>
      </c>
      <c r="AH30" s="121"/>
      <c r="AI30" s="56" t="s">
        <v>2788</v>
      </c>
      <c r="AJ30" s="44">
        <v>2021</v>
      </c>
      <c r="AL30" s="2"/>
    </row>
    <row r="31" spans="1:38" ht="29" x14ac:dyDescent="0.35">
      <c r="A31" s="43" t="s">
        <v>306</v>
      </c>
      <c r="B31" s="26" t="s">
        <v>327</v>
      </c>
      <c r="C31" s="26" t="s">
        <v>45</v>
      </c>
      <c r="D31" s="27">
        <v>5929</v>
      </c>
      <c r="E31" s="111" t="s">
        <v>300</v>
      </c>
      <c r="F31" s="74" t="s">
        <v>2789</v>
      </c>
      <c r="G31" s="71">
        <v>44475</v>
      </c>
      <c r="H31" s="26" t="s">
        <v>150</v>
      </c>
      <c r="I31" s="112" t="s">
        <v>2790</v>
      </c>
      <c r="J31" s="47" t="s">
        <v>89</v>
      </c>
      <c r="K31" s="113" t="s">
        <v>84</v>
      </c>
      <c r="L31" s="26" t="s">
        <v>2791</v>
      </c>
      <c r="M31" s="26" t="s">
        <v>2792</v>
      </c>
      <c r="N31" s="29">
        <v>547300910</v>
      </c>
      <c r="O31" s="28">
        <v>103987173</v>
      </c>
      <c r="P31" s="29">
        <v>651288083</v>
      </c>
      <c r="Q31" s="70" t="s">
        <v>301</v>
      </c>
      <c r="R31" s="116">
        <v>413927778</v>
      </c>
      <c r="S31" s="28">
        <f>+Tabla15133[[#This Row],[VALOR TOTAL DEL CONTRATO
(en pesos)
CON IVA
(inicial)]]+Tabla15133[[#This Row],[VALOR DE LAS ADICIONES
(en pesos)
CON IVA]]</f>
        <v>1065215861</v>
      </c>
      <c r="T31" s="4">
        <v>1096</v>
      </c>
      <c r="U31" s="70" t="s">
        <v>302</v>
      </c>
      <c r="V31" s="101"/>
      <c r="W31" s="70" t="s">
        <v>302</v>
      </c>
      <c r="X31" s="70"/>
      <c r="Y31" s="71">
        <v>44475</v>
      </c>
      <c r="Z31" s="118">
        <v>45571</v>
      </c>
      <c r="AA31" s="118">
        <v>45571</v>
      </c>
      <c r="AB31" s="43" t="s">
        <v>323</v>
      </c>
      <c r="AC31" s="71">
        <v>45678</v>
      </c>
      <c r="AD31" s="71" t="s">
        <v>321</v>
      </c>
      <c r="AE31" s="30">
        <v>1</v>
      </c>
      <c r="AF31" s="30">
        <v>0.98</v>
      </c>
      <c r="AG31" s="31">
        <v>1040908524</v>
      </c>
      <c r="AH31" s="121"/>
      <c r="AI31" s="56" t="s">
        <v>2793</v>
      </c>
      <c r="AJ31" s="44">
        <v>2021</v>
      </c>
      <c r="AL31" s="2"/>
    </row>
    <row r="32" spans="1:38" ht="29" x14ac:dyDescent="0.35">
      <c r="A32" s="43" t="s">
        <v>306</v>
      </c>
      <c r="B32" s="26" t="s">
        <v>327</v>
      </c>
      <c r="C32" s="26" t="s">
        <v>45</v>
      </c>
      <c r="D32" s="27">
        <v>6702</v>
      </c>
      <c r="E32" s="111" t="s">
        <v>300</v>
      </c>
      <c r="F32" s="74" t="s">
        <v>2794</v>
      </c>
      <c r="G32" s="71">
        <v>44529</v>
      </c>
      <c r="H32" s="26" t="s">
        <v>150</v>
      </c>
      <c r="I32" s="112" t="s">
        <v>2790</v>
      </c>
      <c r="J32" s="47" t="s">
        <v>89</v>
      </c>
      <c r="K32" s="113" t="s">
        <v>84</v>
      </c>
      <c r="L32" s="26" t="s">
        <v>2795</v>
      </c>
      <c r="M32" s="26" t="s">
        <v>2796</v>
      </c>
      <c r="N32" s="29">
        <v>103070999</v>
      </c>
      <c r="O32" s="28">
        <v>19583490</v>
      </c>
      <c r="P32" s="29">
        <v>122654489</v>
      </c>
      <c r="Q32" s="70" t="s">
        <v>301</v>
      </c>
      <c r="R32" s="116">
        <v>127392000</v>
      </c>
      <c r="S32" s="28">
        <f>+Tabla15133[[#This Row],[VALOR TOTAL DEL CONTRATO
(en pesos)
CON IVA
(inicial)]]+Tabla15133[[#This Row],[VALOR DE LAS ADICIONES
(en pesos)
CON IVA]]</f>
        <v>250046489</v>
      </c>
      <c r="T32" s="4">
        <v>1096</v>
      </c>
      <c r="U32" s="70" t="s">
        <v>301</v>
      </c>
      <c r="V32" s="101">
        <f>+Tabla15133[[#This Row],[FECHA TERMINACIÓN DEL CONTRATO
(inicial + prórroga)]]-Tabla15133[[#This Row],[FECHA TERMINACIÓN DEL CONTRATO
(inicial)]]</f>
        <v>1067</v>
      </c>
      <c r="W32" s="117" t="s">
        <v>302</v>
      </c>
      <c r="X32" s="117"/>
      <c r="Y32" s="71">
        <v>44529</v>
      </c>
      <c r="Z32" s="118">
        <v>45625</v>
      </c>
      <c r="AA32" s="118">
        <v>46692</v>
      </c>
      <c r="AB32" s="43" t="s">
        <v>303</v>
      </c>
      <c r="AC32" s="71"/>
      <c r="AD32" s="70"/>
      <c r="AE32" s="61">
        <v>0.66659999999999997</v>
      </c>
      <c r="AF32" s="61">
        <v>0.56999999999999995</v>
      </c>
      <c r="AG32" s="62">
        <v>141887401.13</v>
      </c>
      <c r="AH32" s="121" t="s">
        <v>2797</v>
      </c>
      <c r="AI32" s="56" t="s">
        <v>2798</v>
      </c>
      <c r="AJ32" s="44">
        <v>2021</v>
      </c>
      <c r="AL32" s="2"/>
    </row>
    <row r="33" spans="1:38" ht="52" x14ac:dyDescent="0.35">
      <c r="A33" s="43" t="s">
        <v>306</v>
      </c>
      <c r="B33" s="26" t="s">
        <v>11</v>
      </c>
      <c r="C33" s="26" t="s">
        <v>2643</v>
      </c>
      <c r="D33" s="27">
        <v>6476</v>
      </c>
      <c r="E33" s="111" t="s">
        <v>300</v>
      </c>
      <c r="F33" s="74" t="s">
        <v>2799</v>
      </c>
      <c r="G33" s="71">
        <v>44553</v>
      </c>
      <c r="H33" s="26" t="s">
        <v>142</v>
      </c>
      <c r="I33" s="112" t="s">
        <v>2800</v>
      </c>
      <c r="J33" s="47" t="s">
        <v>89</v>
      </c>
      <c r="K33" s="113" t="s">
        <v>84</v>
      </c>
      <c r="L33" s="26" t="s">
        <v>1476</v>
      </c>
      <c r="M33" s="26" t="s">
        <v>332</v>
      </c>
      <c r="N33" s="28">
        <v>18930530</v>
      </c>
      <c r="O33" s="28">
        <v>3596801</v>
      </c>
      <c r="P33" s="3">
        <v>22527331</v>
      </c>
      <c r="Q33" s="70" t="s">
        <v>302</v>
      </c>
      <c r="R33" s="116"/>
      <c r="S33" s="28">
        <f>+Tabla15133[[#This Row],[VALOR TOTAL DEL CONTRATO
(en pesos)
CON IVA
(inicial)]]+Tabla15133[[#This Row],[VALOR DE LAS ADICIONES
(en pesos)
CON IVA]]</f>
        <v>22527331</v>
      </c>
      <c r="T33" s="4">
        <v>1096</v>
      </c>
      <c r="U33" s="70" t="s">
        <v>302</v>
      </c>
      <c r="V33" s="101"/>
      <c r="W33" s="70" t="s">
        <v>302</v>
      </c>
      <c r="X33" s="70"/>
      <c r="Y33" s="71">
        <v>44563</v>
      </c>
      <c r="Z33" s="118">
        <v>45659</v>
      </c>
      <c r="AA33" s="118">
        <v>45659</v>
      </c>
      <c r="AB33" s="43" t="s">
        <v>323</v>
      </c>
      <c r="AC33" s="71">
        <v>45770</v>
      </c>
      <c r="AD33" s="70" t="s">
        <v>321</v>
      </c>
      <c r="AE33" s="30">
        <v>1</v>
      </c>
      <c r="AF33" s="30">
        <v>0.7</v>
      </c>
      <c r="AG33" s="31">
        <v>15681157</v>
      </c>
      <c r="AH33" s="121" t="s">
        <v>2801</v>
      </c>
      <c r="AI33" s="56" t="s">
        <v>2802</v>
      </c>
      <c r="AJ33" s="44">
        <v>2021</v>
      </c>
      <c r="AL33" s="2"/>
    </row>
    <row r="34" spans="1:38" ht="130" x14ac:dyDescent="0.35">
      <c r="A34" s="43" t="s">
        <v>306</v>
      </c>
      <c r="B34" s="26" t="s">
        <v>327</v>
      </c>
      <c r="C34" s="26" t="s">
        <v>43</v>
      </c>
      <c r="D34" s="27" t="s">
        <v>2803</v>
      </c>
      <c r="E34" s="111" t="s">
        <v>300</v>
      </c>
      <c r="F34" s="74" t="s">
        <v>2804</v>
      </c>
      <c r="G34" s="71">
        <v>44553</v>
      </c>
      <c r="H34" s="26" t="s">
        <v>150</v>
      </c>
      <c r="I34" s="112" t="s">
        <v>2805</v>
      </c>
      <c r="J34" s="47" t="s">
        <v>89</v>
      </c>
      <c r="K34" s="113" t="s">
        <v>84</v>
      </c>
      <c r="L34" s="26" t="s">
        <v>2806</v>
      </c>
      <c r="M34" s="26" t="s">
        <v>2807</v>
      </c>
      <c r="N34" s="28">
        <v>163806667</v>
      </c>
      <c r="O34" s="28">
        <v>27645506</v>
      </c>
      <c r="P34" s="3">
        <v>191452173</v>
      </c>
      <c r="Q34" s="70" t="s">
        <v>301</v>
      </c>
      <c r="R34" s="116">
        <v>124177579</v>
      </c>
      <c r="S34" s="28">
        <f>+Tabla15133[[#This Row],[VALOR TOTAL DEL CONTRATO
(en pesos)
CON IVA
(inicial)]]+Tabla15133[[#This Row],[VALOR DE LAS ADICIONES
(en pesos)
CON IVA]]</f>
        <v>315629752</v>
      </c>
      <c r="T34" s="4">
        <v>819</v>
      </c>
      <c r="U34" s="70" t="s">
        <v>301</v>
      </c>
      <c r="V34" s="101">
        <f>+Tabla15133[[#This Row],[FECHA TERMINACIÓN DEL CONTRATO
(inicial + prórroga)]]-Tabla15133[[#This Row],[FECHA TERMINACIÓN DEL CONTRATO
(inicial)]]</f>
        <v>669</v>
      </c>
      <c r="W34" s="117" t="s">
        <v>302</v>
      </c>
      <c r="X34" s="117"/>
      <c r="Y34" s="71">
        <v>44593</v>
      </c>
      <c r="Z34" s="118">
        <v>45412</v>
      </c>
      <c r="AA34" s="118">
        <v>46081</v>
      </c>
      <c r="AB34" s="43" t="s">
        <v>303</v>
      </c>
      <c r="AC34" s="71"/>
      <c r="AD34" s="70"/>
      <c r="AE34" s="61">
        <v>0.96</v>
      </c>
      <c r="AF34" s="61">
        <v>0.7974</v>
      </c>
      <c r="AG34" s="62">
        <v>251686842.41</v>
      </c>
      <c r="AH34" s="121" t="s">
        <v>2808</v>
      </c>
      <c r="AI34" s="56" t="s">
        <v>2809</v>
      </c>
      <c r="AJ34" s="44">
        <v>2021</v>
      </c>
      <c r="AL34" s="2"/>
    </row>
    <row r="35" spans="1:38" ht="58" x14ac:dyDescent="0.35">
      <c r="A35" s="43" t="s">
        <v>306</v>
      </c>
      <c r="B35" s="26" t="s">
        <v>31</v>
      </c>
      <c r="C35" s="26" t="s">
        <v>39</v>
      </c>
      <c r="D35" s="27" t="s">
        <v>2810</v>
      </c>
      <c r="E35" s="111" t="s">
        <v>300</v>
      </c>
      <c r="F35" s="74" t="s">
        <v>2811</v>
      </c>
      <c r="G35" s="71">
        <v>44559</v>
      </c>
      <c r="H35" s="2" t="s">
        <v>122</v>
      </c>
      <c r="I35" s="112" t="s">
        <v>2812</v>
      </c>
      <c r="J35" s="47" t="s">
        <v>89</v>
      </c>
      <c r="K35" s="113" t="s">
        <v>84</v>
      </c>
      <c r="L35" s="26" t="s">
        <v>1474</v>
      </c>
      <c r="M35" s="26" t="s">
        <v>2813</v>
      </c>
      <c r="N35" s="28">
        <v>735272763.02521014</v>
      </c>
      <c r="O35" s="28">
        <v>139701824.97478992</v>
      </c>
      <c r="P35" s="3">
        <v>874974588</v>
      </c>
      <c r="Q35" s="70" t="s">
        <v>301</v>
      </c>
      <c r="R35" s="116">
        <v>178739466</v>
      </c>
      <c r="S35" s="28">
        <f>+Tabla15133[[#This Row],[VALOR TOTAL DEL CONTRATO
(en pesos)
CON IVA
(inicial)]]+Tabla15133[[#This Row],[VALOR DE LAS ADICIONES
(en pesos)
CON IVA]]</f>
        <v>1053714054</v>
      </c>
      <c r="T35" s="4">
        <v>1096</v>
      </c>
      <c r="U35" s="70" t="s">
        <v>302</v>
      </c>
      <c r="V35" s="101"/>
      <c r="W35" s="70" t="s">
        <v>302</v>
      </c>
      <c r="X35" s="70"/>
      <c r="Y35" s="71">
        <v>44559</v>
      </c>
      <c r="Z35" s="118">
        <v>45655</v>
      </c>
      <c r="AA35" s="118">
        <v>45655</v>
      </c>
      <c r="AB35" s="43" t="s">
        <v>323</v>
      </c>
      <c r="AC35" s="71">
        <v>45820</v>
      </c>
      <c r="AD35" s="70" t="s">
        <v>321</v>
      </c>
      <c r="AE35" s="30">
        <v>1</v>
      </c>
      <c r="AF35" s="30">
        <v>0.85599999999999998</v>
      </c>
      <c r="AG35" s="31">
        <v>902279382</v>
      </c>
      <c r="AH35" s="121"/>
      <c r="AI35" s="56" t="s">
        <v>2814</v>
      </c>
      <c r="AJ35" s="44">
        <v>2021</v>
      </c>
      <c r="AL35" s="2"/>
    </row>
    <row r="36" spans="1:38" ht="58" x14ac:dyDescent="0.35">
      <c r="A36" s="43" t="s">
        <v>306</v>
      </c>
      <c r="B36" s="26" t="s">
        <v>31</v>
      </c>
      <c r="C36" s="26" t="s">
        <v>37</v>
      </c>
      <c r="D36" s="27">
        <v>5128</v>
      </c>
      <c r="E36" s="26" t="s">
        <v>312</v>
      </c>
      <c r="F36" s="74" t="s">
        <v>2815</v>
      </c>
      <c r="G36" s="71">
        <v>44561</v>
      </c>
      <c r="H36" s="26" t="s">
        <v>150</v>
      </c>
      <c r="I36" s="112" t="s">
        <v>2816</v>
      </c>
      <c r="J36" s="47" t="s">
        <v>89</v>
      </c>
      <c r="K36" s="113" t="s">
        <v>84</v>
      </c>
      <c r="L36" s="26" t="s">
        <v>2817</v>
      </c>
      <c r="M36" s="26" t="s">
        <v>2818</v>
      </c>
      <c r="N36" s="28">
        <v>1664956033.6134455</v>
      </c>
      <c r="O36" s="28">
        <v>316341646.38655466</v>
      </c>
      <c r="P36" s="3">
        <v>1981297680</v>
      </c>
      <c r="Q36" s="70" t="s">
        <v>302</v>
      </c>
      <c r="R36" s="116"/>
      <c r="S36" s="28">
        <f>+Tabla15133[[#This Row],[VALOR TOTAL DEL CONTRATO
(en pesos)
CON IVA
(inicial)]]+Tabla15133[[#This Row],[VALOR DE LAS ADICIONES
(en pesos)
CON IVA]]</f>
        <v>1981297680</v>
      </c>
      <c r="T36" s="4">
        <v>1095</v>
      </c>
      <c r="U36" s="70" t="s">
        <v>302</v>
      </c>
      <c r="V36" s="101"/>
      <c r="W36" s="70" t="s">
        <v>302</v>
      </c>
      <c r="X36" s="70"/>
      <c r="Y36" s="71">
        <v>44562</v>
      </c>
      <c r="Z36" s="118">
        <v>45657</v>
      </c>
      <c r="AA36" s="118">
        <v>45657</v>
      </c>
      <c r="AB36" s="43" t="s">
        <v>323</v>
      </c>
      <c r="AC36" s="71">
        <v>45870</v>
      </c>
      <c r="AD36" s="70" t="s">
        <v>321</v>
      </c>
      <c r="AE36" s="30">
        <v>1</v>
      </c>
      <c r="AF36" s="30">
        <v>1</v>
      </c>
      <c r="AG36" s="31">
        <v>2089395072</v>
      </c>
      <c r="AH36" s="121" t="s">
        <v>2819</v>
      </c>
      <c r="AI36" s="56" t="s">
        <v>2820</v>
      </c>
      <c r="AJ36" s="44">
        <v>2021</v>
      </c>
      <c r="AL36" s="2"/>
    </row>
    <row r="37" spans="1:38" ht="65" x14ac:dyDescent="0.35">
      <c r="A37" s="43" t="s">
        <v>306</v>
      </c>
      <c r="B37" s="26" t="s">
        <v>11</v>
      </c>
      <c r="C37" s="26" t="s">
        <v>2643</v>
      </c>
      <c r="D37" s="27">
        <v>6790</v>
      </c>
      <c r="E37" s="26" t="s">
        <v>324</v>
      </c>
      <c r="F37" s="74" t="s">
        <v>2821</v>
      </c>
      <c r="G37" s="71">
        <v>44631</v>
      </c>
      <c r="H37" s="26" t="s">
        <v>334</v>
      </c>
      <c r="I37" s="112" t="s">
        <v>2822</v>
      </c>
      <c r="J37" s="47" t="s">
        <v>89</v>
      </c>
      <c r="K37" s="113" t="s">
        <v>84</v>
      </c>
      <c r="L37" s="26" t="s">
        <v>2823</v>
      </c>
      <c r="M37" s="26" t="s">
        <v>2824</v>
      </c>
      <c r="N37" s="28">
        <v>3958219393</v>
      </c>
      <c r="O37" s="28">
        <v>752061685</v>
      </c>
      <c r="P37" s="3">
        <v>4710281078</v>
      </c>
      <c r="Q37" s="70" t="s">
        <v>301</v>
      </c>
      <c r="R37" s="116">
        <v>867096837</v>
      </c>
      <c r="S37" s="28">
        <f>+Tabla15133[[#This Row],[VALOR TOTAL DEL CONTRATO
(en pesos)
CON IVA
(inicial)]]+Tabla15133[[#This Row],[VALOR DE LAS ADICIONES
(en pesos)
CON IVA]]</f>
        <v>5577377915</v>
      </c>
      <c r="T37" s="4">
        <v>1085</v>
      </c>
      <c r="U37" s="70" t="s">
        <v>301</v>
      </c>
      <c r="V37" s="101">
        <f>+Tabla15133[[#This Row],[FECHA TERMINACIÓN DEL CONTRATO
(inicial + prórroga)]]-Tabla15133[[#This Row],[FECHA TERMINACIÓN DEL CONTRATO
(inicial)]]</f>
        <v>58</v>
      </c>
      <c r="W37" s="70" t="s">
        <v>302</v>
      </c>
      <c r="X37" s="70"/>
      <c r="Y37" s="71">
        <v>44634</v>
      </c>
      <c r="Z37" s="118">
        <v>45719</v>
      </c>
      <c r="AA37" s="118">
        <v>45777</v>
      </c>
      <c r="AB37" s="43" t="s">
        <v>323</v>
      </c>
      <c r="AC37" s="71">
        <v>45867</v>
      </c>
      <c r="AD37" s="70" t="s">
        <v>321</v>
      </c>
      <c r="AE37" s="30">
        <v>1</v>
      </c>
      <c r="AF37" s="30">
        <v>0.97650000000000003</v>
      </c>
      <c r="AG37" s="31">
        <v>5446327151.3100004</v>
      </c>
      <c r="AH37" s="121" t="s">
        <v>2825</v>
      </c>
      <c r="AI37" s="56" t="s">
        <v>2826</v>
      </c>
      <c r="AJ37" s="44">
        <v>2022</v>
      </c>
      <c r="AL37" s="2"/>
    </row>
    <row r="38" spans="1:38" ht="43.5" x14ac:dyDescent="0.35">
      <c r="A38" s="43" t="s">
        <v>306</v>
      </c>
      <c r="B38" s="26" t="s">
        <v>11</v>
      </c>
      <c r="C38" s="26" t="s">
        <v>2827</v>
      </c>
      <c r="D38" s="27">
        <v>6226</v>
      </c>
      <c r="E38" s="26" t="s">
        <v>324</v>
      </c>
      <c r="F38" s="74" t="s">
        <v>2828</v>
      </c>
      <c r="G38" s="71">
        <v>44748</v>
      </c>
      <c r="H38" s="26" t="s">
        <v>150</v>
      </c>
      <c r="I38" s="112" t="s">
        <v>2829</v>
      </c>
      <c r="J38" s="47" t="s">
        <v>89</v>
      </c>
      <c r="K38" s="113" t="s">
        <v>84</v>
      </c>
      <c r="L38" s="26" t="s">
        <v>1583</v>
      </c>
      <c r="M38" s="26" t="s">
        <v>2830</v>
      </c>
      <c r="N38" s="28">
        <v>1034967227</v>
      </c>
      <c r="O38" s="28">
        <v>196643684</v>
      </c>
      <c r="P38" s="3">
        <v>1231610999</v>
      </c>
      <c r="Q38" s="70" t="s">
        <v>301</v>
      </c>
      <c r="R38" s="116">
        <v>1144456303</v>
      </c>
      <c r="S38" s="28">
        <f>+Tabla15133[[#This Row],[VALOR TOTAL DEL CONTRATO
(en pesos)
CON IVA
(inicial)]]+Tabla15133[[#This Row],[VALOR DE LAS ADICIONES
(en pesos)
CON IVA]]</f>
        <v>2376067302</v>
      </c>
      <c r="T38" s="4">
        <v>725</v>
      </c>
      <c r="U38" s="70" t="s">
        <v>301</v>
      </c>
      <c r="V38" s="101">
        <v>335</v>
      </c>
      <c r="W38" s="117" t="s">
        <v>302</v>
      </c>
      <c r="X38" s="117"/>
      <c r="Y38" s="71">
        <v>44748</v>
      </c>
      <c r="Z38" s="118">
        <v>45473</v>
      </c>
      <c r="AA38" s="118">
        <v>45808</v>
      </c>
      <c r="AB38" s="43" t="s">
        <v>342</v>
      </c>
      <c r="AC38" s="71"/>
      <c r="AD38" s="70" t="s">
        <v>321</v>
      </c>
      <c r="AE38" s="30">
        <v>1</v>
      </c>
      <c r="AF38" s="30">
        <v>0.95</v>
      </c>
      <c r="AG38" s="31">
        <v>2194328288</v>
      </c>
      <c r="AH38" s="121"/>
      <c r="AI38" s="56" t="s">
        <v>2831</v>
      </c>
      <c r="AJ38" s="44">
        <v>2022</v>
      </c>
      <c r="AL38" s="2"/>
    </row>
    <row r="39" spans="1:38" ht="43.5" x14ac:dyDescent="0.35">
      <c r="A39" s="43" t="s">
        <v>306</v>
      </c>
      <c r="B39" s="26" t="s">
        <v>31</v>
      </c>
      <c r="C39" s="26" t="s">
        <v>36</v>
      </c>
      <c r="D39" s="27" t="s">
        <v>2832</v>
      </c>
      <c r="E39" s="26" t="s">
        <v>324</v>
      </c>
      <c r="F39" s="74" t="s">
        <v>2833</v>
      </c>
      <c r="G39" s="71">
        <v>44799</v>
      </c>
      <c r="H39" s="26" t="s">
        <v>150</v>
      </c>
      <c r="I39" s="112" t="s">
        <v>2834</v>
      </c>
      <c r="J39" s="47" t="s">
        <v>89</v>
      </c>
      <c r="K39" s="113" t="s">
        <v>84</v>
      </c>
      <c r="L39" s="26" t="s">
        <v>2711</v>
      </c>
      <c r="M39" s="26" t="s">
        <v>2712</v>
      </c>
      <c r="N39" s="28">
        <v>986616695.79999995</v>
      </c>
      <c r="O39" s="28">
        <v>187457172</v>
      </c>
      <c r="P39" s="3">
        <v>1174073868</v>
      </c>
      <c r="Q39" s="70" t="s">
        <v>301</v>
      </c>
      <c r="R39" s="116">
        <v>1173474664</v>
      </c>
      <c r="S39" s="28">
        <f>+Tabla15133[[#This Row],[VALOR TOTAL DEL CONTRATO
(en pesos)
CON IVA
(inicial)]]+Tabla15133[[#This Row],[VALOR DE LAS ADICIONES
(en pesos)
CON IVA]]</f>
        <v>2347548532</v>
      </c>
      <c r="T39" s="4">
        <v>1095</v>
      </c>
      <c r="U39" s="70" t="s">
        <v>301</v>
      </c>
      <c r="V39" s="123">
        <f>+Tabla15133[[#This Row],[FECHA TERMINACIÓN DEL CONTRATO
(inicial + prórroga)]]-Tabla15133[[#This Row],[FECHA TERMINACIÓN DEL CONTRATO
(inicial)]]</f>
        <v>1096</v>
      </c>
      <c r="W39" s="70" t="s">
        <v>302</v>
      </c>
      <c r="X39" s="70"/>
      <c r="Y39" s="71">
        <v>44805</v>
      </c>
      <c r="Z39" s="118">
        <v>45900</v>
      </c>
      <c r="AA39" s="118">
        <v>46996</v>
      </c>
      <c r="AB39" s="43" t="s">
        <v>303</v>
      </c>
      <c r="AC39" s="71"/>
      <c r="AD39" s="70"/>
      <c r="AE39" s="30">
        <v>0.54</v>
      </c>
      <c r="AF39" s="30">
        <v>0.54</v>
      </c>
      <c r="AG39" s="31">
        <v>1259432323.8099999</v>
      </c>
      <c r="AH39" s="121" t="s">
        <v>2835</v>
      </c>
      <c r="AI39" s="56" t="s">
        <v>2836</v>
      </c>
      <c r="AJ39" s="44">
        <v>2022</v>
      </c>
      <c r="AL39" s="2"/>
    </row>
    <row r="40" spans="1:38" ht="29" x14ac:dyDescent="0.35">
      <c r="A40" s="43" t="s">
        <v>306</v>
      </c>
      <c r="B40" s="26" t="s">
        <v>322</v>
      </c>
      <c r="C40" s="26" t="s">
        <v>66</v>
      </c>
      <c r="D40" s="27">
        <v>5050</v>
      </c>
      <c r="E40" s="26" t="s">
        <v>324</v>
      </c>
      <c r="F40" s="74" t="s">
        <v>2837</v>
      </c>
      <c r="G40" s="71">
        <v>44826</v>
      </c>
      <c r="H40" s="26" t="s">
        <v>2838</v>
      </c>
      <c r="I40" s="112" t="s">
        <v>2839</v>
      </c>
      <c r="J40" s="47" t="s">
        <v>89</v>
      </c>
      <c r="K40" s="113" t="s">
        <v>84</v>
      </c>
      <c r="L40" s="26" t="s">
        <v>2840</v>
      </c>
      <c r="M40" s="26" t="s">
        <v>2841</v>
      </c>
      <c r="N40" s="28">
        <v>773217479</v>
      </c>
      <c r="O40" s="28">
        <v>146911321</v>
      </c>
      <c r="P40" s="3">
        <v>920128800</v>
      </c>
      <c r="Q40" s="70" t="s">
        <v>302</v>
      </c>
      <c r="R40" s="116"/>
      <c r="S40" s="28">
        <f>+Tabla15133[[#This Row],[VALOR TOTAL DEL CONTRATO
(en pesos)
CON IVA
(inicial)]]+Tabla15133[[#This Row],[VALOR DE LAS ADICIONES
(en pesos)
CON IVA]]</f>
        <v>920128800</v>
      </c>
      <c r="T40" s="4">
        <v>1096</v>
      </c>
      <c r="U40" s="70" t="s">
        <v>302</v>
      </c>
      <c r="V40" s="26"/>
      <c r="W40" s="70" t="s">
        <v>302</v>
      </c>
      <c r="X40" s="70"/>
      <c r="Y40" s="71">
        <v>44881</v>
      </c>
      <c r="Z40" s="118">
        <v>45977</v>
      </c>
      <c r="AA40" s="118">
        <v>45977</v>
      </c>
      <c r="AB40" s="43" t="s">
        <v>323</v>
      </c>
      <c r="AC40" s="71">
        <v>46030</v>
      </c>
      <c r="AD40" s="70" t="s">
        <v>321</v>
      </c>
      <c r="AE40" s="61">
        <v>1</v>
      </c>
      <c r="AF40" s="61">
        <v>1</v>
      </c>
      <c r="AG40" s="73">
        <v>920127800</v>
      </c>
      <c r="AH40" s="121"/>
      <c r="AI40" s="56"/>
      <c r="AJ40" s="44">
        <v>2022</v>
      </c>
      <c r="AL40" s="2"/>
    </row>
    <row r="41" spans="1:38" ht="43.5" x14ac:dyDescent="0.35">
      <c r="A41" s="43" t="s">
        <v>306</v>
      </c>
      <c r="B41" s="26" t="s">
        <v>31</v>
      </c>
      <c r="C41" s="26" t="s">
        <v>336</v>
      </c>
      <c r="D41" s="27">
        <v>5275</v>
      </c>
      <c r="E41" s="26" t="s">
        <v>324</v>
      </c>
      <c r="F41" s="74" t="s">
        <v>2842</v>
      </c>
      <c r="G41" s="71">
        <v>44837</v>
      </c>
      <c r="H41" s="26" t="s">
        <v>150</v>
      </c>
      <c r="I41" s="112" t="s">
        <v>2843</v>
      </c>
      <c r="J41" s="47" t="s">
        <v>89</v>
      </c>
      <c r="K41" s="113" t="s">
        <v>84</v>
      </c>
      <c r="L41" s="26" t="s">
        <v>2844</v>
      </c>
      <c r="M41" s="26" t="s">
        <v>2845</v>
      </c>
      <c r="N41" s="28">
        <v>2588902732</v>
      </c>
      <c r="O41" s="28">
        <v>491891519</v>
      </c>
      <c r="P41" s="3">
        <v>3080794251</v>
      </c>
      <c r="Q41" s="70" t="s">
        <v>302</v>
      </c>
      <c r="R41" s="116"/>
      <c r="S41" s="28">
        <f>+Tabla15133[[#This Row],[VALOR TOTAL DEL CONTRATO
(en pesos)
CON IVA
(inicial)]]+Tabla15133[[#This Row],[VALOR DE LAS ADICIONES
(en pesos)
CON IVA]]</f>
        <v>3080794251</v>
      </c>
      <c r="T41" s="4">
        <v>1187</v>
      </c>
      <c r="U41" s="70" t="s">
        <v>302</v>
      </c>
      <c r="V41" s="26"/>
      <c r="W41" s="70" t="s">
        <v>302</v>
      </c>
      <c r="X41" s="70"/>
      <c r="Y41" s="71">
        <v>44848</v>
      </c>
      <c r="Z41" s="118">
        <v>46035</v>
      </c>
      <c r="AA41" s="118">
        <v>46035</v>
      </c>
      <c r="AB41" s="43" t="s">
        <v>303</v>
      </c>
      <c r="AC41" s="71"/>
      <c r="AD41" s="70"/>
      <c r="AE41" s="30">
        <v>0.99</v>
      </c>
      <c r="AF41" s="30">
        <v>1</v>
      </c>
      <c r="AG41" s="31">
        <v>3066466183</v>
      </c>
      <c r="AH41" s="121"/>
      <c r="AI41" s="56"/>
      <c r="AJ41" s="44">
        <v>2022</v>
      </c>
      <c r="AL41" s="2"/>
    </row>
    <row r="42" spans="1:38" ht="29" x14ac:dyDescent="0.35">
      <c r="A42" s="43" t="s">
        <v>306</v>
      </c>
      <c r="B42" s="26" t="s">
        <v>4</v>
      </c>
      <c r="C42" s="26" t="s">
        <v>2846</v>
      </c>
      <c r="D42" s="27">
        <v>5286</v>
      </c>
      <c r="E42" s="26" t="s">
        <v>324</v>
      </c>
      <c r="F42" s="74" t="s">
        <v>2847</v>
      </c>
      <c r="G42" s="71">
        <v>44833</v>
      </c>
      <c r="H42" s="26" t="s">
        <v>150</v>
      </c>
      <c r="I42" s="112" t="s">
        <v>2848</v>
      </c>
      <c r="J42" s="47" t="s">
        <v>89</v>
      </c>
      <c r="K42" s="113" t="s">
        <v>84</v>
      </c>
      <c r="L42" s="26" t="s">
        <v>1622</v>
      </c>
      <c r="M42" s="26" t="s">
        <v>2849</v>
      </c>
      <c r="N42" s="28">
        <v>4531352919</v>
      </c>
      <c r="O42" s="28">
        <v>860957055</v>
      </c>
      <c r="P42" s="3">
        <v>5392309974</v>
      </c>
      <c r="Q42" s="70" t="s">
        <v>302</v>
      </c>
      <c r="R42" s="116"/>
      <c r="S42" s="28">
        <f>+Tabla15133[[#This Row],[VALOR TOTAL DEL CONTRATO
(en pesos)
CON IVA
(inicial)]]+Tabla15133[[#This Row],[VALOR DE LAS ADICIONES
(en pesos)
CON IVA]]</f>
        <v>5392309974</v>
      </c>
      <c r="T42" s="4">
        <v>1096</v>
      </c>
      <c r="U42" s="70" t="s">
        <v>302</v>
      </c>
      <c r="V42" s="26"/>
      <c r="W42" s="70" t="s">
        <v>302</v>
      </c>
      <c r="X42" s="70"/>
      <c r="Y42" s="71">
        <v>44834</v>
      </c>
      <c r="Z42" s="118">
        <v>45930</v>
      </c>
      <c r="AA42" s="118">
        <v>45930</v>
      </c>
      <c r="AB42" s="43" t="s">
        <v>342</v>
      </c>
      <c r="AC42" s="71"/>
      <c r="AD42" s="70" t="s">
        <v>321</v>
      </c>
      <c r="AE42" s="30">
        <v>1</v>
      </c>
      <c r="AF42" s="30">
        <v>1</v>
      </c>
      <c r="AG42" s="31">
        <v>5392309973.1499996</v>
      </c>
      <c r="AH42" s="121"/>
      <c r="AI42" s="56"/>
      <c r="AJ42" s="44">
        <v>2022</v>
      </c>
      <c r="AL42" s="2"/>
    </row>
    <row r="43" spans="1:38" ht="29" x14ac:dyDescent="0.35">
      <c r="A43" s="43" t="s">
        <v>306</v>
      </c>
      <c r="B43" s="26" t="s">
        <v>31</v>
      </c>
      <c r="C43" s="26" t="s">
        <v>34</v>
      </c>
      <c r="D43" s="27">
        <v>5347</v>
      </c>
      <c r="E43" s="111" t="s">
        <v>300</v>
      </c>
      <c r="F43" s="74" t="s">
        <v>2850</v>
      </c>
      <c r="G43" s="71">
        <v>44838</v>
      </c>
      <c r="H43" s="26" t="s">
        <v>150</v>
      </c>
      <c r="I43" s="112" t="s">
        <v>2851</v>
      </c>
      <c r="J43" s="47" t="s">
        <v>89</v>
      </c>
      <c r="K43" s="113" t="s">
        <v>84</v>
      </c>
      <c r="L43" s="26" t="s">
        <v>1677</v>
      </c>
      <c r="M43" s="26" t="s">
        <v>337</v>
      </c>
      <c r="N43" s="28">
        <v>45300000</v>
      </c>
      <c r="O43" s="28">
        <v>8607000</v>
      </c>
      <c r="P43" s="3">
        <v>53907000</v>
      </c>
      <c r="Q43" s="70" t="s">
        <v>302</v>
      </c>
      <c r="R43" s="116"/>
      <c r="S43" s="28">
        <f>+Tabla15133[[#This Row],[VALOR TOTAL DEL CONTRATO
(en pesos)
CON IVA
(inicial)]]+Tabla15133[[#This Row],[VALOR DE LAS ADICIONES
(en pesos)
CON IVA]]</f>
        <v>53907000</v>
      </c>
      <c r="T43" s="4">
        <v>735</v>
      </c>
      <c r="U43" s="70" t="s">
        <v>302</v>
      </c>
      <c r="V43" s="26"/>
      <c r="W43" s="70" t="s">
        <v>302</v>
      </c>
      <c r="X43" s="70"/>
      <c r="Y43" s="71">
        <v>44858</v>
      </c>
      <c r="Z43" s="118">
        <v>45573</v>
      </c>
      <c r="AA43" s="118">
        <v>45573</v>
      </c>
      <c r="AB43" s="43" t="s">
        <v>323</v>
      </c>
      <c r="AC43" s="71">
        <v>45856</v>
      </c>
      <c r="AD43" s="70" t="s">
        <v>321</v>
      </c>
      <c r="AE43" s="30">
        <v>1</v>
      </c>
      <c r="AF43" s="30">
        <v>1</v>
      </c>
      <c r="AG43" s="31">
        <v>53907000</v>
      </c>
      <c r="AH43" s="121"/>
      <c r="AI43" s="56" t="s">
        <v>2852</v>
      </c>
      <c r="AJ43" s="44">
        <v>2022</v>
      </c>
      <c r="AL43" s="2"/>
    </row>
    <row r="44" spans="1:38" s="1" customFormat="1" ht="156" x14ac:dyDescent="0.35">
      <c r="A44" s="124" t="s">
        <v>306</v>
      </c>
      <c r="B44" s="81" t="s">
        <v>329</v>
      </c>
      <c r="C44" s="26" t="s">
        <v>53</v>
      </c>
      <c r="D44" s="27" t="s">
        <v>2853</v>
      </c>
      <c r="E44" s="26" t="s">
        <v>324</v>
      </c>
      <c r="F44" s="125" t="s">
        <v>2854</v>
      </c>
      <c r="G44" s="126">
        <v>44848</v>
      </c>
      <c r="H44" s="26" t="s">
        <v>150</v>
      </c>
      <c r="I44" s="112" t="s">
        <v>2855</v>
      </c>
      <c r="J44" s="47" t="s">
        <v>95</v>
      </c>
      <c r="K44" s="113" t="s">
        <v>84</v>
      </c>
      <c r="L44" s="81" t="s">
        <v>2856</v>
      </c>
      <c r="M44" s="26" t="s">
        <v>2857</v>
      </c>
      <c r="N44" s="33">
        <v>30101814326</v>
      </c>
      <c r="O44" s="33">
        <v>0</v>
      </c>
      <c r="P44" s="127">
        <v>30101814326</v>
      </c>
      <c r="Q44" s="128" t="s">
        <v>301</v>
      </c>
      <c r="R44" s="129">
        <v>35176854483</v>
      </c>
      <c r="S44" s="28">
        <f>+Tabla15133[[#This Row],[VALOR TOTAL DEL CONTRATO
(en pesos)
CON IVA
(inicial)]]+Tabla15133[[#This Row],[VALOR DE LAS ADICIONES
(en pesos)
CON IVA]]</f>
        <v>65278668809</v>
      </c>
      <c r="T44" s="130">
        <v>1187</v>
      </c>
      <c r="U44" s="128" t="s">
        <v>302</v>
      </c>
      <c r="V44" s="81"/>
      <c r="W44" s="70" t="s">
        <v>302</v>
      </c>
      <c r="X44" s="70"/>
      <c r="Y44" s="126">
        <v>44855</v>
      </c>
      <c r="Z44" s="131">
        <v>46042</v>
      </c>
      <c r="AA44" s="131">
        <v>46042</v>
      </c>
      <c r="AB44" s="124" t="s">
        <v>303</v>
      </c>
      <c r="AC44" s="126"/>
      <c r="AD44" s="70"/>
      <c r="AE44" s="132">
        <v>0.95809999999999995</v>
      </c>
      <c r="AF44" s="132">
        <v>0.8911</v>
      </c>
      <c r="AG44" s="133">
        <v>58176177551</v>
      </c>
      <c r="AH44" s="121" t="s">
        <v>2858</v>
      </c>
      <c r="AI44" s="56" t="s">
        <v>2859</v>
      </c>
      <c r="AJ44" s="134">
        <v>2022</v>
      </c>
    </row>
    <row r="45" spans="1:38" ht="29" x14ac:dyDescent="0.35">
      <c r="A45" s="43" t="s">
        <v>306</v>
      </c>
      <c r="B45" s="26" t="s">
        <v>4</v>
      </c>
      <c r="C45" s="26" t="s">
        <v>2860</v>
      </c>
      <c r="D45" s="27">
        <v>5943</v>
      </c>
      <c r="E45" s="111" t="s">
        <v>300</v>
      </c>
      <c r="F45" s="74" t="s">
        <v>2861</v>
      </c>
      <c r="G45" s="71">
        <v>44858</v>
      </c>
      <c r="H45" s="26" t="s">
        <v>150</v>
      </c>
      <c r="I45" s="112" t="s">
        <v>2862</v>
      </c>
      <c r="J45" s="47" t="s">
        <v>89</v>
      </c>
      <c r="K45" s="113" t="s">
        <v>84</v>
      </c>
      <c r="L45" s="26" t="s">
        <v>1660</v>
      </c>
      <c r="M45" s="26" t="s">
        <v>2863</v>
      </c>
      <c r="N45" s="28">
        <v>21856663.865546219</v>
      </c>
      <c r="O45" s="28">
        <v>4152766.1344537819</v>
      </c>
      <c r="P45" s="3">
        <v>26009430</v>
      </c>
      <c r="Q45" s="70" t="s">
        <v>301</v>
      </c>
      <c r="R45" s="116">
        <v>28632530</v>
      </c>
      <c r="S45" s="28">
        <f>+Tabla15133[[#This Row],[VALOR TOTAL DEL CONTRATO
(en pesos)
CON IVA
(inicial)]]+Tabla15133[[#This Row],[VALOR DE LAS ADICIONES
(en pesos)
CON IVA]]</f>
        <v>54641960</v>
      </c>
      <c r="T45" s="4">
        <v>364</v>
      </c>
      <c r="U45" s="70" t="s">
        <v>301</v>
      </c>
      <c r="V45" s="101">
        <v>366</v>
      </c>
      <c r="W45" s="117" t="s">
        <v>302</v>
      </c>
      <c r="X45" s="117"/>
      <c r="Y45" s="71">
        <v>44859</v>
      </c>
      <c r="Z45" s="118">
        <v>45223</v>
      </c>
      <c r="AA45" s="118">
        <v>45589</v>
      </c>
      <c r="AB45" s="43" t="s">
        <v>323</v>
      </c>
      <c r="AC45" s="71">
        <v>45711</v>
      </c>
      <c r="AD45" s="70" t="s">
        <v>321</v>
      </c>
      <c r="AE45" s="30">
        <v>1</v>
      </c>
      <c r="AF45" s="30">
        <v>1</v>
      </c>
      <c r="AG45" s="31">
        <v>47320114</v>
      </c>
      <c r="AH45" s="121"/>
      <c r="AI45" s="56" t="s">
        <v>2864</v>
      </c>
      <c r="AJ45" s="44">
        <v>2022</v>
      </c>
      <c r="AL45" s="2"/>
    </row>
    <row r="46" spans="1:38" ht="43.5" x14ac:dyDescent="0.35">
      <c r="A46" s="43" t="s">
        <v>306</v>
      </c>
      <c r="B46" s="26" t="s">
        <v>31</v>
      </c>
      <c r="C46" s="26" t="s">
        <v>35</v>
      </c>
      <c r="D46" s="27">
        <v>6565</v>
      </c>
      <c r="E46" s="26" t="s">
        <v>300</v>
      </c>
      <c r="F46" s="74" t="s">
        <v>2865</v>
      </c>
      <c r="G46" s="71">
        <v>44855</v>
      </c>
      <c r="H46" s="26" t="s">
        <v>150</v>
      </c>
      <c r="I46" s="112" t="s">
        <v>2866</v>
      </c>
      <c r="J46" s="47" t="s">
        <v>89</v>
      </c>
      <c r="K46" s="113" t="s">
        <v>84</v>
      </c>
      <c r="L46" s="26" t="s">
        <v>1585</v>
      </c>
      <c r="M46" s="26" t="s">
        <v>330</v>
      </c>
      <c r="N46" s="28">
        <v>41930117.647058822</v>
      </c>
      <c r="O46" s="28">
        <v>7966722.3529411759</v>
      </c>
      <c r="P46" s="3">
        <v>49896840</v>
      </c>
      <c r="Q46" s="70" t="s">
        <v>301</v>
      </c>
      <c r="R46" s="116">
        <v>15103160</v>
      </c>
      <c r="S46" s="28">
        <f>+Tabla15133[[#This Row],[VALOR TOTAL DEL CONTRATO
(en pesos)
CON IVA
(inicial)]]+Tabla15133[[#This Row],[VALOR DE LAS ADICIONES
(en pesos)
CON IVA]]</f>
        <v>65000000</v>
      </c>
      <c r="T46" s="4">
        <v>802</v>
      </c>
      <c r="U46" s="70" t="s">
        <v>302</v>
      </c>
      <c r="V46" s="101"/>
      <c r="W46" s="70" t="s">
        <v>302</v>
      </c>
      <c r="X46" s="70"/>
      <c r="Y46" s="71">
        <v>44855</v>
      </c>
      <c r="Z46" s="118">
        <v>45657</v>
      </c>
      <c r="AA46" s="118">
        <v>45657</v>
      </c>
      <c r="AB46" s="43" t="s">
        <v>323</v>
      </c>
      <c r="AC46" s="71">
        <v>45862</v>
      </c>
      <c r="AD46" s="70" t="s">
        <v>321</v>
      </c>
      <c r="AE46" s="30">
        <v>1</v>
      </c>
      <c r="AF46" s="30">
        <v>1</v>
      </c>
      <c r="AG46" s="31">
        <v>65000000</v>
      </c>
      <c r="AH46" s="121" t="s">
        <v>2867</v>
      </c>
      <c r="AI46" s="56" t="s">
        <v>2868</v>
      </c>
      <c r="AJ46" s="44">
        <v>2022</v>
      </c>
      <c r="AL46" s="2"/>
    </row>
    <row r="47" spans="1:38" ht="43.5" x14ac:dyDescent="0.35">
      <c r="A47" s="43" t="s">
        <v>306</v>
      </c>
      <c r="B47" s="26" t="s">
        <v>11</v>
      </c>
      <c r="C47" s="26" t="s">
        <v>2643</v>
      </c>
      <c r="D47" s="27">
        <v>6096</v>
      </c>
      <c r="E47" s="26" t="s">
        <v>300</v>
      </c>
      <c r="F47" s="74" t="s">
        <v>2869</v>
      </c>
      <c r="G47" s="71">
        <v>44860</v>
      </c>
      <c r="H47" s="26" t="s">
        <v>150</v>
      </c>
      <c r="I47" s="112" t="s">
        <v>2870</v>
      </c>
      <c r="J47" s="47" t="s">
        <v>89</v>
      </c>
      <c r="K47" s="113" t="s">
        <v>84</v>
      </c>
      <c r="L47" s="26" t="s">
        <v>2871</v>
      </c>
      <c r="M47" s="26" t="s">
        <v>2872</v>
      </c>
      <c r="N47" s="29">
        <v>40915555.460000001</v>
      </c>
      <c r="O47" s="28">
        <v>7773955.4500000002</v>
      </c>
      <c r="P47" s="29">
        <v>48689510.910000004</v>
      </c>
      <c r="Q47" s="70" t="s">
        <v>302</v>
      </c>
      <c r="R47" s="116"/>
      <c r="S47" s="28">
        <f>+Tabla15133[[#This Row],[VALOR TOTAL DEL CONTRATO
(en pesos)
CON IVA
(inicial)]]+Tabla15133[[#This Row],[VALOR DE LAS ADICIONES
(en pesos)
CON IVA]]</f>
        <v>48689510.910000004</v>
      </c>
      <c r="T47" s="4">
        <v>822</v>
      </c>
      <c r="U47" s="70" t="s">
        <v>302</v>
      </c>
      <c r="V47" s="101"/>
      <c r="W47" s="70" t="s">
        <v>302</v>
      </c>
      <c r="X47" s="70"/>
      <c r="Y47" s="71">
        <v>44860</v>
      </c>
      <c r="Z47" s="118">
        <v>45682</v>
      </c>
      <c r="AA47" s="118">
        <v>45682</v>
      </c>
      <c r="AB47" s="43" t="s">
        <v>342</v>
      </c>
      <c r="AC47" s="71"/>
      <c r="AD47" s="70" t="s">
        <v>321</v>
      </c>
      <c r="AE47" s="30">
        <v>0.97</v>
      </c>
      <c r="AF47" s="30">
        <v>0.79</v>
      </c>
      <c r="AG47" s="31">
        <v>38253131</v>
      </c>
      <c r="AH47" s="121"/>
      <c r="AI47" s="56" t="s">
        <v>2873</v>
      </c>
      <c r="AJ47" s="44">
        <v>2022</v>
      </c>
      <c r="AL47" s="2"/>
    </row>
    <row r="48" spans="1:38" ht="29" x14ac:dyDescent="0.35">
      <c r="A48" s="43" t="s">
        <v>306</v>
      </c>
      <c r="B48" s="26" t="s">
        <v>11</v>
      </c>
      <c r="C48" s="26" t="s">
        <v>2643</v>
      </c>
      <c r="D48" s="27">
        <v>5372</v>
      </c>
      <c r="E48" s="26" t="s">
        <v>300</v>
      </c>
      <c r="F48" s="74" t="s">
        <v>2874</v>
      </c>
      <c r="G48" s="71">
        <v>44862</v>
      </c>
      <c r="H48" s="26" t="s">
        <v>150</v>
      </c>
      <c r="I48" s="112" t="s">
        <v>2875</v>
      </c>
      <c r="J48" s="47" t="s">
        <v>89</v>
      </c>
      <c r="K48" s="113" t="s">
        <v>84</v>
      </c>
      <c r="L48" s="26" t="s">
        <v>1672</v>
      </c>
      <c r="M48" s="26" t="s">
        <v>2876</v>
      </c>
      <c r="N48" s="29">
        <v>101095029</v>
      </c>
      <c r="O48" s="28">
        <v>19208056</v>
      </c>
      <c r="P48" s="3">
        <v>120303085</v>
      </c>
      <c r="Q48" s="70" t="s">
        <v>302</v>
      </c>
      <c r="R48" s="116"/>
      <c r="S48" s="28">
        <f>+Tabla15133[[#This Row],[VALOR TOTAL DEL CONTRATO
(en pesos)
CON IVA
(inicial)]]+Tabla15133[[#This Row],[VALOR DE LAS ADICIONES
(en pesos)
CON IVA]]</f>
        <v>120303085</v>
      </c>
      <c r="T48" s="4">
        <v>730</v>
      </c>
      <c r="U48" s="70" t="s">
        <v>302</v>
      </c>
      <c r="V48" s="101"/>
      <c r="W48" s="70" t="s">
        <v>302</v>
      </c>
      <c r="X48" s="70"/>
      <c r="Y48" s="71">
        <v>44869</v>
      </c>
      <c r="Z48" s="118">
        <v>45599</v>
      </c>
      <c r="AA48" s="118">
        <v>45599</v>
      </c>
      <c r="AB48" s="43" t="s">
        <v>323</v>
      </c>
      <c r="AC48" s="71">
        <v>45681</v>
      </c>
      <c r="AD48" s="70" t="s">
        <v>321</v>
      </c>
      <c r="AE48" s="30">
        <v>1</v>
      </c>
      <c r="AF48" s="30">
        <v>1</v>
      </c>
      <c r="AG48" s="31">
        <v>29933141</v>
      </c>
      <c r="AH48" s="121"/>
      <c r="AI48" s="56" t="s">
        <v>2877</v>
      </c>
      <c r="AJ48" s="44">
        <v>2022</v>
      </c>
      <c r="AL48" s="2"/>
    </row>
    <row r="49" spans="1:38" ht="43.5" x14ac:dyDescent="0.35">
      <c r="A49" s="43" t="s">
        <v>306</v>
      </c>
      <c r="B49" s="26" t="s">
        <v>31</v>
      </c>
      <c r="C49" s="26" t="s">
        <v>36</v>
      </c>
      <c r="D49" s="27">
        <v>5407</v>
      </c>
      <c r="E49" s="26" t="s">
        <v>300</v>
      </c>
      <c r="F49" s="74" t="s">
        <v>2878</v>
      </c>
      <c r="G49" s="71">
        <v>44868</v>
      </c>
      <c r="H49" s="26" t="s">
        <v>113</v>
      </c>
      <c r="I49" s="112" t="s">
        <v>2879</v>
      </c>
      <c r="J49" s="47" t="s">
        <v>89</v>
      </c>
      <c r="K49" s="113" t="s">
        <v>84</v>
      </c>
      <c r="L49" s="26" t="s">
        <v>1559</v>
      </c>
      <c r="M49" s="26" t="s">
        <v>338</v>
      </c>
      <c r="N49" s="28">
        <v>41517526.890756302</v>
      </c>
      <c r="O49" s="28">
        <v>7888330.1092436975</v>
      </c>
      <c r="P49" s="3">
        <v>49405857</v>
      </c>
      <c r="Q49" s="70" t="s">
        <v>302</v>
      </c>
      <c r="R49" s="116"/>
      <c r="S49" s="28">
        <f>+Tabla15133[[#This Row],[VALOR TOTAL DEL CONTRATO
(en pesos)
CON IVA
(inicial)]]+Tabla15133[[#This Row],[VALOR DE LAS ADICIONES
(en pesos)
CON IVA]]</f>
        <v>49405857</v>
      </c>
      <c r="T49" s="4">
        <v>1095</v>
      </c>
      <c r="U49" s="70" t="s">
        <v>302</v>
      </c>
      <c r="V49" s="101"/>
      <c r="W49" s="70" t="s">
        <v>302</v>
      </c>
      <c r="X49" s="70"/>
      <c r="Y49" s="71">
        <v>44873</v>
      </c>
      <c r="Z49" s="118">
        <v>45968</v>
      </c>
      <c r="AA49" s="118">
        <v>45968</v>
      </c>
      <c r="AB49" s="43" t="s">
        <v>342</v>
      </c>
      <c r="AC49" s="71"/>
      <c r="AD49" s="70" t="s">
        <v>321</v>
      </c>
      <c r="AE49" s="30">
        <v>1</v>
      </c>
      <c r="AF49" s="30">
        <v>1</v>
      </c>
      <c r="AG49" s="31">
        <v>49405856</v>
      </c>
      <c r="AH49" s="121"/>
      <c r="AI49" s="56"/>
      <c r="AJ49" s="44">
        <v>2022</v>
      </c>
      <c r="AL49" s="2"/>
    </row>
    <row r="50" spans="1:38" ht="43.5" x14ac:dyDescent="0.35">
      <c r="A50" s="43" t="s">
        <v>306</v>
      </c>
      <c r="B50" s="26" t="s">
        <v>11</v>
      </c>
      <c r="C50" s="26" t="s">
        <v>2643</v>
      </c>
      <c r="D50" s="27">
        <v>5356</v>
      </c>
      <c r="E50" s="26" t="s">
        <v>300</v>
      </c>
      <c r="F50" s="74" t="s">
        <v>2880</v>
      </c>
      <c r="G50" s="71">
        <v>44874</v>
      </c>
      <c r="H50" s="26" t="s">
        <v>142</v>
      </c>
      <c r="I50" s="112" t="s">
        <v>2881</v>
      </c>
      <c r="J50" s="47" t="s">
        <v>89</v>
      </c>
      <c r="K50" s="113" t="s">
        <v>84</v>
      </c>
      <c r="L50" s="26" t="s">
        <v>1678</v>
      </c>
      <c r="M50" s="26" t="s">
        <v>339</v>
      </c>
      <c r="N50" s="28">
        <v>6229391</v>
      </c>
      <c r="O50" s="28">
        <v>1183584</v>
      </c>
      <c r="P50" s="3">
        <v>7412975</v>
      </c>
      <c r="Q50" s="70" t="s">
        <v>302</v>
      </c>
      <c r="R50" s="116"/>
      <c r="S50" s="28">
        <f>+Tabla15133[[#This Row],[VALOR TOTAL DEL CONTRATO
(en pesos)
CON IVA
(inicial)]]+Tabla15133[[#This Row],[VALOR DE LAS ADICIONES
(en pesos)
CON IVA]]</f>
        <v>7412975</v>
      </c>
      <c r="T50" s="4">
        <v>1095</v>
      </c>
      <c r="U50" s="70" t="s">
        <v>302</v>
      </c>
      <c r="V50" s="101"/>
      <c r="W50" s="70" t="s">
        <v>302</v>
      </c>
      <c r="X50" s="70"/>
      <c r="Y50" s="71">
        <v>44896</v>
      </c>
      <c r="Z50" s="118">
        <v>45991</v>
      </c>
      <c r="AA50" s="118">
        <v>45991</v>
      </c>
      <c r="AB50" s="43" t="s">
        <v>325</v>
      </c>
      <c r="AC50" s="71"/>
      <c r="AD50" s="70" t="s">
        <v>321</v>
      </c>
      <c r="AE50" s="30">
        <v>1</v>
      </c>
      <c r="AF50" s="30">
        <v>0.93</v>
      </c>
      <c r="AG50" s="31">
        <v>6913000</v>
      </c>
      <c r="AH50" s="121"/>
      <c r="AI50" s="56"/>
      <c r="AJ50" s="44">
        <v>2022</v>
      </c>
      <c r="AL50" s="2"/>
    </row>
    <row r="51" spans="1:38" ht="43.5" x14ac:dyDescent="0.35">
      <c r="A51" s="43" t="s">
        <v>306</v>
      </c>
      <c r="B51" s="26" t="s">
        <v>31</v>
      </c>
      <c r="C51" s="26" t="s">
        <v>36</v>
      </c>
      <c r="D51" s="27">
        <v>6623</v>
      </c>
      <c r="E51" s="26" t="s">
        <v>324</v>
      </c>
      <c r="F51" s="74" t="s">
        <v>2882</v>
      </c>
      <c r="G51" s="71">
        <v>44883</v>
      </c>
      <c r="H51" s="26" t="s">
        <v>150</v>
      </c>
      <c r="I51" s="112" t="s">
        <v>2883</v>
      </c>
      <c r="J51" s="47" t="s">
        <v>89</v>
      </c>
      <c r="K51" s="113" t="s">
        <v>84</v>
      </c>
      <c r="L51" s="26" t="s">
        <v>1567</v>
      </c>
      <c r="M51" s="26" t="s">
        <v>340</v>
      </c>
      <c r="N51" s="28">
        <v>2444973467.226891</v>
      </c>
      <c r="O51" s="28">
        <v>464544958.77310932</v>
      </c>
      <c r="P51" s="3">
        <v>2909518426</v>
      </c>
      <c r="Q51" s="70" t="s">
        <v>301</v>
      </c>
      <c r="R51" s="116">
        <v>1952518565</v>
      </c>
      <c r="S51" s="28">
        <f>+Tabla15133[[#This Row],[VALOR TOTAL DEL CONTRATO
(en pesos)
CON IVA
(inicial)]]+Tabla15133[[#This Row],[VALOR DE LAS ADICIONES
(en pesos)
CON IVA]]</f>
        <v>4862036991</v>
      </c>
      <c r="T51" s="4">
        <v>730</v>
      </c>
      <c r="U51" s="70" t="s">
        <v>301</v>
      </c>
      <c r="V51" s="101">
        <f>+Tabla15133[[#This Row],[FECHA TERMINACIÓN DEL CONTRATO
(inicial + prórroga)]]-Tabla15133[[#This Row],[FECHA TERMINACIÓN DEL CONTRATO
(inicial)]]</f>
        <v>365</v>
      </c>
      <c r="W51" s="117" t="s">
        <v>302</v>
      </c>
      <c r="X51" s="117"/>
      <c r="Y51" s="71">
        <v>44883</v>
      </c>
      <c r="Z51" s="118">
        <v>45613</v>
      </c>
      <c r="AA51" s="118">
        <v>45978</v>
      </c>
      <c r="AB51" s="43" t="s">
        <v>325</v>
      </c>
      <c r="AC51" s="71"/>
      <c r="AD51" s="70" t="s">
        <v>321</v>
      </c>
      <c r="AE51" s="30">
        <v>1</v>
      </c>
      <c r="AF51" s="30">
        <v>0.91110000000000002</v>
      </c>
      <c r="AG51" s="31">
        <v>4429590302</v>
      </c>
      <c r="AH51" s="121" t="s">
        <v>2884</v>
      </c>
      <c r="AI51" s="56" t="s">
        <v>2885</v>
      </c>
      <c r="AJ51" s="44">
        <v>2022</v>
      </c>
      <c r="AL51" s="2"/>
    </row>
    <row r="52" spans="1:38" ht="58" x14ac:dyDescent="0.35">
      <c r="A52" s="43" t="s">
        <v>306</v>
      </c>
      <c r="B52" s="26" t="s">
        <v>11</v>
      </c>
      <c r="C52" s="26" t="s">
        <v>2643</v>
      </c>
      <c r="D52" s="27">
        <v>6656</v>
      </c>
      <c r="E52" s="26" t="s">
        <v>300</v>
      </c>
      <c r="F52" s="74" t="s">
        <v>2886</v>
      </c>
      <c r="G52" s="71">
        <v>44880</v>
      </c>
      <c r="H52" s="26" t="s">
        <v>142</v>
      </c>
      <c r="I52" s="112" t="s">
        <v>2887</v>
      </c>
      <c r="J52" s="47" t="s">
        <v>89</v>
      </c>
      <c r="K52" s="113" t="s">
        <v>84</v>
      </c>
      <c r="L52" s="26" t="s">
        <v>1478</v>
      </c>
      <c r="M52" s="26" t="s">
        <v>2888</v>
      </c>
      <c r="N52" s="28">
        <v>24580000</v>
      </c>
      <c r="O52" s="28">
        <v>4670200</v>
      </c>
      <c r="P52" s="3">
        <v>29250200</v>
      </c>
      <c r="Q52" s="70" t="s">
        <v>302</v>
      </c>
      <c r="R52" s="116"/>
      <c r="S52" s="28">
        <f>+Tabla15133[[#This Row],[VALOR TOTAL DEL CONTRATO
(en pesos)
CON IVA
(inicial)]]+Tabla15133[[#This Row],[VALOR DE LAS ADICIONES
(en pesos)
CON IVA]]</f>
        <v>29250200</v>
      </c>
      <c r="T52" s="4">
        <v>730</v>
      </c>
      <c r="U52" s="70" t="s">
        <v>301</v>
      </c>
      <c r="V52" s="101">
        <v>46</v>
      </c>
      <c r="W52" s="117" t="s">
        <v>302</v>
      </c>
      <c r="X52" s="117"/>
      <c r="Y52" s="71">
        <v>44881</v>
      </c>
      <c r="Z52" s="118">
        <v>45611</v>
      </c>
      <c r="AA52" s="118">
        <v>45657</v>
      </c>
      <c r="AB52" s="43" t="s">
        <v>323</v>
      </c>
      <c r="AC52" s="71">
        <v>45742</v>
      </c>
      <c r="AD52" s="70" t="s">
        <v>321</v>
      </c>
      <c r="AE52" s="30">
        <v>1</v>
      </c>
      <c r="AF52" s="30">
        <v>0.98</v>
      </c>
      <c r="AG52" s="31">
        <v>28626640</v>
      </c>
      <c r="AH52" s="121" t="s">
        <v>2889</v>
      </c>
      <c r="AI52" s="56" t="s">
        <v>2890</v>
      </c>
      <c r="AJ52" s="44">
        <v>2022</v>
      </c>
      <c r="AL52" s="2"/>
    </row>
    <row r="53" spans="1:38" ht="35" customHeight="1" x14ac:dyDescent="0.35">
      <c r="A53" s="43" t="s">
        <v>306</v>
      </c>
      <c r="B53" s="26" t="s">
        <v>298</v>
      </c>
      <c r="C53" s="26" t="s">
        <v>341</v>
      </c>
      <c r="D53" s="27" t="s">
        <v>2891</v>
      </c>
      <c r="E53" s="26" t="s">
        <v>312</v>
      </c>
      <c r="F53" s="74" t="s">
        <v>2892</v>
      </c>
      <c r="G53" s="71">
        <v>44895</v>
      </c>
      <c r="H53" s="26" t="s">
        <v>150</v>
      </c>
      <c r="I53" s="112" t="s">
        <v>2893</v>
      </c>
      <c r="J53" s="47" t="s">
        <v>89</v>
      </c>
      <c r="K53" s="113" t="s">
        <v>84</v>
      </c>
      <c r="L53" s="26" t="s">
        <v>2894</v>
      </c>
      <c r="M53" s="26" t="s">
        <v>2895</v>
      </c>
      <c r="N53" s="29">
        <v>285354035</v>
      </c>
      <c r="O53" s="28">
        <v>54217268</v>
      </c>
      <c r="P53" s="29">
        <v>339571303</v>
      </c>
      <c r="Q53" s="70" t="s">
        <v>301</v>
      </c>
      <c r="R53" s="116">
        <v>33055344</v>
      </c>
      <c r="S53" s="28">
        <f>+Tabla15133[[#This Row],[VALOR TOTAL DEL CONTRATO
(en pesos)
CON IVA
(inicial)]]+Tabla15133[[#This Row],[VALOR DE LAS ADICIONES
(en pesos)
CON IVA]]</f>
        <v>372626647</v>
      </c>
      <c r="T53" s="4">
        <v>1339</v>
      </c>
      <c r="U53" s="70" t="s">
        <v>302</v>
      </c>
      <c r="V53" s="101"/>
      <c r="W53" s="70" t="s">
        <v>302</v>
      </c>
      <c r="X53" s="70"/>
      <c r="Y53" s="71">
        <v>44911</v>
      </c>
      <c r="Z53" s="118">
        <v>46234</v>
      </c>
      <c r="AA53" s="118">
        <v>46234</v>
      </c>
      <c r="AB53" s="43" t="s">
        <v>303</v>
      </c>
      <c r="AC53" s="71"/>
      <c r="AD53" s="70"/>
      <c r="AE53" s="30">
        <v>0.75</v>
      </c>
      <c r="AF53" s="30">
        <v>0.87</v>
      </c>
      <c r="AG53" s="31">
        <v>295249187.58999997</v>
      </c>
      <c r="AH53" s="121" t="s">
        <v>2896</v>
      </c>
      <c r="AI53" s="56" t="s">
        <v>2897</v>
      </c>
      <c r="AJ53" s="44">
        <v>2022</v>
      </c>
      <c r="AL53" s="2"/>
    </row>
    <row r="54" spans="1:38" ht="43.5" x14ac:dyDescent="0.35">
      <c r="A54" s="43" t="s">
        <v>306</v>
      </c>
      <c r="B54" s="26" t="s">
        <v>31</v>
      </c>
      <c r="C54" s="26" t="s">
        <v>36</v>
      </c>
      <c r="D54" s="27">
        <v>5450</v>
      </c>
      <c r="E54" s="26" t="s">
        <v>300</v>
      </c>
      <c r="F54" s="74" t="s">
        <v>2898</v>
      </c>
      <c r="G54" s="71">
        <v>44895</v>
      </c>
      <c r="H54" s="26" t="s">
        <v>150</v>
      </c>
      <c r="I54" s="112" t="s">
        <v>2899</v>
      </c>
      <c r="J54" s="47" t="s">
        <v>89</v>
      </c>
      <c r="K54" s="113" t="s">
        <v>84</v>
      </c>
      <c r="L54" s="26" t="s">
        <v>2900</v>
      </c>
      <c r="M54" s="26" t="s">
        <v>2901</v>
      </c>
      <c r="N54" s="28">
        <v>26849228.571428571</v>
      </c>
      <c r="O54" s="28">
        <v>5101353.4285714282</v>
      </c>
      <c r="P54" s="3">
        <v>31950582</v>
      </c>
      <c r="Q54" s="70" t="s">
        <v>302</v>
      </c>
      <c r="R54" s="116"/>
      <c r="S54" s="28">
        <f>+Tabla15133[[#This Row],[VALOR TOTAL DEL CONTRATO
(en pesos)
CON IVA
(inicial)]]+Tabla15133[[#This Row],[VALOR DE LAS ADICIONES
(en pesos)
CON IVA]]</f>
        <v>31950582</v>
      </c>
      <c r="T54" s="4">
        <v>730</v>
      </c>
      <c r="U54" s="70" t="s">
        <v>302</v>
      </c>
      <c r="V54" s="101"/>
      <c r="W54" s="70" t="s">
        <v>302</v>
      </c>
      <c r="X54" s="70"/>
      <c r="Y54" s="71">
        <v>44901</v>
      </c>
      <c r="Z54" s="118">
        <v>45631</v>
      </c>
      <c r="AA54" s="118">
        <v>45631</v>
      </c>
      <c r="AB54" s="43" t="s">
        <v>323</v>
      </c>
      <c r="AC54" s="71">
        <v>45877</v>
      </c>
      <c r="AD54" s="70" t="s">
        <v>321</v>
      </c>
      <c r="AE54" s="30">
        <v>0.75</v>
      </c>
      <c r="AF54" s="30">
        <v>0.87</v>
      </c>
      <c r="AG54" s="31">
        <v>295249187.58999997</v>
      </c>
      <c r="AH54" s="121"/>
      <c r="AI54" s="56" t="s">
        <v>2902</v>
      </c>
      <c r="AJ54" s="44">
        <v>2022</v>
      </c>
      <c r="AL54" s="2"/>
    </row>
    <row r="55" spans="1:38" ht="43.5" x14ac:dyDescent="0.35">
      <c r="A55" s="43" t="s">
        <v>306</v>
      </c>
      <c r="B55" s="26" t="s">
        <v>298</v>
      </c>
      <c r="C55" s="26" t="s">
        <v>341</v>
      </c>
      <c r="D55" s="27">
        <v>6687</v>
      </c>
      <c r="E55" s="26" t="s">
        <v>300</v>
      </c>
      <c r="F55" s="74" t="s">
        <v>2903</v>
      </c>
      <c r="G55" s="71">
        <v>44896</v>
      </c>
      <c r="H55" s="26" t="s">
        <v>150</v>
      </c>
      <c r="I55" s="112" t="s">
        <v>2904</v>
      </c>
      <c r="J55" s="47" t="s">
        <v>89</v>
      </c>
      <c r="K55" s="113" t="s">
        <v>84</v>
      </c>
      <c r="L55" s="26" t="s">
        <v>2905</v>
      </c>
      <c r="M55" s="26" t="s">
        <v>2906</v>
      </c>
      <c r="N55" s="29">
        <v>198634860</v>
      </c>
      <c r="O55" s="28">
        <v>37740623</v>
      </c>
      <c r="P55" s="29">
        <v>236375483</v>
      </c>
      <c r="Q55" s="70" t="s">
        <v>302</v>
      </c>
      <c r="R55" s="116"/>
      <c r="S55" s="28">
        <f>+Tabla15133[[#This Row],[VALOR TOTAL DEL CONTRATO
(en pesos)
CON IVA
(inicial)]]+Tabla15133[[#This Row],[VALOR DE LAS ADICIONES
(en pesos)
CON IVA]]</f>
        <v>236375483</v>
      </c>
      <c r="T55" s="4">
        <v>1445</v>
      </c>
      <c r="U55" s="70" t="s">
        <v>302</v>
      </c>
      <c r="V55" s="101"/>
      <c r="W55" s="70" t="s">
        <v>302</v>
      </c>
      <c r="X55" s="70"/>
      <c r="Y55" s="71">
        <v>44911</v>
      </c>
      <c r="Z55" s="118">
        <v>46356</v>
      </c>
      <c r="AA55" s="118">
        <v>46356</v>
      </c>
      <c r="AB55" s="43" t="s">
        <v>303</v>
      </c>
      <c r="AC55" s="71"/>
      <c r="AD55" s="70"/>
      <c r="AE55" s="30">
        <v>0.68</v>
      </c>
      <c r="AF55" s="30">
        <v>0.56999999999999995</v>
      </c>
      <c r="AG55" s="31">
        <v>135127564</v>
      </c>
      <c r="AH55" s="121"/>
      <c r="AI55" s="56" t="s">
        <v>2907</v>
      </c>
      <c r="AJ55" s="44">
        <v>2022</v>
      </c>
      <c r="AL55" s="2"/>
    </row>
    <row r="56" spans="1:38" ht="221" x14ac:dyDescent="0.35">
      <c r="A56" s="43" t="s">
        <v>306</v>
      </c>
      <c r="B56" s="26" t="s">
        <v>327</v>
      </c>
      <c r="C56" s="26" t="s">
        <v>44</v>
      </c>
      <c r="D56" s="27">
        <v>5433</v>
      </c>
      <c r="E56" s="26" t="s">
        <v>300</v>
      </c>
      <c r="F56" s="74" t="s">
        <v>2908</v>
      </c>
      <c r="G56" s="71">
        <v>44915</v>
      </c>
      <c r="H56" s="26" t="s">
        <v>150</v>
      </c>
      <c r="I56" s="112" t="s">
        <v>2909</v>
      </c>
      <c r="J56" s="47" t="s">
        <v>89</v>
      </c>
      <c r="K56" s="113" t="s">
        <v>84</v>
      </c>
      <c r="L56" s="26" t="s">
        <v>2910</v>
      </c>
      <c r="M56" s="26" t="s">
        <v>2911</v>
      </c>
      <c r="N56" s="29">
        <v>31120000</v>
      </c>
      <c r="O56" s="28">
        <v>5912800</v>
      </c>
      <c r="P56" s="29">
        <v>37032800</v>
      </c>
      <c r="Q56" s="70" t="s">
        <v>301</v>
      </c>
      <c r="R56" s="114">
        <v>118131300</v>
      </c>
      <c r="S56" s="28">
        <f>+Tabla15133[[#This Row],[VALOR TOTAL DEL CONTRATO
(en pesos)
CON IVA
(inicial)]]+Tabla15133[[#This Row],[VALOR DE LAS ADICIONES
(en pesos)
CON IVA]]</f>
        <v>155164100</v>
      </c>
      <c r="T56" s="4">
        <f>+Tabla15133[[#This Row],[FECHA TERMINACIÓN DEL CONTRATO
(inicial)]]-Tabla15133[[#This Row],[FECHA INICIO CONTRATO]]</f>
        <v>365</v>
      </c>
      <c r="U56" s="70" t="s">
        <v>301</v>
      </c>
      <c r="V56" s="101">
        <f>+Tabla15133[[#This Row],[FECHA TERMINACIÓN DEL CONTRATO
(inicial + prórroga)]]-Tabla15133[[#This Row],[FECHA TERMINACIÓN DEL CONTRATO
(inicial)]]</f>
        <v>1096</v>
      </c>
      <c r="W56" s="70" t="s">
        <v>302</v>
      </c>
      <c r="X56" s="70"/>
      <c r="Y56" s="71">
        <v>44915</v>
      </c>
      <c r="Z56" s="118">
        <v>45280</v>
      </c>
      <c r="AA56" s="118">
        <v>46376</v>
      </c>
      <c r="AB56" s="43" t="s">
        <v>303</v>
      </c>
      <c r="AC56" s="71"/>
      <c r="AD56" s="70"/>
      <c r="AE56" s="30">
        <v>1</v>
      </c>
      <c r="AF56" s="30">
        <v>1</v>
      </c>
      <c r="AG56" s="31">
        <v>117464900</v>
      </c>
      <c r="AH56" s="121" t="s">
        <v>2912</v>
      </c>
      <c r="AI56" s="56" t="s">
        <v>2913</v>
      </c>
      <c r="AJ56" s="44">
        <v>2022</v>
      </c>
      <c r="AL56" s="2"/>
    </row>
    <row r="57" spans="1:38" ht="43.5" x14ac:dyDescent="0.35">
      <c r="A57" s="43" t="s">
        <v>306</v>
      </c>
      <c r="B57" s="26" t="s">
        <v>11</v>
      </c>
      <c r="C57" s="26" t="s">
        <v>2643</v>
      </c>
      <c r="D57" s="27">
        <v>5445</v>
      </c>
      <c r="E57" s="26" t="s">
        <v>300</v>
      </c>
      <c r="F57" s="74" t="s">
        <v>2914</v>
      </c>
      <c r="G57" s="71">
        <v>44907</v>
      </c>
      <c r="H57" s="26" t="s">
        <v>150</v>
      </c>
      <c r="I57" s="112" t="s">
        <v>2915</v>
      </c>
      <c r="J57" s="47" t="s">
        <v>89</v>
      </c>
      <c r="K57" s="113" t="s">
        <v>84</v>
      </c>
      <c r="L57" s="26" t="s">
        <v>2916</v>
      </c>
      <c r="M57" s="26" t="s">
        <v>2917</v>
      </c>
      <c r="N57" s="29">
        <v>29933141</v>
      </c>
      <c r="O57" s="28">
        <v>0</v>
      </c>
      <c r="P57" s="29">
        <v>29933141</v>
      </c>
      <c r="Q57" s="70" t="s">
        <v>302</v>
      </c>
      <c r="R57" s="116"/>
      <c r="S57" s="28">
        <f>+Tabla15133[[#This Row],[VALOR TOTAL DEL CONTRATO
(en pesos)
CON IVA
(inicial)]]+Tabla15133[[#This Row],[VALOR DE LAS ADICIONES
(en pesos)
CON IVA]]</f>
        <v>29933141</v>
      </c>
      <c r="T57" s="4">
        <v>730</v>
      </c>
      <c r="U57" s="70" t="s">
        <v>302</v>
      </c>
      <c r="V57" s="101"/>
      <c r="W57" s="70" t="s">
        <v>302</v>
      </c>
      <c r="X57" s="70"/>
      <c r="Y57" s="71">
        <v>44907</v>
      </c>
      <c r="Z57" s="118">
        <v>45637</v>
      </c>
      <c r="AA57" s="118">
        <v>45637</v>
      </c>
      <c r="AB57" s="43" t="s">
        <v>323</v>
      </c>
      <c r="AC57" s="71">
        <v>45688</v>
      </c>
      <c r="AD57" s="70" t="s">
        <v>321</v>
      </c>
      <c r="AE57" s="30">
        <v>1</v>
      </c>
      <c r="AF57" s="30">
        <v>1</v>
      </c>
      <c r="AG57" s="31">
        <v>29933141</v>
      </c>
      <c r="AH57" s="121"/>
      <c r="AI57" s="56" t="s">
        <v>2918</v>
      </c>
      <c r="AJ57" s="44">
        <v>2022</v>
      </c>
      <c r="AL57" s="2"/>
    </row>
    <row r="58" spans="1:38" ht="29" x14ac:dyDescent="0.35">
      <c r="A58" s="43" t="s">
        <v>306</v>
      </c>
      <c r="B58" s="26" t="s">
        <v>327</v>
      </c>
      <c r="C58" s="26" t="s">
        <v>43</v>
      </c>
      <c r="D58" s="27" t="s">
        <v>2919</v>
      </c>
      <c r="E58" s="26" t="s">
        <v>300</v>
      </c>
      <c r="F58" s="74" t="s">
        <v>2920</v>
      </c>
      <c r="G58" s="71">
        <v>44914</v>
      </c>
      <c r="H58" s="26" t="s">
        <v>150</v>
      </c>
      <c r="I58" s="112" t="s">
        <v>2921</v>
      </c>
      <c r="J58" s="47" t="s">
        <v>89</v>
      </c>
      <c r="K58" s="113" t="s">
        <v>84</v>
      </c>
      <c r="L58" s="26" t="s">
        <v>1662</v>
      </c>
      <c r="M58" s="26" t="s">
        <v>343</v>
      </c>
      <c r="N58" s="28">
        <v>132418297</v>
      </c>
      <c r="O58" s="28">
        <v>25159476</v>
      </c>
      <c r="P58" s="3">
        <v>157577773</v>
      </c>
      <c r="Q58" s="70" t="s">
        <v>301</v>
      </c>
      <c r="R58" s="116">
        <v>52788400</v>
      </c>
      <c r="S58" s="28">
        <f>+Tabla15133[[#This Row],[VALOR TOTAL DEL CONTRATO
(en pesos)
CON IVA
(inicial)]]+Tabla15133[[#This Row],[VALOR DE LAS ADICIONES
(en pesos)
CON IVA]]</f>
        <v>210366173</v>
      </c>
      <c r="T58" s="4">
        <v>1095</v>
      </c>
      <c r="U58" s="70" t="s">
        <v>302</v>
      </c>
      <c r="V58" s="101"/>
      <c r="W58" s="70" t="s">
        <v>302</v>
      </c>
      <c r="X58" s="70"/>
      <c r="Y58" s="71">
        <v>44927</v>
      </c>
      <c r="Z58" s="118">
        <v>46022</v>
      </c>
      <c r="AA58" s="118">
        <v>46022</v>
      </c>
      <c r="AB58" s="43" t="s">
        <v>325</v>
      </c>
      <c r="AC58" s="71"/>
      <c r="AD58" s="70" t="s">
        <v>321</v>
      </c>
      <c r="AE58" s="61">
        <v>0.97</v>
      </c>
      <c r="AF58" s="61">
        <v>0.59</v>
      </c>
      <c r="AG58" s="62">
        <v>124116042.06999999</v>
      </c>
      <c r="AH58" s="121" t="s">
        <v>2922</v>
      </c>
      <c r="AI58" s="56"/>
      <c r="AJ58" s="44">
        <v>2022</v>
      </c>
      <c r="AL58" s="2"/>
    </row>
    <row r="59" spans="1:38" ht="96" x14ac:dyDescent="0.35">
      <c r="A59" s="43" t="s">
        <v>306</v>
      </c>
      <c r="B59" s="26" t="s">
        <v>322</v>
      </c>
      <c r="C59" s="26" t="s">
        <v>66</v>
      </c>
      <c r="D59" s="27" t="s">
        <v>2923</v>
      </c>
      <c r="E59" s="26" t="s">
        <v>324</v>
      </c>
      <c r="F59" s="74" t="s">
        <v>2924</v>
      </c>
      <c r="G59" s="71">
        <v>44915</v>
      </c>
      <c r="H59" s="26" t="s">
        <v>150</v>
      </c>
      <c r="I59" s="112" t="s">
        <v>2925</v>
      </c>
      <c r="J59" s="47" t="s">
        <v>89</v>
      </c>
      <c r="K59" s="113" t="s">
        <v>84</v>
      </c>
      <c r="L59" s="26" t="s">
        <v>2840</v>
      </c>
      <c r="M59" s="26" t="s">
        <v>2926</v>
      </c>
      <c r="N59" s="28">
        <v>1510634267</v>
      </c>
      <c r="O59" s="28">
        <v>287020511</v>
      </c>
      <c r="P59" s="3">
        <v>1797654777.5999999</v>
      </c>
      <c r="Q59" s="70" t="s">
        <v>302</v>
      </c>
      <c r="R59" s="116"/>
      <c r="S59" s="28">
        <f>+Tabla15133[[#This Row],[VALOR TOTAL DEL CONTRATO
(en pesos)
CON IVA
(inicial)]]+Tabla15133[[#This Row],[VALOR DE LAS ADICIONES
(en pesos)
CON IVA]]</f>
        <v>1797654777.5999999</v>
      </c>
      <c r="T59" s="4">
        <v>273</v>
      </c>
      <c r="U59" s="70" t="s">
        <v>301</v>
      </c>
      <c r="V59" s="101">
        <f>+Tabla15133[[#This Row],[FECHA TERMINACIÓN DEL CONTRATO
(inicial + prórroga)]]-Tabla15133[[#This Row],[FECHA TERMINACIÓN DEL CONTRATO
(inicial)]]</f>
        <v>863</v>
      </c>
      <c r="W59" s="117" t="s">
        <v>302</v>
      </c>
      <c r="X59" s="117"/>
      <c r="Y59" s="71">
        <v>44917</v>
      </c>
      <c r="Z59" s="118">
        <v>45190</v>
      </c>
      <c r="AA59" s="118">
        <v>46053</v>
      </c>
      <c r="AB59" s="43" t="s">
        <v>303</v>
      </c>
      <c r="AC59" s="71"/>
      <c r="AD59" s="71"/>
      <c r="AE59" s="30">
        <v>0.90439999999999998</v>
      </c>
      <c r="AF59" s="30">
        <v>0.93379999999999996</v>
      </c>
      <c r="AG59" s="31">
        <v>1678654778</v>
      </c>
      <c r="AH59" s="46" t="s">
        <v>2927</v>
      </c>
      <c r="AI59" s="56" t="s">
        <v>2928</v>
      </c>
      <c r="AJ59" s="44">
        <v>2022</v>
      </c>
      <c r="AL59" s="2"/>
    </row>
    <row r="60" spans="1:38" ht="43.5" x14ac:dyDescent="0.35">
      <c r="A60" s="43" t="s">
        <v>306</v>
      </c>
      <c r="B60" s="26" t="s">
        <v>322</v>
      </c>
      <c r="C60" s="26" t="s">
        <v>72</v>
      </c>
      <c r="D60" s="27">
        <v>5498</v>
      </c>
      <c r="E60" s="26" t="s">
        <v>300</v>
      </c>
      <c r="F60" s="74" t="s">
        <v>2929</v>
      </c>
      <c r="G60" s="71">
        <v>44922</v>
      </c>
      <c r="H60" s="26" t="s">
        <v>132</v>
      </c>
      <c r="I60" s="112" t="s">
        <v>2930</v>
      </c>
      <c r="J60" s="47" t="s">
        <v>89</v>
      </c>
      <c r="K60" s="113" t="s">
        <v>84</v>
      </c>
      <c r="L60" s="26" t="s">
        <v>2931</v>
      </c>
      <c r="M60" s="26" t="s">
        <v>2932</v>
      </c>
      <c r="N60" s="29">
        <v>68027904</v>
      </c>
      <c r="O60" s="28">
        <v>12925301</v>
      </c>
      <c r="P60" s="29">
        <v>80953205</v>
      </c>
      <c r="Q60" s="70" t="s">
        <v>302</v>
      </c>
      <c r="R60" s="116"/>
      <c r="S60" s="28">
        <f>+Tabla15133[[#This Row],[VALOR TOTAL DEL CONTRATO
(en pesos)
CON IVA
(inicial)]]+Tabla15133[[#This Row],[VALOR DE LAS ADICIONES
(en pesos)
CON IVA]]</f>
        <v>80953205</v>
      </c>
      <c r="T60" s="4">
        <v>1095</v>
      </c>
      <c r="U60" s="70" t="s">
        <v>302</v>
      </c>
      <c r="V60" s="101"/>
      <c r="W60" s="70" t="s">
        <v>302</v>
      </c>
      <c r="X60" s="70"/>
      <c r="Y60" s="71">
        <v>44927</v>
      </c>
      <c r="Z60" s="118">
        <v>46022</v>
      </c>
      <c r="AA60" s="118">
        <v>46022</v>
      </c>
      <c r="AB60" s="43" t="s">
        <v>303</v>
      </c>
      <c r="AC60" s="71"/>
      <c r="AD60" s="70"/>
      <c r="AE60" s="30">
        <v>1</v>
      </c>
      <c r="AF60" s="30">
        <v>0.97199999999999998</v>
      </c>
      <c r="AG60" s="31">
        <v>64683000</v>
      </c>
      <c r="AH60" s="121"/>
      <c r="AI60" s="56"/>
      <c r="AJ60" s="44">
        <v>2022</v>
      </c>
      <c r="AL60" s="2"/>
    </row>
    <row r="61" spans="1:38" s="1" customFormat="1" ht="43.5" x14ac:dyDescent="0.35">
      <c r="A61" s="124" t="s">
        <v>306</v>
      </c>
      <c r="B61" s="81" t="s">
        <v>11</v>
      </c>
      <c r="C61" s="26" t="s">
        <v>20</v>
      </c>
      <c r="D61" s="27" t="s">
        <v>2933</v>
      </c>
      <c r="E61" s="26" t="s">
        <v>300</v>
      </c>
      <c r="F61" s="125" t="s">
        <v>2934</v>
      </c>
      <c r="G61" s="126">
        <v>44918</v>
      </c>
      <c r="H61" s="26" t="s">
        <v>150</v>
      </c>
      <c r="I61" s="112" t="s">
        <v>2935</v>
      </c>
      <c r="J61" s="47" t="s">
        <v>89</v>
      </c>
      <c r="K61" s="113" t="s">
        <v>84</v>
      </c>
      <c r="L61" s="81" t="s">
        <v>2936</v>
      </c>
      <c r="M61" s="26" t="s">
        <v>2937</v>
      </c>
      <c r="N61" s="33">
        <v>20000000</v>
      </c>
      <c r="O61" s="33">
        <v>3800000</v>
      </c>
      <c r="P61" s="127">
        <v>23800000</v>
      </c>
      <c r="Q61" s="128" t="s">
        <v>301</v>
      </c>
      <c r="R61" s="129">
        <v>12602100</v>
      </c>
      <c r="S61" s="28">
        <f>+Tabla15133[[#This Row],[VALOR TOTAL DEL CONTRATO
(en pesos)
CON IVA
(inicial)]]+Tabla15133[[#This Row],[VALOR DE LAS ADICIONES
(en pesos)
CON IVA]]</f>
        <v>36402100</v>
      </c>
      <c r="T61" s="130">
        <v>730</v>
      </c>
      <c r="U61" s="128" t="s">
        <v>301</v>
      </c>
      <c r="V61" s="101">
        <f>+Tabla15133[[#This Row],[FECHA TERMINACIÓN DEL CONTRATO
(inicial + prórroga)]]-Tabla15133[[#This Row],[FECHA TERMINACIÓN DEL CONTRATO
(inicial)]]</f>
        <v>364</v>
      </c>
      <c r="W61" s="135" t="s">
        <v>302</v>
      </c>
      <c r="X61" s="135"/>
      <c r="Y61" s="126">
        <v>44928</v>
      </c>
      <c r="Z61" s="131">
        <v>45658</v>
      </c>
      <c r="AA61" s="131">
        <v>46022</v>
      </c>
      <c r="AB61" s="124" t="s">
        <v>325</v>
      </c>
      <c r="AC61" s="126"/>
      <c r="AD61" s="70" t="s">
        <v>321</v>
      </c>
      <c r="AE61" s="132">
        <v>0.99</v>
      </c>
      <c r="AF61" s="132">
        <v>0.65</v>
      </c>
      <c r="AG61" s="133">
        <v>22622838.189999998</v>
      </c>
      <c r="AH61" s="121" t="s">
        <v>2938</v>
      </c>
      <c r="AI61" s="56"/>
      <c r="AJ61" s="134">
        <v>2022</v>
      </c>
    </row>
    <row r="62" spans="1:38" ht="29" x14ac:dyDescent="0.35">
      <c r="A62" s="43" t="s">
        <v>306</v>
      </c>
      <c r="B62" s="26" t="s">
        <v>4</v>
      </c>
      <c r="C62" s="26" t="s">
        <v>2860</v>
      </c>
      <c r="D62" s="27">
        <v>5569</v>
      </c>
      <c r="E62" s="26" t="s">
        <v>300</v>
      </c>
      <c r="F62" s="74" t="s">
        <v>2939</v>
      </c>
      <c r="G62" s="71">
        <v>44925</v>
      </c>
      <c r="H62" s="26" t="s">
        <v>150</v>
      </c>
      <c r="I62" s="112" t="s">
        <v>2940</v>
      </c>
      <c r="J62" s="47" t="s">
        <v>89</v>
      </c>
      <c r="K62" s="113" t="s">
        <v>84</v>
      </c>
      <c r="L62" s="26" t="s">
        <v>1585</v>
      </c>
      <c r="M62" s="26" t="s">
        <v>330</v>
      </c>
      <c r="N62" s="28">
        <v>305917176</v>
      </c>
      <c r="O62" s="28">
        <v>58124263</v>
      </c>
      <c r="P62" s="3">
        <v>364041439</v>
      </c>
      <c r="Q62" s="70" t="s">
        <v>302</v>
      </c>
      <c r="R62" s="116"/>
      <c r="S62" s="28">
        <f>+Tabla15133[[#This Row],[VALOR TOTAL DEL CONTRATO
(en pesos)
CON IVA
(inicial)]]+Tabla15133[[#This Row],[VALOR DE LAS ADICIONES
(en pesos)
CON IVA]]</f>
        <v>364041439</v>
      </c>
      <c r="T62" s="4">
        <v>730</v>
      </c>
      <c r="U62" s="70" t="s">
        <v>302</v>
      </c>
      <c r="V62" s="101"/>
      <c r="W62" s="70" t="s">
        <v>302</v>
      </c>
      <c r="X62" s="70"/>
      <c r="Y62" s="71">
        <v>44927</v>
      </c>
      <c r="Z62" s="118">
        <v>45657</v>
      </c>
      <c r="AA62" s="118">
        <v>45657</v>
      </c>
      <c r="AB62" s="43" t="s">
        <v>323</v>
      </c>
      <c r="AC62" s="71">
        <v>45708</v>
      </c>
      <c r="AD62" s="70" t="s">
        <v>321</v>
      </c>
      <c r="AE62" s="30">
        <v>1</v>
      </c>
      <c r="AF62" s="55">
        <v>0.95</v>
      </c>
      <c r="AG62" s="31">
        <v>344881677</v>
      </c>
      <c r="AH62" s="121"/>
      <c r="AI62" s="56" t="s">
        <v>2941</v>
      </c>
      <c r="AJ62" s="44">
        <v>2022</v>
      </c>
      <c r="AL62" s="2"/>
    </row>
    <row r="63" spans="1:38" ht="43.5" x14ac:dyDescent="0.35">
      <c r="A63" s="43" t="s">
        <v>306</v>
      </c>
      <c r="B63" s="26" t="s">
        <v>31</v>
      </c>
      <c r="C63" s="26" t="s">
        <v>36</v>
      </c>
      <c r="D63" s="27">
        <v>5538</v>
      </c>
      <c r="E63" s="26" t="s">
        <v>300</v>
      </c>
      <c r="F63" s="74" t="s">
        <v>2942</v>
      </c>
      <c r="G63" s="71">
        <v>44958</v>
      </c>
      <c r="H63" s="26" t="s">
        <v>2838</v>
      </c>
      <c r="I63" s="112" t="s">
        <v>2943</v>
      </c>
      <c r="J63" s="47" t="s">
        <v>89</v>
      </c>
      <c r="K63" s="113" t="s">
        <v>84</v>
      </c>
      <c r="L63" s="26" t="s">
        <v>2944</v>
      </c>
      <c r="M63" s="26" t="s">
        <v>2945</v>
      </c>
      <c r="N63" s="28">
        <v>357624991.61000001</v>
      </c>
      <c r="O63" s="28">
        <v>67948748.405900002</v>
      </c>
      <c r="P63" s="3">
        <v>425573740</v>
      </c>
      <c r="Q63" s="70" t="s">
        <v>302</v>
      </c>
      <c r="R63" s="136"/>
      <c r="S63" s="28">
        <f>+Tabla15133[[#This Row],[VALOR TOTAL DEL CONTRATO
(en pesos)
CON IVA
(inicial)]]+Tabla15133[[#This Row],[VALOR DE LAS ADICIONES
(en pesos)
CON IVA]]</f>
        <v>425573740</v>
      </c>
      <c r="T63" s="4">
        <v>758</v>
      </c>
      <c r="U63" s="70" t="s">
        <v>302</v>
      </c>
      <c r="V63" s="101"/>
      <c r="W63" s="70" t="s">
        <v>302</v>
      </c>
      <c r="X63" s="70"/>
      <c r="Y63" s="71">
        <v>44958</v>
      </c>
      <c r="Z63" s="118">
        <v>45716</v>
      </c>
      <c r="AA63" s="118">
        <v>45716</v>
      </c>
      <c r="AB63" s="43" t="s">
        <v>320</v>
      </c>
      <c r="AC63" s="71"/>
      <c r="AD63" s="70" t="s">
        <v>321</v>
      </c>
      <c r="AE63" s="30">
        <v>1</v>
      </c>
      <c r="AF63" s="30">
        <v>1</v>
      </c>
      <c r="AG63" s="31">
        <v>425573740</v>
      </c>
      <c r="AH63" s="121" t="s">
        <v>2946</v>
      </c>
      <c r="AI63" s="56" t="s">
        <v>2947</v>
      </c>
      <c r="AJ63" s="44">
        <v>2023</v>
      </c>
      <c r="AL63" s="2"/>
    </row>
    <row r="64" spans="1:38" ht="43.5" x14ac:dyDescent="0.35">
      <c r="A64" s="43" t="s">
        <v>306</v>
      </c>
      <c r="B64" s="2" t="s">
        <v>11</v>
      </c>
      <c r="C64" s="26" t="s">
        <v>2948</v>
      </c>
      <c r="D64" s="27" t="s">
        <v>2949</v>
      </c>
      <c r="E64" s="111" t="s">
        <v>300</v>
      </c>
      <c r="F64" s="137" t="s">
        <v>204</v>
      </c>
      <c r="G64" s="71">
        <v>44937</v>
      </c>
      <c r="H64" s="26" t="s">
        <v>150</v>
      </c>
      <c r="I64" s="112" t="s">
        <v>2950</v>
      </c>
      <c r="J64" s="47" t="s">
        <v>89</v>
      </c>
      <c r="K64" s="113" t="s">
        <v>84</v>
      </c>
      <c r="L64" s="26" t="s">
        <v>1510</v>
      </c>
      <c r="M64" s="2" t="s">
        <v>2951</v>
      </c>
      <c r="N64" s="28">
        <v>10000000</v>
      </c>
      <c r="O64" s="28">
        <v>0</v>
      </c>
      <c r="P64" s="3">
        <v>10000000</v>
      </c>
      <c r="Q64" s="70" t="s">
        <v>301</v>
      </c>
      <c r="R64" s="3">
        <v>10000000</v>
      </c>
      <c r="S64" s="28">
        <f>+Tabla15133[[#This Row],[VALOR TOTAL DEL CONTRATO
(en pesos)
CON IVA
(inicial)]]+Tabla15133[[#This Row],[VALOR DE LAS ADICIONES
(en pesos)
CON IVA]]</f>
        <v>20000000</v>
      </c>
      <c r="T64" s="4">
        <v>354</v>
      </c>
      <c r="U64" s="70" t="s">
        <v>301</v>
      </c>
      <c r="V64" s="101">
        <v>366</v>
      </c>
      <c r="W64" s="117" t="s">
        <v>302</v>
      </c>
      <c r="X64" s="117"/>
      <c r="Y64" s="71">
        <v>44937</v>
      </c>
      <c r="Z64" s="118">
        <v>45291</v>
      </c>
      <c r="AA64" s="118">
        <v>45657</v>
      </c>
      <c r="AB64" s="43" t="s">
        <v>323</v>
      </c>
      <c r="AC64" s="71">
        <v>45730</v>
      </c>
      <c r="AD64" s="70" t="s">
        <v>321</v>
      </c>
      <c r="AE64" s="30">
        <v>1</v>
      </c>
      <c r="AF64" s="30">
        <v>1</v>
      </c>
      <c r="AG64" s="31">
        <v>19500000</v>
      </c>
      <c r="AH64" s="72"/>
      <c r="AI64" s="56" t="s">
        <v>2952</v>
      </c>
      <c r="AJ64" s="44">
        <v>2023</v>
      </c>
      <c r="AL64" s="2"/>
    </row>
    <row r="65" spans="1:39" ht="257.5" customHeight="1" x14ac:dyDescent="0.35">
      <c r="A65" s="43" t="s">
        <v>306</v>
      </c>
      <c r="B65" s="2" t="s">
        <v>322</v>
      </c>
      <c r="C65" s="26" t="s">
        <v>72</v>
      </c>
      <c r="D65" s="27">
        <v>5616</v>
      </c>
      <c r="E65" s="111" t="s">
        <v>300</v>
      </c>
      <c r="F65" s="74" t="s">
        <v>209</v>
      </c>
      <c r="G65" s="71">
        <v>44944</v>
      </c>
      <c r="H65" s="26" t="s">
        <v>150</v>
      </c>
      <c r="I65" s="112" t="s">
        <v>2953</v>
      </c>
      <c r="J65" s="47" t="s">
        <v>89</v>
      </c>
      <c r="K65" s="113" t="s">
        <v>84</v>
      </c>
      <c r="L65" s="26" t="s">
        <v>1690</v>
      </c>
      <c r="M65" s="26" t="s">
        <v>2954</v>
      </c>
      <c r="N65" s="29">
        <v>856162716</v>
      </c>
      <c r="O65" s="28">
        <v>162670917</v>
      </c>
      <c r="P65" s="3">
        <v>1018833633</v>
      </c>
      <c r="Q65" s="70" t="s">
        <v>302</v>
      </c>
      <c r="R65" s="3"/>
      <c r="S65" s="28">
        <f>+Tabla15133[[#This Row],[VALOR TOTAL DEL CONTRATO
(en pesos)
CON IVA
(inicial)]]+Tabla15133[[#This Row],[VALOR DE LAS ADICIONES
(en pesos)
CON IVA]]</f>
        <v>1018833633</v>
      </c>
      <c r="T65" s="4">
        <v>1072</v>
      </c>
      <c r="U65" s="70" t="s">
        <v>302</v>
      </c>
      <c r="V65" s="101"/>
      <c r="W65" s="70" t="s">
        <v>302</v>
      </c>
      <c r="X65" s="70"/>
      <c r="Y65" s="71">
        <v>44950</v>
      </c>
      <c r="Z65" s="118">
        <v>46022</v>
      </c>
      <c r="AA65" s="118">
        <v>46022</v>
      </c>
      <c r="AB65" s="43" t="s">
        <v>325</v>
      </c>
      <c r="AC65" s="71"/>
      <c r="AD65" s="70" t="s">
        <v>321</v>
      </c>
      <c r="AE65" s="138" t="s">
        <v>2955</v>
      </c>
      <c r="AF65" s="138" t="s">
        <v>2956</v>
      </c>
      <c r="AG65" s="31" t="s">
        <v>2957</v>
      </c>
      <c r="AH65" s="72"/>
      <c r="AI65" s="56" t="s">
        <v>2958</v>
      </c>
      <c r="AJ65" s="44">
        <v>2023</v>
      </c>
      <c r="AL65" s="2"/>
    </row>
    <row r="66" spans="1:39" ht="58" x14ac:dyDescent="0.35">
      <c r="A66" s="43" t="s">
        <v>306</v>
      </c>
      <c r="B66" s="2" t="s">
        <v>322</v>
      </c>
      <c r="C66" s="26" t="s">
        <v>68</v>
      </c>
      <c r="D66" s="27" t="s">
        <v>2959</v>
      </c>
      <c r="E66" s="111" t="s">
        <v>324</v>
      </c>
      <c r="F66" s="74" t="s">
        <v>214</v>
      </c>
      <c r="G66" s="71">
        <v>44945</v>
      </c>
      <c r="H66" s="26" t="s">
        <v>150</v>
      </c>
      <c r="I66" s="67" t="s">
        <v>2960</v>
      </c>
      <c r="J66" s="47" t="s">
        <v>95</v>
      </c>
      <c r="K66" s="113" t="s">
        <v>84</v>
      </c>
      <c r="L66" s="26" t="s">
        <v>2961</v>
      </c>
      <c r="M66" s="2" t="s">
        <v>2962</v>
      </c>
      <c r="N66" s="28">
        <v>1595938840</v>
      </c>
      <c r="O66" s="28">
        <v>303228380</v>
      </c>
      <c r="P66" s="3">
        <v>1899167220</v>
      </c>
      <c r="Q66" s="70" t="s">
        <v>301</v>
      </c>
      <c r="R66" s="3">
        <v>110670000</v>
      </c>
      <c r="S66" s="28">
        <f>+Tabla15133[[#This Row],[VALOR TOTAL DEL CONTRATO
(en pesos)
CON IVA
(inicial)]]+Tabla15133[[#This Row],[VALOR DE LAS ADICIONES
(en pesos)
CON IVA]]</f>
        <v>2009837220</v>
      </c>
      <c r="T66" s="4">
        <v>730</v>
      </c>
      <c r="U66" s="70" t="s">
        <v>301</v>
      </c>
      <c r="V66" s="101">
        <f>+Tabla15133[[#This Row],[FECHA TERMINACIÓN DEL CONTRATO
(inicial + prórroga)]]-Tabla15133[[#This Row],[FECHA TERMINACIÓN DEL CONTRATO
(inicial)]]</f>
        <v>393</v>
      </c>
      <c r="W66" s="70" t="s">
        <v>302</v>
      </c>
      <c r="X66" s="70"/>
      <c r="Y66" s="65">
        <v>44958</v>
      </c>
      <c r="Z66" s="118">
        <v>45688</v>
      </c>
      <c r="AA66" s="118">
        <v>46081</v>
      </c>
      <c r="AB66" s="43" t="s">
        <v>303</v>
      </c>
      <c r="AC66" s="71"/>
      <c r="AD66" s="70"/>
      <c r="AE66" s="61">
        <v>0.95</v>
      </c>
      <c r="AF66" s="61">
        <v>0.92</v>
      </c>
      <c r="AG66" s="31">
        <v>1846674763</v>
      </c>
      <c r="AH66" s="72" t="s">
        <v>2963</v>
      </c>
      <c r="AI66" s="56" t="s">
        <v>2964</v>
      </c>
      <c r="AJ66" s="44">
        <v>2023</v>
      </c>
      <c r="AL66" s="2"/>
    </row>
    <row r="67" spans="1:39" ht="43.5" x14ac:dyDescent="0.35">
      <c r="A67" s="43" t="s">
        <v>306</v>
      </c>
      <c r="B67" s="2" t="s">
        <v>31</v>
      </c>
      <c r="C67" s="26" t="s">
        <v>2965</v>
      </c>
      <c r="D67" s="27">
        <v>6654</v>
      </c>
      <c r="E67" s="26" t="s">
        <v>312</v>
      </c>
      <c r="F67" s="74" t="s">
        <v>219</v>
      </c>
      <c r="G67" s="71">
        <v>44945</v>
      </c>
      <c r="H67" s="26" t="s">
        <v>150</v>
      </c>
      <c r="I67" s="112" t="s">
        <v>2966</v>
      </c>
      <c r="J67" s="47" t="s">
        <v>89</v>
      </c>
      <c r="K67" s="113" t="s">
        <v>84</v>
      </c>
      <c r="L67" s="26" t="s">
        <v>2967</v>
      </c>
      <c r="M67" s="26" t="s">
        <v>2968</v>
      </c>
      <c r="N67" s="28">
        <v>261076302.5210084</v>
      </c>
      <c r="O67" s="28">
        <v>49604497.478991598</v>
      </c>
      <c r="P67" s="3">
        <v>310680800</v>
      </c>
      <c r="Q67" s="70" t="s">
        <v>301</v>
      </c>
      <c r="R67" s="3">
        <v>190400000</v>
      </c>
      <c r="S67" s="28">
        <f>+Tabla15133[[#This Row],[VALOR TOTAL DEL CONTRATO
(en pesos)
CON IVA
(inicial)]]+Tabla15133[[#This Row],[VALOR DE LAS ADICIONES
(en pesos)
CON IVA]]</f>
        <v>501080800</v>
      </c>
      <c r="T67" s="4">
        <v>730</v>
      </c>
      <c r="U67" s="70" t="s">
        <v>301</v>
      </c>
      <c r="V67" s="101">
        <f>+Tabla15133[[#This Row],[FECHA TERMINACIÓN DEL CONTRATO
(inicial + prórroga)]]-Tabla15133[[#This Row],[FECHA TERMINACIÓN DEL CONTRATO
(inicial)]]</f>
        <v>365</v>
      </c>
      <c r="W67" s="117" t="s">
        <v>302</v>
      </c>
      <c r="X67" s="117"/>
      <c r="Y67" s="71">
        <v>44945</v>
      </c>
      <c r="Z67" s="118">
        <v>45675</v>
      </c>
      <c r="AA67" s="118">
        <v>46040</v>
      </c>
      <c r="AB67" s="43" t="s">
        <v>303</v>
      </c>
      <c r="AC67" s="71"/>
      <c r="AD67" s="70"/>
      <c r="AE67" s="30">
        <v>0.94440000000000002</v>
      </c>
      <c r="AF67" s="30">
        <v>0.93669999999999998</v>
      </c>
      <c r="AG67" s="31">
        <v>469170800</v>
      </c>
      <c r="AH67" s="72" t="s">
        <v>2969</v>
      </c>
      <c r="AI67" s="56" t="s">
        <v>2970</v>
      </c>
      <c r="AJ67" s="44">
        <v>2023</v>
      </c>
      <c r="AL67" s="2"/>
    </row>
    <row r="68" spans="1:39" ht="58" x14ac:dyDescent="0.35">
      <c r="A68" s="43" t="s">
        <v>306</v>
      </c>
      <c r="B68" s="2" t="s">
        <v>298</v>
      </c>
      <c r="C68" s="26" t="s">
        <v>26</v>
      </c>
      <c r="D68" s="27">
        <v>5551</v>
      </c>
      <c r="E68" s="111" t="s">
        <v>300</v>
      </c>
      <c r="F68" s="74" t="s">
        <v>247</v>
      </c>
      <c r="G68" s="71">
        <v>44963</v>
      </c>
      <c r="H68" s="26" t="s">
        <v>150</v>
      </c>
      <c r="I68" s="112" t="s">
        <v>2971</v>
      </c>
      <c r="J68" s="47" t="s">
        <v>89</v>
      </c>
      <c r="K68" s="113" t="s">
        <v>84</v>
      </c>
      <c r="L68" s="26" t="s">
        <v>2972</v>
      </c>
      <c r="M68" s="26" t="s">
        <v>2973</v>
      </c>
      <c r="N68" s="29">
        <v>117935855</v>
      </c>
      <c r="O68" s="28">
        <v>22407813</v>
      </c>
      <c r="P68" s="29">
        <v>140343668</v>
      </c>
      <c r="Q68" s="70" t="s">
        <v>302</v>
      </c>
      <c r="R68" s="3"/>
      <c r="S68" s="28">
        <f>+Tabla15133[[#This Row],[VALOR TOTAL DEL CONTRATO
(en pesos)
CON IVA
(inicial)]]+Tabla15133[[#This Row],[VALOR DE LAS ADICIONES
(en pesos)
CON IVA]]</f>
        <v>140343668</v>
      </c>
      <c r="T68" s="4">
        <v>691</v>
      </c>
      <c r="U68" s="70" t="s">
        <v>302</v>
      </c>
      <c r="V68" s="101"/>
      <c r="W68" s="70" t="s">
        <v>302</v>
      </c>
      <c r="X68" s="70"/>
      <c r="Y68" s="71">
        <v>44966</v>
      </c>
      <c r="Z68" s="118">
        <v>45657</v>
      </c>
      <c r="AA68" s="118">
        <v>45657</v>
      </c>
      <c r="AB68" s="43" t="s">
        <v>323</v>
      </c>
      <c r="AC68" s="71">
        <v>45828</v>
      </c>
      <c r="AD68" s="70" t="s">
        <v>321</v>
      </c>
      <c r="AE68" s="30">
        <v>1</v>
      </c>
      <c r="AF68" s="30">
        <v>0.4708</v>
      </c>
      <c r="AG68" s="31">
        <v>66085786</v>
      </c>
      <c r="AH68" s="72"/>
      <c r="AI68" s="56" t="s">
        <v>2974</v>
      </c>
      <c r="AJ68" s="44">
        <v>2023</v>
      </c>
      <c r="AL68" s="2"/>
      <c r="AM68" s="139"/>
    </row>
    <row r="69" spans="1:39" ht="43.5" x14ac:dyDescent="0.35">
      <c r="A69" s="43" t="s">
        <v>306</v>
      </c>
      <c r="B69" s="2" t="s">
        <v>31</v>
      </c>
      <c r="C69" s="26" t="s">
        <v>39</v>
      </c>
      <c r="D69" s="27">
        <v>5637</v>
      </c>
      <c r="E69" s="111" t="s">
        <v>300</v>
      </c>
      <c r="F69" s="74" t="s">
        <v>255</v>
      </c>
      <c r="G69" s="71">
        <v>44957</v>
      </c>
      <c r="H69" s="26" t="s">
        <v>150</v>
      </c>
      <c r="I69" s="112" t="s">
        <v>2975</v>
      </c>
      <c r="J69" s="47" t="s">
        <v>89</v>
      </c>
      <c r="K69" s="113" t="s">
        <v>84</v>
      </c>
      <c r="L69" s="26" t="s">
        <v>2976</v>
      </c>
      <c r="M69" s="26" t="s">
        <v>2977</v>
      </c>
      <c r="N69" s="28">
        <v>18614293989</v>
      </c>
      <c r="O69" s="28">
        <v>3536715857.9099998</v>
      </c>
      <c r="P69" s="3">
        <v>22151009847</v>
      </c>
      <c r="Q69" s="70" t="s">
        <v>302</v>
      </c>
      <c r="R69" s="3"/>
      <c r="S69" s="28">
        <f>+Tabla15133[[#This Row],[VALOR TOTAL DEL CONTRATO
(en pesos)
CON IVA
(inicial)]]+Tabla15133[[#This Row],[VALOR DE LAS ADICIONES
(en pesos)
CON IVA]]</f>
        <v>22151009847</v>
      </c>
      <c r="T69" s="4">
        <v>1095</v>
      </c>
      <c r="U69" s="70" t="s">
        <v>302</v>
      </c>
      <c r="V69" s="101"/>
      <c r="W69" s="70" t="s">
        <v>302</v>
      </c>
      <c r="X69" s="70"/>
      <c r="Y69" s="71">
        <v>44958</v>
      </c>
      <c r="Z69" s="118">
        <v>46053</v>
      </c>
      <c r="AA69" s="118">
        <v>46053</v>
      </c>
      <c r="AB69" s="43" t="s">
        <v>303</v>
      </c>
      <c r="AC69" s="71"/>
      <c r="AD69" s="70"/>
      <c r="AE69" s="30">
        <v>0.94440000000000002</v>
      </c>
      <c r="AF69" s="30">
        <v>0.81110000000000004</v>
      </c>
      <c r="AG69" s="31">
        <v>17966930609</v>
      </c>
      <c r="AH69" s="72"/>
      <c r="AI69" s="56" t="s">
        <v>2978</v>
      </c>
      <c r="AJ69" s="44">
        <v>2023</v>
      </c>
      <c r="AL69" s="2"/>
    </row>
    <row r="70" spans="1:39" s="1" customFormat="1" ht="72.5" x14ac:dyDescent="0.35">
      <c r="A70" s="124" t="s">
        <v>306</v>
      </c>
      <c r="B70" s="1" t="s">
        <v>11</v>
      </c>
      <c r="C70" s="26" t="s">
        <v>2948</v>
      </c>
      <c r="D70" s="140" t="s">
        <v>2979</v>
      </c>
      <c r="E70" s="111" t="s">
        <v>300</v>
      </c>
      <c r="F70" s="125" t="s">
        <v>261</v>
      </c>
      <c r="G70" s="126">
        <v>44957</v>
      </c>
      <c r="H70" s="26" t="s">
        <v>150</v>
      </c>
      <c r="I70" s="112" t="s">
        <v>2980</v>
      </c>
      <c r="J70" s="47" t="s">
        <v>89</v>
      </c>
      <c r="K70" s="113" t="s">
        <v>84</v>
      </c>
      <c r="L70" s="81" t="s">
        <v>1467</v>
      </c>
      <c r="M70" s="26" t="s">
        <v>2981</v>
      </c>
      <c r="N70" s="33">
        <v>20000000</v>
      </c>
      <c r="O70" s="33">
        <v>3800000</v>
      </c>
      <c r="P70" s="127">
        <v>23800000</v>
      </c>
      <c r="Q70" s="128" t="s">
        <v>301</v>
      </c>
      <c r="R70" s="127">
        <v>17850000</v>
      </c>
      <c r="S70" s="28">
        <f>+Tabla15133[[#This Row],[VALOR TOTAL DEL CONTRATO
(en pesos)
CON IVA
(inicial)]]+Tabla15133[[#This Row],[VALOR DE LAS ADICIONES
(en pesos)
CON IVA]]</f>
        <v>41650000</v>
      </c>
      <c r="T70" s="130">
        <v>334</v>
      </c>
      <c r="U70" s="128" t="s">
        <v>301</v>
      </c>
      <c r="V70" s="141">
        <v>366</v>
      </c>
      <c r="W70" s="135" t="s">
        <v>302</v>
      </c>
      <c r="X70" s="135"/>
      <c r="Y70" s="126">
        <v>44957</v>
      </c>
      <c r="Z70" s="131">
        <v>45291</v>
      </c>
      <c r="AA70" s="131">
        <v>45657</v>
      </c>
      <c r="AB70" s="124" t="s">
        <v>323</v>
      </c>
      <c r="AC70" s="126">
        <v>45695</v>
      </c>
      <c r="AD70" s="70" t="s">
        <v>321</v>
      </c>
      <c r="AE70" s="132">
        <v>1</v>
      </c>
      <c r="AF70" s="132">
        <v>0.68</v>
      </c>
      <c r="AG70" s="133">
        <v>28125649</v>
      </c>
      <c r="AH70" s="142"/>
      <c r="AI70" s="56" t="s">
        <v>2982</v>
      </c>
      <c r="AJ70" s="134">
        <v>2023</v>
      </c>
    </row>
    <row r="71" spans="1:39" ht="43.5" x14ac:dyDescent="0.35">
      <c r="A71" s="43" t="s">
        <v>306</v>
      </c>
      <c r="B71" s="2" t="s">
        <v>11</v>
      </c>
      <c r="C71" s="26" t="s">
        <v>2643</v>
      </c>
      <c r="D71" s="27">
        <v>5668</v>
      </c>
      <c r="E71" s="111" t="s">
        <v>300</v>
      </c>
      <c r="F71" s="74" t="s">
        <v>2983</v>
      </c>
      <c r="G71" s="71">
        <v>44973</v>
      </c>
      <c r="H71" s="26" t="s">
        <v>142</v>
      </c>
      <c r="I71" s="112" t="s">
        <v>2984</v>
      </c>
      <c r="J71" s="47" t="s">
        <v>89</v>
      </c>
      <c r="K71" s="113" t="s">
        <v>84</v>
      </c>
      <c r="L71" s="26" t="s">
        <v>1491</v>
      </c>
      <c r="M71" s="26" t="s">
        <v>345</v>
      </c>
      <c r="N71" s="28">
        <v>48262302</v>
      </c>
      <c r="O71" s="28">
        <v>9169838</v>
      </c>
      <c r="P71" s="3">
        <v>57432140</v>
      </c>
      <c r="Q71" s="70" t="s">
        <v>302</v>
      </c>
      <c r="R71" s="3"/>
      <c r="S71" s="28">
        <f>+Tabla15133[[#This Row],[VALOR TOTAL DEL CONTRATO
(en pesos)
CON IVA
(inicial)]]+Tabla15133[[#This Row],[VALOR DE LAS ADICIONES
(en pesos)
CON IVA]]</f>
        <v>57432140</v>
      </c>
      <c r="T71" s="4">
        <v>730</v>
      </c>
      <c r="U71" s="70" t="s">
        <v>302</v>
      </c>
      <c r="V71" s="101"/>
      <c r="W71" s="70" t="s">
        <v>302</v>
      </c>
      <c r="X71" s="70"/>
      <c r="Y71" s="71">
        <v>44973</v>
      </c>
      <c r="Z71" s="118">
        <v>45703</v>
      </c>
      <c r="AA71" s="118">
        <v>45703</v>
      </c>
      <c r="AB71" s="43" t="s">
        <v>323</v>
      </c>
      <c r="AC71" s="71">
        <v>45783</v>
      </c>
      <c r="AD71" s="70" t="s">
        <v>321</v>
      </c>
      <c r="AE71" s="30">
        <v>0.9</v>
      </c>
      <c r="AF71" s="30">
        <v>0.94</v>
      </c>
      <c r="AG71" s="31">
        <v>53791909</v>
      </c>
      <c r="AH71" s="72"/>
      <c r="AI71" s="56" t="s">
        <v>2985</v>
      </c>
      <c r="AJ71" s="44">
        <v>2023</v>
      </c>
      <c r="AL71" s="2"/>
    </row>
    <row r="72" spans="1:39" s="1" customFormat="1" ht="58" x14ac:dyDescent="0.35">
      <c r="A72" s="124" t="s">
        <v>306</v>
      </c>
      <c r="B72" s="1" t="s">
        <v>11</v>
      </c>
      <c r="C72" s="26" t="s">
        <v>12</v>
      </c>
      <c r="D72" s="27" t="s">
        <v>2986</v>
      </c>
      <c r="E72" s="111" t="s">
        <v>324</v>
      </c>
      <c r="F72" s="125" t="s">
        <v>2987</v>
      </c>
      <c r="G72" s="126">
        <v>44974</v>
      </c>
      <c r="H72" s="26" t="s">
        <v>113</v>
      </c>
      <c r="I72" s="112" t="s">
        <v>2988</v>
      </c>
      <c r="J72" s="47" t="s">
        <v>89</v>
      </c>
      <c r="K72" s="113" t="s">
        <v>84</v>
      </c>
      <c r="L72" s="81" t="s">
        <v>2989</v>
      </c>
      <c r="M72" s="2" t="s">
        <v>2990</v>
      </c>
      <c r="N72" s="33">
        <v>2584847406</v>
      </c>
      <c r="O72" s="33">
        <v>44647365</v>
      </c>
      <c r="P72" s="127">
        <v>2629494771</v>
      </c>
      <c r="Q72" s="128" t="s">
        <v>301</v>
      </c>
      <c r="R72" s="127">
        <v>1524171276</v>
      </c>
      <c r="S72" s="28">
        <f>+Tabla15133[[#This Row],[VALOR TOTAL DEL CONTRATO
(en pesos)
CON IVA
(inicial)]]+Tabla15133[[#This Row],[VALOR DE LAS ADICIONES
(en pesos)
CON IVA]]</f>
        <v>4153666047</v>
      </c>
      <c r="T72" s="130">
        <v>731</v>
      </c>
      <c r="U72" s="128" t="s">
        <v>301</v>
      </c>
      <c r="V72" s="141">
        <f>+Tabla15133[[#This Row],[FECHA TERMINACIÓN DEL CONTRATO
(inicial + prórroga)]]-Tabla15133[[#This Row],[FECHA TERMINACIÓN DEL CONTRATO
(inicial)]]</f>
        <v>317</v>
      </c>
      <c r="W72" s="70" t="s">
        <v>302</v>
      </c>
      <c r="X72" s="70"/>
      <c r="Y72" s="126">
        <v>44974</v>
      </c>
      <c r="Z72" s="131">
        <v>45705</v>
      </c>
      <c r="AA72" s="131">
        <v>46022</v>
      </c>
      <c r="AB72" s="124" t="s">
        <v>325</v>
      </c>
      <c r="AC72" s="126"/>
      <c r="AD72" s="70" t="s">
        <v>321</v>
      </c>
      <c r="AE72" s="132">
        <v>0.65080000000000005</v>
      </c>
      <c r="AF72" s="132">
        <v>0.59740000000000004</v>
      </c>
      <c r="AG72" s="133">
        <v>2481399041</v>
      </c>
      <c r="AH72" s="72" t="s">
        <v>2991</v>
      </c>
      <c r="AI72" s="56" t="s">
        <v>2992</v>
      </c>
      <c r="AJ72" s="134">
        <v>2023</v>
      </c>
    </row>
    <row r="73" spans="1:39" ht="29" x14ac:dyDescent="0.35">
      <c r="A73" s="43" t="s">
        <v>306</v>
      </c>
      <c r="B73" s="2" t="s">
        <v>11</v>
      </c>
      <c r="C73" s="26" t="s">
        <v>12</v>
      </c>
      <c r="D73" s="27" t="s">
        <v>2993</v>
      </c>
      <c r="E73" s="111" t="s">
        <v>300</v>
      </c>
      <c r="F73" s="74" t="s">
        <v>2994</v>
      </c>
      <c r="G73" s="71">
        <v>44994</v>
      </c>
      <c r="H73" s="26" t="s">
        <v>150</v>
      </c>
      <c r="I73" s="112" t="s">
        <v>2995</v>
      </c>
      <c r="J73" s="47" t="s">
        <v>89</v>
      </c>
      <c r="K73" s="113" t="s">
        <v>84</v>
      </c>
      <c r="L73" s="26" t="s">
        <v>1544</v>
      </c>
      <c r="M73" s="26" t="s">
        <v>2996</v>
      </c>
      <c r="N73" s="28">
        <v>257182033</v>
      </c>
      <c r="O73" s="28">
        <v>48864586</v>
      </c>
      <c r="P73" s="3">
        <v>306046619</v>
      </c>
      <c r="Q73" s="70" t="s">
        <v>301</v>
      </c>
      <c r="R73" s="3">
        <v>16268567</v>
      </c>
      <c r="S73" s="28">
        <f>+Tabla15133[[#This Row],[VALOR TOTAL DEL CONTRATO
(en pesos)
CON IVA
(inicial)]]+Tabla15133[[#This Row],[VALOR DE LAS ADICIONES
(en pesos)
CON IVA]]</f>
        <v>322315186</v>
      </c>
      <c r="T73" s="4">
        <v>719</v>
      </c>
      <c r="U73" s="70" t="s">
        <v>301</v>
      </c>
      <c r="V73" s="101">
        <f>+Tabla15133[[#This Row],[FECHA TERMINACIÓN DEL CONTRATO
(inicial + prórroga)]]-Tabla15133[[#This Row],[FECHA TERMINACIÓN DEL CONTRATO
(inicial)]]</f>
        <v>19</v>
      </c>
      <c r="W73" s="70" t="s">
        <v>302</v>
      </c>
      <c r="X73" s="70"/>
      <c r="Y73" s="71">
        <v>45006</v>
      </c>
      <c r="Z73" s="118">
        <v>45737</v>
      </c>
      <c r="AA73" s="118">
        <v>45756</v>
      </c>
      <c r="AB73" s="43" t="s">
        <v>323</v>
      </c>
      <c r="AC73" s="71">
        <v>45776</v>
      </c>
      <c r="AD73" s="70" t="s">
        <v>321</v>
      </c>
      <c r="AE73" s="30">
        <v>1</v>
      </c>
      <c r="AF73" s="30">
        <v>0.92</v>
      </c>
      <c r="AG73" s="31">
        <v>295934436</v>
      </c>
      <c r="AH73" s="72" t="s">
        <v>2997</v>
      </c>
      <c r="AI73" s="56" t="s">
        <v>2998</v>
      </c>
      <c r="AJ73" s="44">
        <v>2023</v>
      </c>
      <c r="AL73" s="2"/>
      <c r="AM73" s="139"/>
    </row>
    <row r="74" spans="1:39" ht="43.5" x14ac:dyDescent="0.35">
      <c r="A74" s="43" t="s">
        <v>306</v>
      </c>
      <c r="B74" s="2" t="s">
        <v>11</v>
      </c>
      <c r="C74" s="26" t="s">
        <v>20</v>
      </c>
      <c r="D74" s="27">
        <v>5653</v>
      </c>
      <c r="E74" s="111" t="s">
        <v>300</v>
      </c>
      <c r="F74" s="74" t="s">
        <v>2999</v>
      </c>
      <c r="G74" s="71">
        <v>44991</v>
      </c>
      <c r="H74" s="26" t="s">
        <v>150</v>
      </c>
      <c r="I74" s="112" t="s">
        <v>3000</v>
      </c>
      <c r="J74" s="47" t="s">
        <v>89</v>
      </c>
      <c r="K74" s="113" t="s">
        <v>84</v>
      </c>
      <c r="L74" s="26" t="s">
        <v>1533</v>
      </c>
      <c r="M74" s="26" t="s">
        <v>346</v>
      </c>
      <c r="N74" s="28">
        <v>740000000</v>
      </c>
      <c r="O74" s="28">
        <v>0</v>
      </c>
      <c r="P74" s="3">
        <v>740000000</v>
      </c>
      <c r="Q74" s="70" t="s">
        <v>302</v>
      </c>
      <c r="R74" s="3"/>
      <c r="S74" s="28">
        <f>+Tabla15133[[#This Row],[VALOR TOTAL DEL CONTRATO
(en pesos)
CON IVA
(inicial)]]+Tabla15133[[#This Row],[VALOR DE LAS ADICIONES
(en pesos)
CON IVA]]</f>
        <v>740000000</v>
      </c>
      <c r="T74" s="4">
        <v>654</v>
      </c>
      <c r="U74" s="70" t="s">
        <v>302</v>
      </c>
      <c r="V74" s="101"/>
      <c r="W74" s="70" t="s">
        <v>302</v>
      </c>
      <c r="X74" s="70"/>
      <c r="Y74" s="71">
        <v>45002</v>
      </c>
      <c r="Z74" s="118">
        <v>45656</v>
      </c>
      <c r="AA74" s="118">
        <v>45656</v>
      </c>
      <c r="AB74" s="43" t="s">
        <v>323</v>
      </c>
      <c r="AC74" s="71">
        <v>45730</v>
      </c>
      <c r="AD74" s="71" t="s">
        <v>321</v>
      </c>
      <c r="AE74" s="30">
        <v>1</v>
      </c>
      <c r="AF74" s="30">
        <v>0.84</v>
      </c>
      <c r="AG74" s="31">
        <v>624479300</v>
      </c>
      <c r="AH74" s="72"/>
      <c r="AI74" s="56" t="s">
        <v>3001</v>
      </c>
      <c r="AJ74" s="44">
        <v>2023</v>
      </c>
      <c r="AL74" s="2"/>
    </row>
    <row r="75" spans="1:39" ht="126" customHeight="1" x14ac:dyDescent="0.35">
      <c r="A75" s="43" t="s">
        <v>306</v>
      </c>
      <c r="B75" s="2" t="s">
        <v>11</v>
      </c>
      <c r="C75" s="26" t="s">
        <v>2643</v>
      </c>
      <c r="D75" s="27" t="s">
        <v>3002</v>
      </c>
      <c r="E75" s="111" t="s">
        <v>324</v>
      </c>
      <c r="F75" s="74" t="s">
        <v>3003</v>
      </c>
      <c r="G75" s="71">
        <v>44988</v>
      </c>
      <c r="H75" s="26" t="s">
        <v>3004</v>
      </c>
      <c r="I75" s="112" t="s">
        <v>3005</v>
      </c>
      <c r="J75" s="47" t="s">
        <v>89</v>
      </c>
      <c r="K75" s="113" t="s">
        <v>84</v>
      </c>
      <c r="L75" s="26" t="s">
        <v>3006</v>
      </c>
      <c r="M75" s="26" t="s">
        <v>3007</v>
      </c>
      <c r="N75" s="29">
        <v>31239345889</v>
      </c>
      <c r="O75" s="28">
        <v>5935475719</v>
      </c>
      <c r="P75" s="29">
        <v>37174821608</v>
      </c>
      <c r="Q75" s="70" t="s">
        <v>301</v>
      </c>
      <c r="R75" s="3">
        <v>37127841510</v>
      </c>
      <c r="S75" s="28">
        <f>+Tabla15133[[#This Row],[VALOR TOTAL DEL CONTRATO
(en pesos)
CON IVA
(inicial)]]+Tabla15133[[#This Row],[VALOR DE LAS ADICIONES
(en pesos)
CON IVA]]</f>
        <v>74302663118</v>
      </c>
      <c r="T75" s="4">
        <v>1096</v>
      </c>
      <c r="U75" s="70" t="s">
        <v>301</v>
      </c>
      <c r="V75" s="101">
        <f>+Tabla15133[[#This Row],[FECHA TERMINACIÓN DEL CONTRATO
(inicial + prórroga)]]-Tabla15133[[#This Row],[FECHA TERMINACIÓN DEL CONTRATO
(inicial)]]</f>
        <v>731</v>
      </c>
      <c r="W75" s="70" t="s">
        <v>302</v>
      </c>
      <c r="X75" s="70"/>
      <c r="Y75" s="71">
        <v>45016</v>
      </c>
      <c r="Z75" s="118">
        <v>46112</v>
      </c>
      <c r="AA75" s="118">
        <v>46843</v>
      </c>
      <c r="AB75" s="43" t="s">
        <v>303</v>
      </c>
      <c r="AC75" s="71"/>
      <c r="AD75" s="70"/>
      <c r="AE75" s="61">
        <v>0.92</v>
      </c>
      <c r="AF75" s="61">
        <v>0.77</v>
      </c>
      <c r="AG75" s="62">
        <v>32872482206</v>
      </c>
      <c r="AH75" s="72" t="s">
        <v>3008</v>
      </c>
      <c r="AI75" s="56" t="s">
        <v>3009</v>
      </c>
      <c r="AJ75" s="44">
        <v>2023</v>
      </c>
      <c r="AL75" s="2"/>
    </row>
    <row r="76" spans="1:39" ht="43.5" x14ac:dyDescent="0.35">
      <c r="A76" s="43" t="s">
        <v>306</v>
      </c>
      <c r="B76" s="2" t="s">
        <v>11</v>
      </c>
      <c r="C76" s="26" t="s">
        <v>2643</v>
      </c>
      <c r="D76" s="27" t="s">
        <v>3010</v>
      </c>
      <c r="E76" s="111" t="s">
        <v>300</v>
      </c>
      <c r="F76" s="74" t="s">
        <v>3011</v>
      </c>
      <c r="G76" s="71">
        <v>44992</v>
      </c>
      <c r="H76" s="26" t="s">
        <v>348</v>
      </c>
      <c r="I76" s="112" t="s">
        <v>3012</v>
      </c>
      <c r="J76" s="47" t="s">
        <v>89</v>
      </c>
      <c r="K76" s="113" t="s">
        <v>84</v>
      </c>
      <c r="L76" s="26" t="s">
        <v>1529</v>
      </c>
      <c r="M76" s="26" t="s">
        <v>3013</v>
      </c>
      <c r="N76" s="29">
        <v>2648731561</v>
      </c>
      <c r="O76" s="28">
        <v>0</v>
      </c>
      <c r="P76" s="29">
        <v>2648731561</v>
      </c>
      <c r="Q76" s="70" t="s">
        <v>302</v>
      </c>
      <c r="R76" s="3"/>
      <c r="S76" s="28">
        <f>+Tabla15133[[#This Row],[VALOR TOTAL DEL CONTRATO
(en pesos)
CON IVA
(inicial)]]+Tabla15133[[#This Row],[VALOR DE LAS ADICIONES
(en pesos)
CON IVA]]</f>
        <v>2648731561</v>
      </c>
      <c r="T76" s="4">
        <v>731</v>
      </c>
      <c r="U76" s="70" t="s">
        <v>301</v>
      </c>
      <c r="V76" s="101">
        <f>+Tabla15133[[#This Row],[FECHA TERMINACIÓN DEL CONTRATO
(inicial + prórroga)]]-Tabla15133[[#This Row],[FECHA TERMINACIÓN DEL CONTRATO
(inicial)]]</f>
        <v>45</v>
      </c>
      <c r="W76" s="70" t="s">
        <v>302</v>
      </c>
      <c r="X76" s="70"/>
      <c r="Y76" s="71">
        <v>44992</v>
      </c>
      <c r="Z76" s="118">
        <v>45723</v>
      </c>
      <c r="AA76" s="118">
        <v>45768</v>
      </c>
      <c r="AB76" s="43" t="s">
        <v>323</v>
      </c>
      <c r="AC76" s="71">
        <v>45888</v>
      </c>
      <c r="AD76" s="70" t="s">
        <v>321</v>
      </c>
      <c r="AE76" s="30">
        <v>1</v>
      </c>
      <c r="AF76" s="55">
        <f>+Tabla15133[[#This Row],[VALOR PAGADO (en pesos)
A 31 DICIEMBRE 2025]]/Tabla15133[[#This Row],[VALOR TOTAL CONTRATO CON IVA (VALOR INICIAL + ADICIONES) ]]</f>
        <v>0.98052918998687466</v>
      </c>
      <c r="AG76" s="31">
        <v>2597158612</v>
      </c>
      <c r="AH76" s="72" t="s">
        <v>3014</v>
      </c>
      <c r="AI76" s="56" t="s">
        <v>3015</v>
      </c>
      <c r="AJ76" s="44">
        <v>2023</v>
      </c>
      <c r="AL76" s="2"/>
    </row>
    <row r="77" spans="1:39" ht="101.5" x14ac:dyDescent="0.35">
      <c r="A77" s="43" t="s">
        <v>306</v>
      </c>
      <c r="B77" s="2" t="s">
        <v>31</v>
      </c>
      <c r="C77" s="26" t="s">
        <v>33</v>
      </c>
      <c r="D77" s="27">
        <v>6327</v>
      </c>
      <c r="E77" s="111" t="s">
        <v>324</v>
      </c>
      <c r="F77" s="74" t="s">
        <v>3016</v>
      </c>
      <c r="G77" s="71">
        <v>45000</v>
      </c>
      <c r="H77" s="26" t="s">
        <v>119</v>
      </c>
      <c r="I77" s="112" t="s">
        <v>3017</v>
      </c>
      <c r="J77" s="47" t="s">
        <v>89</v>
      </c>
      <c r="K77" s="113" t="s">
        <v>84</v>
      </c>
      <c r="L77" s="26" t="s">
        <v>3018</v>
      </c>
      <c r="M77" s="26" t="s">
        <v>3019</v>
      </c>
      <c r="N77" s="29">
        <v>1100000000</v>
      </c>
      <c r="O77" s="28">
        <v>209000000</v>
      </c>
      <c r="P77" s="29">
        <v>1309000000</v>
      </c>
      <c r="Q77" s="70" t="s">
        <v>301</v>
      </c>
      <c r="R77" s="3">
        <v>204680000</v>
      </c>
      <c r="S77" s="28">
        <f>+Tabla15133[[#This Row],[VALOR TOTAL DEL CONTRATO
(en pesos)
CON IVA
(inicial)]]+Tabla15133[[#This Row],[VALOR DE LAS ADICIONES
(en pesos)
CON IVA]]</f>
        <v>1513680000</v>
      </c>
      <c r="T77" s="4">
        <v>366</v>
      </c>
      <c r="U77" s="70" t="s">
        <v>301</v>
      </c>
      <c r="V77" s="101">
        <v>153</v>
      </c>
      <c r="W77" s="117" t="s">
        <v>302</v>
      </c>
      <c r="X77" s="117"/>
      <c r="Y77" s="71">
        <v>45033</v>
      </c>
      <c r="Z77" s="118">
        <v>45399</v>
      </c>
      <c r="AA77" s="118">
        <v>45642</v>
      </c>
      <c r="AB77" s="43" t="s">
        <v>323</v>
      </c>
      <c r="AC77" s="71">
        <v>45681</v>
      </c>
      <c r="AD77" s="70" t="s">
        <v>321</v>
      </c>
      <c r="AE77" s="30">
        <v>0.93</v>
      </c>
      <c r="AF77" s="30">
        <v>0.96729563315892397</v>
      </c>
      <c r="AG77" s="31">
        <v>1464176054</v>
      </c>
      <c r="AH77" s="72" t="s">
        <v>3020</v>
      </c>
      <c r="AI77" s="56" t="s">
        <v>3021</v>
      </c>
      <c r="AJ77" s="44">
        <v>2023</v>
      </c>
      <c r="AL77" s="2"/>
    </row>
    <row r="78" spans="1:39" ht="43.5" x14ac:dyDescent="0.35">
      <c r="A78" s="43" t="s">
        <v>306</v>
      </c>
      <c r="B78" s="2" t="s">
        <v>11</v>
      </c>
      <c r="C78" s="26" t="s">
        <v>2643</v>
      </c>
      <c r="D78" s="27">
        <v>5690</v>
      </c>
      <c r="E78" s="111" t="s">
        <v>300</v>
      </c>
      <c r="F78" s="74" t="s">
        <v>3022</v>
      </c>
      <c r="G78" s="71">
        <v>45009</v>
      </c>
      <c r="H78" s="26" t="s">
        <v>142</v>
      </c>
      <c r="I78" s="112" t="s">
        <v>3023</v>
      </c>
      <c r="J78" s="47" t="s">
        <v>89</v>
      </c>
      <c r="K78" s="113" t="s">
        <v>84</v>
      </c>
      <c r="L78" s="26" t="s">
        <v>3024</v>
      </c>
      <c r="M78" s="26" t="s">
        <v>3025</v>
      </c>
      <c r="N78" s="28">
        <v>38125721</v>
      </c>
      <c r="O78" s="28">
        <v>7243887</v>
      </c>
      <c r="P78" s="3">
        <v>45369608</v>
      </c>
      <c r="Q78" s="70" t="s">
        <v>302</v>
      </c>
      <c r="R78" s="3"/>
      <c r="S78" s="28">
        <f>+Tabla15133[[#This Row],[VALOR TOTAL DEL CONTRATO
(en pesos)
CON IVA
(inicial)]]+Tabla15133[[#This Row],[VALOR DE LAS ADICIONES
(en pesos)
CON IVA]]</f>
        <v>45369608</v>
      </c>
      <c r="T78" s="4">
        <v>708</v>
      </c>
      <c r="U78" s="70" t="s">
        <v>302</v>
      </c>
      <c r="V78" s="101"/>
      <c r="W78" s="70" t="s">
        <v>302</v>
      </c>
      <c r="X78" s="70"/>
      <c r="Y78" s="71">
        <v>45009</v>
      </c>
      <c r="Z78" s="118">
        <v>45717</v>
      </c>
      <c r="AA78" s="118">
        <v>45717</v>
      </c>
      <c r="AB78" s="43" t="s">
        <v>323</v>
      </c>
      <c r="AC78" s="71">
        <v>45812</v>
      </c>
      <c r="AD78" s="70" t="s">
        <v>321</v>
      </c>
      <c r="AE78" s="30">
        <v>0.92</v>
      </c>
      <c r="AF78" s="30">
        <v>0.74</v>
      </c>
      <c r="AG78" s="31">
        <v>33605600</v>
      </c>
      <c r="AH78" s="72"/>
      <c r="AI78" s="56" t="s">
        <v>3026</v>
      </c>
      <c r="AJ78" s="44">
        <v>2023</v>
      </c>
      <c r="AL78" s="2"/>
    </row>
    <row r="79" spans="1:39" ht="43.5" x14ac:dyDescent="0.35">
      <c r="A79" s="43" t="s">
        <v>306</v>
      </c>
      <c r="B79" s="2" t="s">
        <v>31</v>
      </c>
      <c r="C79" s="26" t="s">
        <v>36</v>
      </c>
      <c r="D79" s="27">
        <v>5541</v>
      </c>
      <c r="E79" s="111" t="s">
        <v>324</v>
      </c>
      <c r="F79" s="74" t="s">
        <v>3027</v>
      </c>
      <c r="G79" s="71">
        <v>45041</v>
      </c>
      <c r="H79" s="26" t="s">
        <v>150</v>
      </c>
      <c r="I79" s="112" t="s">
        <v>3028</v>
      </c>
      <c r="J79" s="47" t="s">
        <v>89</v>
      </c>
      <c r="K79" s="113" t="s">
        <v>84</v>
      </c>
      <c r="L79" s="26" t="s">
        <v>2900</v>
      </c>
      <c r="M79" s="26" t="s">
        <v>2901</v>
      </c>
      <c r="N79" s="28">
        <v>1223623944</v>
      </c>
      <c r="O79" s="28">
        <v>232488550</v>
      </c>
      <c r="P79" s="3">
        <v>1456112494</v>
      </c>
      <c r="Q79" s="70" t="s">
        <v>302</v>
      </c>
      <c r="R79" s="3"/>
      <c r="S79" s="28">
        <f>+Tabla15133[[#This Row],[VALOR TOTAL DEL CONTRATO
(en pesos)
CON IVA
(inicial)]]+Tabla15133[[#This Row],[VALOR DE LAS ADICIONES
(en pesos)
CON IVA]]</f>
        <v>1456112494</v>
      </c>
      <c r="T79" s="4">
        <v>1095</v>
      </c>
      <c r="U79" s="70" t="s">
        <v>302</v>
      </c>
      <c r="V79" s="101"/>
      <c r="W79" s="70" t="s">
        <v>302</v>
      </c>
      <c r="X79" s="70"/>
      <c r="Y79" s="71">
        <v>45061</v>
      </c>
      <c r="Z79" s="118">
        <v>46156</v>
      </c>
      <c r="AA79" s="118">
        <v>46156</v>
      </c>
      <c r="AB79" s="43" t="s">
        <v>303</v>
      </c>
      <c r="AC79" s="71"/>
      <c r="AD79" s="70"/>
      <c r="AE79" s="30">
        <v>0.83299999999999996</v>
      </c>
      <c r="AF79" s="30">
        <v>0.83299999999999996</v>
      </c>
      <c r="AG79" s="31">
        <v>1213427078.0599999</v>
      </c>
      <c r="AH79" s="72"/>
      <c r="AI79" s="56" t="s">
        <v>3029</v>
      </c>
      <c r="AJ79" s="44">
        <v>2023</v>
      </c>
      <c r="AL79" s="2"/>
    </row>
    <row r="80" spans="1:39" ht="43.5" x14ac:dyDescent="0.35">
      <c r="A80" s="43" t="s">
        <v>306</v>
      </c>
      <c r="B80" s="2" t="s">
        <v>327</v>
      </c>
      <c r="C80" s="26" t="s">
        <v>46</v>
      </c>
      <c r="D80" s="27">
        <v>5721</v>
      </c>
      <c r="E80" s="111" t="s">
        <v>300</v>
      </c>
      <c r="F80" s="74" t="s">
        <v>3030</v>
      </c>
      <c r="G80" s="71">
        <v>45051</v>
      </c>
      <c r="H80" s="26" t="s">
        <v>150</v>
      </c>
      <c r="I80" s="112" t="s">
        <v>3031</v>
      </c>
      <c r="J80" s="47" t="s">
        <v>89</v>
      </c>
      <c r="K80" s="113" t="s">
        <v>84</v>
      </c>
      <c r="L80" s="26" t="s">
        <v>1562</v>
      </c>
      <c r="M80" s="26" t="s">
        <v>3032</v>
      </c>
      <c r="N80" s="29">
        <v>381802647</v>
      </c>
      <c r="O80" s="28">
        <v>72542503</v>
      </c>
      <c r="P80" s="29">
        <v>454345150</v>
      </c>
      <c r="Q80" s="70" t="s">
        <v>302</v>
      </c>
      <c r="R80" s="3"/>
      <c r="S80" s="28">
        <f>+Tabla15133[[#This Row],[VALOR TOTAL DEL CONTRATO
(en pesos)
CON IVA
(inicial)]]+Tabla15133[[#This Row],[VALOR DE LAS ADICIONES
(en pesos)
CON IVA]]</f>
        <v>454345150</v>
      </c>
      <c r="T80" s="4">
        <v>730</v>
      </c>
      <c r="U80" s="70" t="s">
        <v>302</v>
      </c>
      <c r="V80" s="101"/>
      <c r="W80" s="70" t="s">
        <v>302</v>
      </c>
      <c r="X80" s="70"/>
      <c r="Y80" s="71">
        <v>45064</v>
      </c>
      <c r="Z80" s="118">
        <v>45794</v>
      </c>
      <c r="AA80" s="118">
        <v>45794</v>
      </c>
      <c r="AB80" s="43" t="s">
        <v>323</v>
      </c>
      <c r="AC80" s="71">
        <v>45903</v>
      </c>
      <c r="AD80" s="70" t="s">
        <v>321</v>
      </c>
      <c r="AE80" s="30">
        <v>1</v>
      </c>
      <c r="AF80" s="30">
        <v>1</v>
      </c>
      <c r="AG80" s="31">
        <v>454345097.56999999</v>
      </c>
      <c r="AH80" s="72"/>
      <c r="AI80" s="56" t="s">
        <v>3033</v>
      </c>
      <c r="AJ80" s="44">
        <v>2023</v>
      </c>
      <c r="AL80" s="2"/>
    </row>
    <row r="81" spans="1:38" ht="43.5" x14ac:dyDescent="0.35">
      <c r="A81" s="43" t="s">
        <v>306</v>
      </c>
      <c r="B81" s="2" t="s">
        <v>329</v>
      </c>
      <c r="C81" s="26" t="s">
        <v>51</v>
      </c>
      <c r="D81" s="27">
        <v>5697</v>
      </c>
      <c r="E81" s="111" t="s">
        <v>300</v>
      </c>
      <c r="F81" s="74" t="s">
        <v>3034</v>
      </c>
      <c r="G81" s="71">
        <v>45057</v>
      </c>
      <c r="H81" s="26" t="s">
        <v>150</v>
      </c>
      <c r="I81" s="112" t="s">
        <v>3035</v>
      </c>
      <c r="J81" s="47" t="s">
        <v>89</v>
      </c>
      <c r="K81" s="113" t="s">
        <v>84</v>
      </c>
      <c r="L81" s="26" t="s">
        <v>3036</v>
      </c>
      <c r="M81" s="26" t="s">
        <v>3037</v>
      </c>
      <c r="N81" s="29">
        <v>48739495.798319332</v>
      </c>
      <c r="O81" s="28">
        <v>9260504.2016806733</v>
      </c>
      <c r="P81" s="29">
        <v>58000000.000000007</v>
      </c>
      <c r="Q81" s="70" t="s">
        <v>302</v>
      </c>
      <c r="R81" s="3"/>
      <c r="S81" s="28">
        <f>+Tabla15133[[#This Row],[VALOR TOTAL DEL CONTRATO
(en pesos)
CON IVA
(inicial)]]+Tabla15133[[#This Row],[VALOR DE LAS ADICIONES
(en pesos)
CON IVA]]</f>
        <v>58000000.000000007</v>
      </c>
      <c r="T81" s="4">
        <v>1096</v>
      </c>
      <c r="U81" s="70" t="s">
        <v>302</v>
      </c>
      <c r="V81" s="101"/>
      <c r="W81" s="70" t="s">
        <v>302</v>
      </c>
      <c r="X81" s="70"/>
      <c r="Y81" s="71">
        <v>45057</v>
      </c>
      <c r="Z81" s="118">
        <v>46153</v>
      </c>
      <c r="AA81" s="118">
        <v>46153</v>
      </c>
      <c r="AB81" s="43" t="s">
        <v>303</v>
      </c>
      <c r="AC81" s="71"/>
      <c r="AD81" s="70"/>
      <c r="AE81" s="30">
        <v>0.86099999999999999</v>
      </c>
      <c r="AF81" s="30">
        <v>0.80510000000000004</v>
      </c>
      <c r="AG81" s="31">
        <v>46722000</v>
      </c>
      <c r="AH81" s="72"/>
      <c r="AI81" s="56" t="s">
        <v>3038</v>
      </c>
      <c r="AJ81" s="44">
        <v>2023</v>
      </c>
      <c r="AL81" s="2"/>
    </row>
    <row r="82" spans="1:38" ht="29" x14ac:dyDescent="0.35">
      <c r="A82" s="43" t="s">
        <v>306</v>
      </c>
      <c r="B82" s="2" t="s">
        <v>327</v>
      </c>
      <c r="C82" s="26" t="s">
        <v>45</v>
      </c>
      <c r="D82" s="27">
        <v>5756</v>
      </c>
      <c r="E82" s="111" t="s">
        <v>300</v>
      </c>
      <c r="F82" s="74" t="s">
        <v>3039</v>
      </c>
      <c r="G82" s="71">
        <v>45070</v>
      </c>
      <c r="H82" s="26" t="s">
        <v>150</v>
      </c>
      <c r="I82" s="112" t="s">
        <v>3040</v>
      </c>
      <c r="J82" s="47" t="s">
        <v>89</v>
      </c>
      <c r="K82" s="113" t="s">
        <v>84</v>
      </c>
      <c r="L82" s="26" t="s">
        <v>1564</v>
      </c>
      <c r="M82" s="26" t="s">
        <v>350</v>
      </c>
      <c r="N82" s="29">
        <v>673733328</v>
      </c>
      <c r="O82" s="28">
        <v>0</v>
      </c>
      <c r="P82" s="29">
        <v>673733328</v>
      </c>
      <c r="Q82" s="70" t="s">
        <v>302</v>
      </c>
      <c r="R82" s="3"/>
      <c r="S82" s="28">
        <f>+Tabla15133[[#This Row],[VALOR TOTAL DEL CONTRATO
(en pesos)
CON IVA
(inicial)]]+Tabla15133[[#This Row],[VALOR DE LAS ADICIONES
(en pesos)
CON IVA]]</f>
        <v>673733328</v>
      </c>
      <c r="T82" s="4">
        <v>730</v>
      </c>
      <c r="U82" s="70" t="s">
        <v>302</v>
      </c>
      <c r="V82" s="101"/>
      <c r="W82" s="70" t="s">
        <v>302</v>
      </c>
      <c r="X82" s="70"/>
      <c r="Y82" s="71">
        <v>45078</v>
      </c>
      <c r="Z82" s="118">
        <v>45808</v>
      </c>
      <c r="AA82" s="118">
        <v>45808</v>
      </c>
      <c r="AB82" s="43" t="s">
        <v>320</v>
      </c>
      <c r="AC82" s="71"/>
      <c r="AD82" s="70" t="s">
        <v>321</v>
      </c>
      <c r="AE82" s="61">
        <v>1</v>
      </c>
      <c r="AF82" s="61">
        <v>0.83</v>
      </c>
      <c r="AG82" s="62">
        <v>557945330</v>
      </c>
      <c r="AH82" s="72"/>
      <c r="AI82" s="56" t="s">
        <v>3041</v>
      </c>
      <c r="AJ82" s="44">
        <v>2023</v>
      </c>
      <c r="AL82" s="2"/>
    </row>
    <row r="83" spans="1:38" ht="97.5" customHeight="1" x14ac:dyDescent="0.35">
      <c r="A83" s="43" t="s">
        <v>306</v>
      </c>
      <c r="B83" s="2" t="s">
        <v>329</v>
      </c>
      <c r="C83" s="26" t="s">
        <v>52</v>
      </c>
      <c r="D83" s="27">
        <v>5798</v>
      </c>
      <c r="E83" s="111" t="s">
        <v>300</v>
      </c>
      <c r="F83" s="74" t="s">
        <v>3042</v>
      </c>
      <c r="G83" s="71">
        <v>45090</v>
      </c>
      <c r="H83" s="26" t="s">
        <v>150</v>
      </c>
      <c r="I83" s="112" t="s">
        <v>3043</v>
      </c>
      <c r="J83" s="47" t="s">
        <v>89</v>
      </c>
      <c r="K83" s="113" t="s">
        <v>84</v>
      </c>
      <c r="L83" s="26" t="s">
        <v>3044</v>
      </c>
      <c r="M83" s="26" t="s">
        <v>3045</v>
      </c>
      <c r="N83" s="28">
        <v>252100840.33613446</v>
      </c>
      <c r="O83" s="28">
        <v>47899159.663865536</v>
      </c>
      <c r="P83" s="3">
        <v>300000000</v>
      </c>
      <c r="Q83" s="70" t="s">
        <v>302</v>
      </c>
      <c r="R83" s="3"/>
      <c r="S83" s="28">
        <f>+Tabla15133[[#This Row],[VALOR TOTAL DEL CONTRATO
(en pesos)
CON IVA
(inicial)]]+Tabla15133[[#This Row],[VALOR DE LAS ADICIONES
(en pesos)
CON IVA]]</f>
        <v>300000000</v>
      </c>
      <c r="T83" s="4">
        <v>1095</v>
      </c>
      <c r="U83" s="70" t="s">
        <v>302</v>
      </c>
      <c r="V83" s="101"/>
      <c r="W83" s="70" t="s">
        <v>302</v>
      </c>
      <c r="X83" s="70"/>
      <c r="Y83" s="71">
        <v>45125</v>
      </c>
      <c r="Z83" s="118">
        <v>46220</v>
      </c>
      <c r="AA83" s="118">
        <v>46220</v>
      </c>
      <c r="AB83" s="43" t="s">
        <v>303</v>
      </c>
      <c r="AC83" s="71"/>
      <c r="AD83" s="70"/>
      <c r="AE83" s="61">
        <v>0.81920000000000004</v>
      </c>
      <c r="AF83" s="61">
        <v>0.81920000000000004</v>
      </c>
      <c r="AG83" s="63">
        <v>13346000</v>
      </c>
      <c r="AH83" s="72" t="s">
        <v>3046</v>
      </c>
      <c r="AI83" s="56" t="s">
        <v>3047</v>
      </c>
      <c r="AJ83" s="44">
        <v>2023</v>
      </c>
      <c r="AL83" s="2"/>
    </row>
    <row r="84" spans="1:38" ht="29" x14ac:dyDescent="0.35">
      <c r="A84" s="43" t="s">
        <v>306</v>
      </c>
      <c r="B84" s="2" t="s">
        <v>11</v>
      </c>
      <c r="C84" s="26" t="s">
        <v>2643</v>
      </c>
      <c r="D84" s="27">
        <v>6439</v>
      </c>
      <c r="E84" s="111" t="s">
        <v>300</v>
      </c>
      <c r="F84" s="74" t="s">
        <v>3048</v>
      </c>
      <c r="G84" s="71">
        <v>45106</v>
      </c>
      <c r="H84" s="26" t="s">
        <v>150</v>
      </c>
      <c r="I84" s="112" t="s">
        <v>3049</v>
      </c>
      <c r="J84" s="47" t="s">
        <v>89</v>
      </c>
      <c r="K84" s="113" t="s">
        <v>84</v>
      </c>
      <c r="L84" s="26" t="s">
        <v>1666</v>
      </c>
      <c r="M84" s="26" t="s">
        <v>3050</v>
      </c>
      <c r="N84" s="29">
        <v>18538000</v>
      </c>
      <c r="O84" s="28">
        <v>3522220</v>
      </c>
      <c r="P84" s="29">
        <v>22060220</v>
      </c>
      <c r="Q84" s="70" t="s">
        <v>301</v>
      </c>
      <c r="R84" s="3">
        <v>2975000</v>
      </c>
      <c r="S84" s="28">
        <f>+Tabla15133[[#This Row],[VALOR TOTAL DEL CONTRATO
(en pesos)
CON IVA
(inicial)]]+Tabla15133[[#This Row],[VALOR DE LAS ADICIONES
(en pesos)
CON IVA]]</f>
        <v>25035220</v>
      </c>
      <c r="T84" s="4">
        <v>365</v>
      </c>
      <c r="U84" s="70" t="s">
        <v>301</v>
      </c>
      <c r="V84" s="101">
        <v>174</v>
      </c>
      <c r="W84" s="117" t="s">
        <v>302</v>
      </c>
      <c r="X84" s="117"/>
      <c r="Y84" s="71">
        <v>45118</v>
      </c>
      <c r="Z84" s="118">
        <v>45483</v>
      </c>
      <c r="AA84" s="118">
        <v>45657</v>
      </c>
      <c r="AB84" s="43" t="s">
        <v>323</v>
      </c>
      <c r="AC84" s="71">
        <v>45818</v>
      </c>
      <c r="AD84" s="70" t="s">
        <v>321</v>
      </c>
      <c r="AE84" s="30">
        <v>1</v>
      </c>
      <c r="AF84" s="30">
        <v>1</v>
      </c>
      <c r="AG84" s="31">
        <v>12879690</v>
      </c>
      <c r="AH84" s="72" t="s">
        <v>3051</v>
      </c>
      <c r="AI84" s="56" t="s">
        <v>3052</v>
      </c>
      <c r="AJ84" s="44">
        <v>2023</v>
      </c>
      <c r="AL84" s="2"/>
    </row>
    <row r="85" spans="1:38" ht="43.5" x14ac:dyDescent="0.35">
      <c r="A85" s="43" t="s">
        <v>306</v>
      </c>
      <c r="B85" s="2" t="s">
        <v>298</v>
      </c>
      <c r="C85" s="26" t="s">
        <v>3053</v>
      </c>
      <c r="D85" s="27" t="s">
        <v>3054</v>
      </c>
      <c r="E85" s="26" t="s">
        <v>312</v>
      </c>
      <c r="F85" s="74" t="s">
        <v>3055</v>
      </c>
      <c r="G85" s="71">
        <v>45124</v>
      </c>
      <c r="H85" s="26" t="s">
        <v>150</v>
      </c>
      <c r="I85" s="112" t="s">
        <v>3056</v>
      </c>
      <c r="J85" s="47" t="s">
        <v>89</v>
      </c>
      <c r="K85" s="113" t="s">
        <v>84</v>
      </c>
      <c r="L85" s="26" t="s">
        <v>3057</v>
      </c>
      <c r="M85" s="26" t="s">
        <v>3058</v>
      </c>
      <c r="N85" s="28">
        <v>361588792</v>
      </c>
      <c r="O85" s="28">
        <v>68701870</v>
      </c>
      <c r="P85" s="3">
        <v>430290662</v>
      </c>
      <c r="Q85" s="70" t="s">
        <v>301</v>
      </c>
      <c r="R85" s="3">
        <v>146370000</v>
      </c>
      <c r="S85" s="28">
        <f>+Tabla15133[[#This Row],[VALOR TOTAL DEL CONTRATO
(en pesos)
CON IVA
(inicial)]]+Tabla15133[[#This Row],[VALOR DE LAS ADICIONES
(en pesos)
CON IVA]]</f>
        <v>576660662</v>
      </c>
      <c r="T85" s="4">
        <v>365</v>
      </c>
      <c r="U85" s="70" t="s">
        <v>302</v>
      </c>
      <c r="V85" s="101"/>
      <c r="W85" s="70" t="s">
        <v>302</v>
      </c>
      <c r="X85" s="70"/>
      <c r="Y85" s="71">
        <v>45160</v>
      </c>
      <c r="Z85" s="118">
        <v>45525</v>
      </c>
      <c r="AA85" s="118">
        <v>45525</v>
      </c>
      <c r="AB85" s="43" t="s">
        <v>323</v>
      </c>
      <c r="AC85" s="71">
        <v>45813</v>
      </c>
      <c r="AD85" s="71" t="s">
        <v>321</v>
      </c>
      <c r="AE85" s="30">
        <v>1</v>
      </c>
      <c r="AF85" s="30">
        <v>1</v>
      </c>
      <c r="AG85" s="31">
        <v>576660657.66999996</v>
      </c>
      <c r="AH85" s="72"/>
      <c r="AI85" s="56" t="s">
        <v>3059</v>
      </c>
      <c r="AJ85" s="44">
        <v>2023</v>
      </c>
      <c r="AL85" s="2"/>
    </row>
    <row r="86" spans="1:38" ht="58" x14ac:dyDescent="0.35">
      <c r="A86" s="43" t="s">
        <v>306</v>
      </c>
      <c r="B86" s="2" t="s">
        <v>31</v>
      </c>
      <c r="C86" s="26" t="s">
        <v>34</v>
      </c>
      <c r="D86" s="27" t="s">
        <v>3060</v>
      </c>
      <c r="E86" s="111" t="s">
        <v>324</v>
      </c>
      <c r="F86" s="74" t="s">
        <v>3061</v>
      </c>
      <c r="G86" s="65">
        <v>45131</v>
      </c>
      <c r="H86" s="26" t="s">
        <v>150</v>
      </c>
      <c r="I86" s="67" t="s">
        <v>3062</v>
      </c>
      <c r="J86" s="47" t="s">
        <v>95</v>
      </c>
      <c r="K86" s="68" t="s">
        <v>84</v>
      </c>
      <c r="L86" s="26" t="s">
        <v>3063</v>
      </c>
      <c r="M86" s="2" t="s">
        <v>3064</v>
      </c>
      <c r="N86" s="143">
        <v>7309485285</v>
      </c>
      <c r="O86" s="143">
        <v>1388802200</v>
      </c>
      <c r="P86" s="36">
        <v>8698287485</v>
      </c>
      <c r="Q86" s="70" t="s">
        <v>301</v>
      </c>
      <c r="R86" s="3">
        <v>5421089516</v>
      </c>
      <c r="S86" s="28">
        <f>+Tabla15133[[#This Row],[VALOR TOTAL DEL CONTRATO
(en pesos)
CON IVA
(inicial)]]+Tabla15133[[#This Row],[VALOR DE LAS ADICIONES
(en pesos)
CON IVA]]</f>
        <v>14119377001</v>
      </c>
      <c r="T86" s="37">
        <v>1096</v>
      </c>
      <c r="U86" s="70" t="s">
        <v>302</v>
      </c>
      <c r="V86" s="101"/>
      <c r="W86" s="70" t="s">
        <v>302</v>
      </c>
      <c r="X86" s="70"/>
      <c r="Y86" s="65">
        <v>45131</v>
      </c>
      <c r="Z86" s="65">
        <v>46227</v>
      </c>
      <c r="AA86" s="144">
        <v>46227</v>
      </c>
      <c r="AB86" s="64" t="s">
        <v>303</v>
      </c>
      <c r="AC86" s="71"/>
      <c r="AD86" s="70"/>
      <c r="AE86" s="30">
        <v>0.85</v>
      </c>
      <c r="AF86" s="30">
        <v>0.70250000000000001</v>
      </c>
      <c r="AG86" s="31">
        <v>9918606863</v>
      </c>
      <c r="AH86" s="72" t="s">
        <v>3065</v>
      </c>
      <c r="AI86" s="56" t="s">
        <v>3066</v>
      </c>
      <c r="AJ86" s="44">
        <v>2023</v>
      </c>
      <c r="AL86" s="2"/>
    </row>
    <row r="87" spans="1:38" ht="43.5" x14ac:dyDescent="0.35">
      <c r="A87" s="43" t="s">
        <v>306</v>
      </c>
      <c r="B87" s="2" t="s">
        <v>4</v>
      </c>
      <c r="C87" s="26" t="s">
        <v>352</v>
      </c>
      <c r="D87" s="27">
        <v>5765</v>
      </c>
      <c r="E87" s="26" t="s">
        <v>312</v>
      </c>
      <c r="F87" s="74" t="s">
        <v>3067</v>
      </c>
      <c r="G87" s="65">
        <v>45132</v>
      </c>
      <c r="H87" s="26" t="s">
        <v>150</v>
      </c>
      <c r="I87" s="67" t="s">
        <v>3068</v>
      </c>
      <c r="J87" s="47" t="s">
        <v>89</v>
      </c>
      <c r="K87" s="68" t="s">
        <v>84</v>
      </c>
      <c r="L87" s="26" t="s">
        <v>3069</v>
      </c>
      <c r="M87" s="2" t="s">
        <v>3070</v>
      </c>
      <c r="N87" s="28">
        <v>226285714.2857143</v>
      </c>
      <c r="O87" s="28">
        <v>42994285.714285716</v>
      </c>
      <c r="P87" s="36">
        <v>269280000</v>
      </c>
      <c r="Q87" s="70" t="s">
        <v>302</v>
      </c>
      <c r="R87" s="3"/>
      <c r="S87" s="28">
        <f>+Tabla15133[[#This Row],[VALOR TOTAL DEL CONTRATO
(en pesos)
CON IVA
(inicial)]]+Tabla15133[[#This Row],[VALOR DE LAS ADICIONES
(en pesos)
CON IVA]]</f>
        <v>269280000</v>
      </c>
      <c r="T87" s="37">
        <v>730</v>
      </c>
      <c r="U87" s="70" t="s">
        <v>302</v>
      </c>
      <c r="V87" s="101"/>
      <c r="W87" s="70" t="s">
        <v>302</v>
      </c>
      <c r="X87" s="70"/>
      <c r="Y87" s="65">
        <v>45142</v>
      </c>
      <c r="Z87" s="65">
        <v>45872</v>
      </c>
      <c r="AA87" s="144">
        <v>45872</v>
      </c>
      <c r="AB87" s="64" t="s">
        <v>342</v>
      </c>
      <c r="AC87" s="71"/>
      <c r="AD87" s="70" t="s">
        <v>321</v>
      </c>
      <c r="AE87" s="61">
        <v>1</v>
      </c>
      <c r="AF87" s="61">
        <v>1</v>
      </c>
      <c r="AG87" s="62">
        <v>269279991.44</v>
      </c>
      <c r="AH87" s="72"/>
      <c r="AI87" s="56" t="s">
        <v>3071</v>
      </c>
      <c r="AJ87" s="44">
        <v>2023</v>
      </c>
      <c r="AL87" s="2"/>
    </row>
    <row r="88" spans="1:38" ht="43.5" x14ac:dyDescent="0.35">
      <c r="A88" s="43" t="s">
        <v>306</v>
      </c>
      <c r="B88" s="2" t="s">
        <v>31</v>
      </c>
      <c r="C88" s="26" t="s">
        <v>36</v>
      </c>
      <c r="D88" s="27">
        <v>5750</v>
      </c>
      <c r="E88" s="26" t="s">
        <v>312</v>
      </c>
      <c r="F88" s="74" t="s">
        <v>3072</v>
      </c>
      <c r="G88" s="65">
        <v>45134</v>
      </c>
      <c r="H88" s="26" t="s">
        <v>150</v>
      </c>
      <c r="I88" s="67" t="s">
        <v>3073</v>
      </c>
      <c r="J88" s="47" t="s">
        <v>89</v>
      </c>
      <c r="K88" s="68" t="s">
        <v>84</v>
      </c>
      <c r="L88" s="26" t="s">
        <v>2711</v>
      </c>
      <c r="M88" s="2" t="s">
        <v>2712</v>
      </c>
      <c r="N88" s="28">
        <v>269872939.49579835</v>
      </c>
      <c r="O88" s="28">
        <v>51275858.504201688</v>
      </c>
      <c r="P88" s="36">
        <v>321148798</v>
      </c>
      <c r="Q88" s="70" t="s">
        <v>302</v>
      </c>
      <c r="R88" s="3"/>
      <c r="S88" s="28">
        <f>+Tabla15133[[#This Row],[VALOR TOTAL DEL CONTRATO
(en pesos)
CON IVA
(inicial)]]+Tabla15133[[#This Row],[VALOR DE LAS ADICIONES
(en pesos)
CON IVA]]</f>
        <v>321148798</v>
      </c>
      <c r="T88" s="37">
        <v>1096</v>
      </c>
      <c r="U88" s="70" t="s">
        <v>302</v>
      </c>
      <c r="V88" s="101"/>
      <c r="W88" s="70" t="s">
        <v>302</v>
      </c>
      <c r="X88" s="70"/>
      <c r="Y88" s="65">
        <v>45134</v>
      </c>
      <c r="Z88" s="65">
        <v>46230</v>
      </c>
      <c r="AA88" s="144">
        <v>46230</v>
      </c>
      <c r="AB88" s="64" t="s">
        <v>303</v>
      </c>
      <c r="AC88" s="71"/>
      <c r="AD88" s="70"/>
      <c r="AE88" s="30">
        <v>0.75</v>
      </c>
      <c r="AF88" s="30">
        <v>1</v>
      </c>
      <c r="AG88" s="31">
        <v>321148798</v>
      </c>
      <c r="AH88" s="72"/>
      <c r="AI88" s="56" t="s">
        <v>3074</v>
      </c>
      <c r="AJ88" s="44">
        <v>2023</v>
      </c>
      <c r="AL88" s="2"/>
    </row>
    <row r="89" spans="1:38" ht="65" x14ac:dyDescent="0.35">
      <c r="A89" s="43" t="s">
        <v>306</v>
      </c>
      <c r="B89" s="2" t="s">
        <v>329</v>
      </c>
      <c r="C89" s="26" t="s">
        <v>51</v>
      </c>
      <c r="D89" s="27">
        <v>5818</v>
      </c>
      <c r="E89" s="111" t="s">
        <v>300</v>
      </c>
      <c r="F89" s="74" t="s">
        <v>3075</v>
      </c>
      <c r="G89" s="65">
        <v>45138</v>
      </c>
      <c r="H89" s="26" t="s">
        <v>150</v>
      </c>
      <c r="I89" s="67" t="s">
        <v>3076</v>
      </c>
      <c r="J89" s="47" t="s">
        <v>89</v>
      </c>
      <c r="K89" s="68" t="s">
        <v>84</v>
      </c>
      <c r="L89" s="26" t="s">
        <v>3077</v>
      </c>
      <c r="M89" s="2" t="s">
        <v>3078</v>
      </c>
      <c r="N89" s="145">
        <v>42016806.722689077</v>
      </c>
      <c r="O89" s="143">
        <v>7983193.2773109246</v>
      </c>
      <c r="P89" s="29">
        <v>50000000</v>
      </c>
      <c r="Q89" s="70" t="s">
        <v>302</v>
      </c>
      <c r="R89" s="3"/>
      <c r="S89" s="28">
        <f>+Tabla15133[[#This Row],[VALOR TOTAL DEL CONTRATO
(en pesos)
CON IVA
(inicial)]]+Tabla15133[[#This Row],[VALOR DE LAS ADICIONES
(en pesos)
CON IVA]]</f>
        <v>50000000</v>
      </c>
      <c r="T89" s="37">
        <v>365</v>
      </c>
      <c r="U89" s="70" t="s">
        <v>301</v>
      </c>
      <c r="V89" s="101">
        <f>+Tabla15133[[#This Row],[FECHA TERMINACIÓN DEL CONTRATO
(inicial + prórroga)]]-Tabla15133[[#This Row],[FECHA TERMINACIÓN DEL CONTRATO
(inicial)]]</f>
        <v>730</v>
      </c>
      <c r="W89" s="70" t="s">
        <v>302</v>
      </c>
      <c r="X89" s="70"/>
      <c r="Y89" s="65">
        <v>45138</v>
      </c>
      <c r="Z89" s="65">
        <v>45503</v>
      </c>
      <c r="AA89" s="144">
        <v>46233</v>
      </c>
      <c r="AB89" s="64" t="s">
        <v>303</v>
      </c>
      <c r="AC89" s="71"/>
      <c r="AD89" s="71"/>
      <c r="AE89" s="30">
        <v>0.41670000000000001</v>
      </c>
      <c r="AF89" s="30">
        <v>0.44500000000000001</v>
      </c>
      <c r="AG89" s="31">
        <v>22250000</v>
      </c>
      <c r="AH89" s="72" t="s">
        <v>3079</v>
      </c>
      <c r="AI89" s="56" t="s">
        <v>3080</v>
      </c>
      <c r="AJ89" s="44">
        <v>2023</v>
      </c>
      <c r="AL89" s="2"/>
    </row>
    <row r="90" spans="1:38" ht="43.5" x14ac:dyDescent="0.35">
      <c r="A90" s="43" t="s">
        <v>306</v>
      </c>
      <c r="B90" s="2" t="s">
        <v>329</v>
      </c>
      <c r="C90" s="26" t="s">
        <v>51</v>
      </c>
      <c r="D90" s="27" t="s">
        <v>3081</v>
      </c>
      <c r="E90" s="111" t="s">
        <v>300</v>
      </c>
      <c r="F90" s="74" t="s">
        <v>3082</v>
      </c>
      <c r="G90" s="65">
        <v>45135</v>
      </c>
      <c r="H90" s="26" t="s">
        <v>150</v>
      </c>
      <c r="I90" s="67" t="s">
        <v>3083</v>
      </c>
      <c r="J90" s="47" t="s">
        <v>89</v>
      </c>
      <c r="K90" s="68" t="s">
        <v>84</v>
      </c>
      <c r="L90" s="26" t="s">
        <v>1684</v>
      </c>
      <c r="M90" s="2" t="s">
        <v>353</v>
      </c>
      <c r="N90" s="145">
        <v>640543200</v>
      </c>
      <c r="O90" s="143">
        <v>121703208</v>
      </c>
      <c r="P90" s="29">
        <v>762246408</v>
      </c>
      <c r="Q90" s="70" t="s">
        <v>301</v>
      </c>
      <c r="R90" s="3">
        <v>130294528</v>
      </c>
      <c r="S90" s="28">
        <f>+Tabla15133[[#This Row],[VALOR TOTAL DEL CONTRATO
(en pesos)
CON IVA
(inicial)]]+Tabla15133[[#This Row],[VALOR DE LAS ADICIONES
(en pesos)
CON IVA]]</f>
        <v>892540936</v>
      </c>
      <c r="T90" s="37">
        <v>731</v>
      </c>
      <c r="U90" s="70" t="s">
        <v>301</v>
      </c>
      <c r="V90" s="101">
        <f>+Tabla15133[[#This Row],[FECHA TERMINACIÓN DEL CONTRATO
(inicial + prórroga)]]-Tabla15133[[#This Row],[FECHA TERMINACIÓN DEL CONTRATO
(inicial)]]</f>
        <v>123</v>
      </c>
      <c r="W90" s="70" t="s">
        <v>302</v>
      </c>
      <c r="X90" s="70"/>
      <c r="Y90" s="65">
        <v>45135</v>
      </c>
      <c r="Z90" s="65">
        <v>45865</v>
      </c>
      <c r="AA90" s="65">
        <v>45988</v>
      </c>
      <c r="AB90" s="64" t="s">
        <v>325</v>
      </c>
      <c r="AC90" s="71"/>
      <c r="AD90" s="70" t="s">
        <v>321</v>
      </c>
      <c r="AE90" s="30">
        <v>1</v>
      </c>
      <c r="AF90" s="30">
        <v>0.82</v>
      </c>
      <c r="AG90" s="31">
        <v>732316060</v>
      </c>
      <c r="AH90" s="72" t="s">
        <v>3084</v>
      </c>
      <c r="AI90" s="56" t="s">
        <v>3085</v>
      </c>
      <c r="AJ90" s="44">
        <v>2023</v>
      </c>
      <c r="AL90" s="2"/>
    </row>
    <row r="91" spans="1:38" ht="29" x14ac:dyDescent="0.35">
      <c r="A91" s="43" t="s">
        <v>306</v>
      </c>
      <c r="B91" s="2" t="s">
        <v>322</v>
      </c>
      <c r="C91" s="26" t="s">
        <v>71</v>
      </c>
      <c r="D91" s="27">
        <v>5861</v>
      </c>
      <c r="E91" s="111" t="s">
        <v>300</v>
      </c>
      <c r="F91" s="74" t="s">
        <v>3086</v>
      </c>
      <c r="G91" s="65">
        <v>45141</v>
      </c>
      <c r="H91" s="26" t="s">
        <v>150</v>
      </c>
      <c r="I91" s="67" t="s">
        <v>3087</v>
      </c>
      <c r="J91" s="47" t="s">
        <v>89</v>
      </c>
      <c r="K91" s="68" t="s">
        <v>84</v>
      </c>
      <c r="L91" s="26" t="s">
        <v>1585</v>
      </c>
      <c r="M91" s="2" t="s">
        <v>330</v>
      </c>
      <c r="N91" s="28">
        <v>11148870168</v>
      </c>
      <c r="O91" s="28">
        <v>2118285332</v>
      </c>
      <c r="P91" s="36">
        <v>13267155500</v>
      </c>
      <c r="Q91" s="70" t="s">
        <v>302</v>
      </c>
      <c r="R91" s="3"/>
      <c r="S91" s="28">
        <f>+Tabla15133[[#This Row],[VALOR TOTAL DEL CONTRATO
(en pesos)
CON IVA
(inicial)]]+Tabla15133[[#This Row],[VALOR DE LAS ADICIONES
(en pesos)
CON IVA]]</f>
        <v>13267155500</v>
      </c>
      <c r="T91" s="37">
        <v>1096</v>
      </c>
      <c r="U91" s="70" t="s">
        <v>302</v>
      </c>
      <c r="V91" s="101"/>
      <c r="W91" s="70" t="s">
        <v>302</v>
      </c>
      <c r="X91" s="70"/>
      <c r="Y91" s="65">
        <v>45142</v>
      </c>
      <c r="Z91" s="65">
        <v>46238</v>
      </c>
      <c r="AA91" s="144">
        <v>46238</v>
      </c>
      <c r="AB91" s="64" t="s">
        <v>303</v>
      </c>
      <c r="AC91" s="71"/>
      <c r="AD91" s="70"/>
      <c r="AE91" s="30">
        <v>0.77780000000000005</v>
      </c>
      <c r="AF91" s="30">
        <v>0.88729999999999998</v>
      </c>
      <c r="AG91" s="31">
        <v>11771706185</v>
      </c>
      <c r="AH91" s="72"/>
      <c r="AI91" s="56" t="s">
        <v>3088</v>
      </c>
      <c r="AJ91" s="44">
        <v>2023</v>
      </c>
      <c r="AL91" s="2"/>
    </row>
    <row r="92" spans="1:38" ht="58" x14ac:dyDescent="0.35">
      <c r="A92" s="43" t="s">
        <v>306</v>
      </c>
      <c r="B92" s="2" t="s">
        <v>31</v>
      </c>
      <c r="C92" s="26" t="s">
        <v>37</v>
      </c>
      <c r="D92" s="27">
        <v>5838</v>
      </c>
      <c r="E92" s="111" t="s">
        <v>300</v>
      </c>
      <c r="F92" s="74" t="s">
        <v>3089</v>
      </c>
      <c r="G92" s="65">
        <v>45148</v>
      </c>
      <c r="H92" s="26" t="s">
        <v>142</v>
      </c>
      <c r="I92" s="67" t="s">
        <v>3090</v>
      </c>
      <c r="J92" s="47" t="s">
        <v>89</v>
      </c>
      <c r="K92" s="68" t="s">
        <v>84</v>
      </c>
      <c r="L92" s="26" t="s">
        <v>1602</v>
      </c>
      <c r="M92" s="2" t="s">
        <v>354</v>
      </c>
      <c r="N92" s="28">
        <v>45000000</v>
      </c>
      <c r="O92" s="28">
        <v>8550000</v>
      </c>
      <c r="P92" s="36">
        <v>53550000</v>
      </c>
      <c r="Q92" s="70" t="s">
        <v>302</v>
      </c>
      <c r="R92" s="3"/>
      <c r="S92" s="28">
        <f>+Tabla15133[[#This Row],[VALOR TOTAL DEL CONTRATO
(en pesos)
CON IVA
(inicial)]]+Tabla15133[[#This Row],[VALOR DE LAS ADICIONES
(en pesos)
CON IVA]]</f>
        <v>53550000</v>
      </c>
      <c r="T92" s="37">
        <v>365</v>
      </c>
      <c r="U92" s="70" t="s">
        <v>302</v>
      </c>
      <c r="V92" s="101"/>
      <c r="W92" s="70" t="s">
        <v>302</v>
      </c>
      <c r="X92" s="70"/>
      <c r="Y92" s="65">
        <v>45155</v>
      </c>
      <c r="Z92" s="65">
        <v>45520</v>
      </c>
      <c r="AA92" s="144">
        <v>45520</v>
      </c>
      <c r="AB92" s="64" t="s">
        <v>323</v>
      </c>
      <c r="AC92" s="71">
        <v>45980</v>
      </c>
      <c r="AD92" s="71" t="s">
        <v>321</v>
      </c>
      <c r="AE92" s="30">
        <v>1</v>
      </c>
      <c r="AF92" s="30">
        <v>1</v>
      </c>
      <c r="AG92" s="31">
        <v>53550000</v>
      </c>
      <c r="AH92" s="72"/>
      <c r="AI92" s="56" t="s">
        <v>3091</v>
      </c>
      <c r="AJ92" s="44">
        <v>2023</v>
      </c>
      <c r="AL92" s="2"/>
    </row>
    <row r="93" spans="1:38" ht="43.5" x14ac:dyDescent="0.35">
      <c r="A93" s="43" t="s">
        <v>306</v>
      </c>
      <c r="B93" s="2" t="s">
        <v>298</v>
      </c>
      <c r="C93" s="26" t="s">
        <v>2731</v>
      </c>
      <c r="D93" s="27">
        <v>5794</v>
      </c>
      <c r="E93" s="111" t="s">
        <v>300</v>
      </c>
      <c r="F93" s="74" t="s">
        <v>3092</v>
      </c>
      <c r="G93" s="65">
        <v>45162</v>
      </c>
      <c r="H93" s="26" t="s">
        <v>150</v>
      </c>
      <c r="I93" s="67" t="s">
        <v>3093</v>
      </c>
      <c r="J93" s="47" t="s">
        <v>89</v>
      </c>
      <c r="K93" s="68" t="s">
        <v>84</v>
      </c>
      <c r="L93" s="26" t="s">
        <v>1595</v>
      </c>
      <c r="M93" s="2" t="s">
        <v>3094</v>
      </c>
      <c r="N93" s="28">
        <v>37200000</v>
      </c>
      <c r="O93" s="143">
        <v>7068000</v>
      </c>
      <c r="P93" s="36">
        <v>44268000</v>
      </c>
      <c r="Q93" s="70" t="s">
        <v>302</v>
      </c>
      <c r="R93" s="3"/>
      <c r="S93" s="28">
        <f>+Tabla15133[[#This Row],[VALOR TOTAL DEL CONTRATO
(en pesos)
CON IVA
(inicial)]]+Tabla15133[[#This Row],[VALOR DE LAS ADICIONES
(en pesos)
CON IVA]]</f>
        <v>44268000</v>
      </c>
      <c r="T93" s="37">
        <v>730</v>
      </c>
      <c r="U93" s="70" t="s">
        <v>302</v>
      </c>
      <c r="V93" s="101"/>
      <c r="W93" s="70" t="s">
        <v>302</v>
      </c>
      <c r="X93" s="70"/>
      <c r="Y93" s="65">
        <v>45171</v>
      </c>
      <c r="Z93" s="65">
        <v>45901</v>
      </c>
      <c r="AA93" s="144">
        <v>45901</v>
      </c>
      <c r="AB93" s="64" t="s">
        <v>323</v>
      </c>
      <c r="AC93" s="71">
        <v>45973</v>
      </c>
      <c r="AD93" s="70" t="s">
        <v>321</v>
      </c>
      <c r="AE93" s="30">
        <v>1</v>
      </c>
      <c r="AF93" s="55">
        <v>0.97</v>
      </c>
      <c r="AG93" s="31">
        <v>42840000</v>
      </c>
      <c r="AH93" s="72"/>
      <c r="AI93" s="56" t="s">
        <v>3095</v>
      </c>
      <c r="AJ93" s="44">
        <v>2023</v>
      </c>
      <c r="AL93" s="2"/>
    </row>
    <row r="94" spans="1:38" ht="43.5" x14ac:dyDescent="0.35">
      <c r="A94" s="43" t="s">
        <v>306</v>
      </c>
      <c r="B94" s="2" t="s">
        <v>31</v>
      </c>
      <c r="C94" s="26" t="s">
        <v>36</v>
      </c>
      <c r="D94" s="27">
        <v>5849</v>
      </c>
      <c r="E94" s="111" t="s">
        <v>300</v>
      </c>
      <c r="F94" s="74" t="s">
        <v>3096</v>
      </c>
      <c r="G94" s="65">
        <v>45175</v>
      </c>
      <c r="H94" s="26" t="s">
        <v>150</v>
      </c>
      <c r="I94" s="67" t="s">
        <v>3097</v>
      </c>
      <c r="J94" s="47" t="s">
        <v>89</v>
      </c>
      <c r="K94" s="68" t="s">
        <v>84</v>
      </c>
      <c r="L94" s="26" t="s">
        <v>3098</v>
      </c>
      <c r="M94" s="2" t="s">
        <v>3099</v>
      </c>
      <c r="N94" s="28">
        <v>23700000</v>
      </c>
      <c r="O94" s="28">
        <v>4503000</v>
      </c>
      <c r="P94" s="36">
        <v>28203000</v>
      </c>
      <c r="Q94" s="70" t="s">
        <v>302</v>
      </c>
      <c r="R94" s="3"/>
      <c r="S94" s="28">
        <f>+Tabla15133[[#This Row],[VALOR TOTAL DEL CONTRATO
(en pesos)
CON IVA
(inicial)]]+Tabla15133[[#This Row],[VALOR DE LAS ADICIONES
(en pesos)
CON IVA]]</f>
        <v>28203000</v>
      </c>
      <c r="T94" s="37">
        <v>1095</v>
      </c>
      <c r="U94" s="70" t="s">
        <v>302</v>
      </c>
      <c r="V94" s="101"/>
      <c r="W94" s="70" t="s">
        <v>302</v>
      </c>
      <c r="X94" s="70"/>
      <c r="Y94" s="65">
        <v>45197</v>
      </c>
      <c r="Z94" s="65">
        <v>46292</v>
      </c>
      <c r="AA94" s="144">
        <v>46292</v>
      </c>
      <c r="AB94" s="64" t="s">
        <v>303</v>
      </c>
      <c r="AC94" s="71"/>
      <c r="AD94" s="70"/>
      <c r="AE94" s="30">
        <v>0.75</v>
      </c>
      <c r="AF94" s="30">
        <v>1</v>
      </c>
      <c r="AG94" s="31">
        <v>28203000</v>
      </c>
      <c r="AH94" s="72"/>
      <c r="AI94" s="56" t="s">
        <v>3100</v>
      </c>
      <c r="AJ94" s="44">
        <v>2023</v>
      </c>
      <c r="AL94" s="2"/>
    </row>
    <row r="95" spans="1:38" ht="90.5" customHeight="1" x14ac:dyDescent="0.35">
      <c r="A95" s="43" t="s">
        <v>306</v>
      </c>
      <c r="B95" s="2" t="s">
        <v>329</v>
      </c>
      <c r="C95" s="26" t="s">
        <v>52</v>
      </c>
      <c r="D95" s="27">
        <v>5885</v>
      </c>
      <c r="E95" s="26" t="s">
        <v>300</v>
      </c>
      <c r="F95" s="74" t="s">
        <v>3101</v>
      </c>
      <c r="G95" s="65">
        <v>45194</v>
      </c>
      <c r="H95" s="26" t="s">
        <v>150</v>
      </c>
      <c r="I95" s="67" t="s">
        <v>3102</v>
      </c>
      <c r="J95" s="47" t="s">
        <v>89</v>
      </c>
      <c r="K95" s="68" t="s">
        <v>84</v>
      </c>
      <c r="L95" s="26" t="s">
        <v>3103</v>
      </c>
      <c r="M95" s="2" t="s">
        <v>3104</v>
      </c>
      <c r="N95" s="28">
        <v>126050420.16806723</v>
      </c>
      <c r="O95" s="28">
        <v>23949579.831932768</v>
      </c>
      <c r="P95" s="36">
        <v>150000000</v>
      </c>
      <c r="Q95" s="70" t="s">
        <v>302</v>
      </c>
      <c r="R95" s="3"/>
      <c r="S95" s="28">
        <f>+Tabla15133[[#This Row],[VALOR TOTAL DEL CONTRATO
(en pesos)
CON IVA
(inicial)]]+Tabla15133[[#This Row],[VALOR DE LAS ADICIONES
(en pesos)
CON IVA]]</f>
        <v>150000000</v>
      </c>
      <c r="T95" s="37">
        <v>365</v>
      </c>
      <c r="U95" s="70" t="s">
        <v>301</v>
      </c>
      <c r="V95" s="101">
        <f>+Tabla15133[[#This Row],[FECHA TERMINACIÓN DEL CONTRATO
(inicial + prórroga)]]-Tabla15133[[#This Row],[FECHA TERMINACIÓN DEL CONTRATO
(inicial)]]</f>
        <v>730</v>
      </c>
      <c r="W95" s="117" t="s">
        <v>302</v>
      </c>
      <c r="X95" s="117"/>
      <c r="Y95" s="65">
        <v>45226</v>
      </c>
      <c r="Z95" s="65">
        <v>45591</v>
      </c>
      <c r="AA95" s="144">
        <v>46321</v>
      </c>
      <c r="AB95" s="64" t="s">
        <v>303</v>
      </c>
      <c r="AC95" s="71"/>
      <c r="AD95" s="70"/>
      <c r="AE95" s="61">
        <v>0.17857142857142858</v>
      </c>
      <c r="AF95" s="61">
        <v>0.17857142857142858</v>
      </c>
      <c r="AG95" s="63">
        <v>136777589.01999998</v>
      </c>
      <c r="AH95" s="72" t="s">
        <v>3105</v>
      </c>
      <c r="AI95" s="56" t="s">
        <v>3106</v>
      </c>
      <c r="AJ95" s="44">
        <v>2023</v>
      </c>
      <c r="AL95" s="2"/>
    </row>
    <row r="96" spans="1:38" ht="104" customHeight="1" x14ac:dyDescent="0.35">
      <c r="A96" s="43" t="s">
        <v>306</v>
      </c>
      <c r="B96" s="2" t="s">
        <v>329</v>
      </c>
      <c r="C96" s="26" t="s">
        <v>52</v>
      </c>
      <c r="D96" s="27">
        <v>5889</v>
      </c>
      <c r="E96" s="26" t="s">
        <v>300</v>
      </c>
      <c r="F96" s="74" t="s">
        <v>3107</v>
      </c>
      <c r="G96" s="65">
        <v>45195</v>
      </c>
      <c r="H96" s="26" t="s">
        <v>150</v>
      </c>
      <c r="I96" s="67" t="s">
        <v>3102</v>
      </c>
      <c r="J96" s="47" t="s">
        <v>89</v>
      </c>
      <c r="K96" s="68" t="s">
        <v>84</v>
      </c>
      <c r="L96" s="26" t="s">
        <v>3108</v>
      </c>
      <c r="M96" s="2" t="s">
        <v>3109</v>
      </c>
      <c r="N96" s="28">
        <v>168067226.89075631</v>
      </c>
      <c r="O96" s="28">
        <v>31932773.109243691</v>
      </c>
      <c r="P96" s="36">
        <v>200000000</v>
      </c>
      <c r="Q96" s="70" t="s">
        <v>302</v>
      </c>
      <c r="R96" s="3"/>
      <c r="S96" s="28">
        <f>+Tabla15133[[#This Row],[VALOR TOTAL DEL CONTRATO
(en pesos)
CON IVA
(inicial)]]+Tabla15133[[#This Row],[VALOR DE LAS ADICIONES
(en pesos)
CON IVA]]</f>
        <v>200000000</v>
      </c>
      <c r="T96" s="37">
        <v>365</v>
      </c>
      <c r="U96" s="70" t="s">
        <v>301</v>
      </c>
      <c r="V96" s="101">
        <f>+Tabla15133[[#This Row],[FECHA TERMINACIÓN DEL CONTRATO
(inicial + prórroga)]]-Tabla15133[[#This Row],[FECHA TERMINACIÓN DEL CONTRATO
(inicial)]]</f>
        <v>730</v>
      </c>
      <c r="W96" s="117" t="s">
        <v>302</v>
      </c>
      <c r="X96" s="117"/>
      <c r="Y96" s="65">
        <v>45232</v>
      </c>
      <c r="Z96" s="65">
        <v>45597</v>
      </c>
      <c r="AA96" s="144">
        <v>46327</v>
      </c>
      <c r="AB96" s="64" t="s">
        <v>303</v>
      </c>
      <c r="AC96" s="71"/>
      <c r="AD96" s="70"/>
      <c r="AE96" s="146">
        <v>0.16208791208791209</v>
      </c>
      <c r="AF96" s="146">
        <v>0.16208791208791209</v>
      </c>
      <c r="AG96" s="63">
        <v>47344121.149999999</v>
      </c>
      <c r="AH96" s="72" t="s">
        <v>3105</v>
      </c>
      <c r="AI96" s="56" t="s">
        <v>3110</v>
      </c>
      <c r="AJ96" s="44">
        <v>2023</v>
      </c>
      <c r="AL96" s="2"/>
    </row>
    <row r="97" spans="1:38" ht="43.5" x14ac:dyDescent="0.35">
      <c r="A97" s="43" t="s">
        <v>306</v>
      </c>
      <c r="B97" s="2" t="s">
        <v>31</v>
      </c>
      <c r="C97" s="26" t="s">
        <v>33</v>
      </c>
      <c r="D97" s="27">
        <v>5865</v>
      </c>
      <c r="E97" s="26" t="s">
        <v>300</v>
      </c>
      <c r="F97" s="74" t="s">
        <v>3111</v>
      </c>
      <c r="G97" s="65">
        <v>45177</v>
      </c>
      <c r="H97" s="26" t="s">
        <v>150</v>
      </c>
      <c r="I97" s="67" t="s">
        <v>3112</v>
      </c>
      <c r="J97" s="47" t="s">
        <v>89</v>
      </c>
      <c r="K97" s="68" t="s">
        <v>84</v>
      </c>
      <c r="L97" s="26" t="s">
        <v>3113</v>
      </c>
      <c r="M97" s="2" t="s">
        <v>3114</v>
      </c>
      <c r="N97" s="145">
        <v>50066900</v>
      </c>
      <c r="O97" s="143">
        <v>7693997</v>
      </c>
      <c r="P97" s="29">
        <v>57760897</v>
      </c>
      <c r="Q97" s="70" t="s">
        <v>302</v>
      </c>
      <c r="R97" s="3"/>
      <c r="S97" s="28">
        <f>+Tabla15133[[#This Row],[VALOR TOTAL DEL CONTRATO
(en pesos)
CON IVA
(inicial)]]+Tabla15133[[#This Row],[VALOR DE LAS ADICIONES
(en pesos)
CON IVA]]</f>
        <v>57760897</v>
      </c>
      <c r="T97" s="37">
        <v>366</v>
      </c>
      <c r="U97" s="70" t="s">
        <v>302</v>
      </c>
      <c r="V97" s="101"/>
      <c r="W97" s="70" t="s">
        <v>302</v>
      </c>
      <c r="X97" s="70"/>
      <c r="Y97" s="65">
        <v>45197</v>
      </c>
      <c r="Z97" s="65">
        <v>45563</v>
      </c>
      <c r="AA97" s="144">
        <v>45563</v>
      </c>
      <c r="AB97" s="64" t="s">
        <v>323</v>
      </c>
      <c r="AC97" s="71">
        <v>45672</v>
      </c>
      <c r="AD97" s="71" t="s">
        <v>321</v>
      </c>
      <c r="AE97" s="30">
        <v>1</v>
      </c>
      <c r="AF97" s="30">
        <v>0.47984112600952167</v>
      </c>
      <c r="AG97" s="31">
        <v>27716053.855800003</v>
      </c>
      <c r="AH97" s="121"/>
      <c r="AI97" s="56" t="s">
        <v>3115</v>
      </c>
      <c r="AJ97" s="44">
        <v>2023</v>
      </c>
      <c r="AL97" s="2"/>
    </row>
    <row r="98" spans="1:38" ht="91.5" customHeight="1" x14ac:dyDescent="0.35">
      <c r="A98" s="43" t="s">
        <v>306</v>
      </c>
      <c r="B98" s="2" t="s">
        <v>329</v>
      </c>
      <c r="C98" s="26" t="s">
        <v>52</v>
      </c>
      <c r="D98" s="27">
        <v>5893</v>
      </c>
      <c r="E98" s="26" t="s">
        <v>300</v>
      </c>
      <c r="F98" s="74" t="s">
        <v>3116</v>
      </c>
      <c r="G98" s="65">
        <v>45202</v>
      </c>
      <c r="H98" s="26" t="s">
        <v>150</v>
      </c>
      <c r="I98" s="67" t="s">
        <v>3102</v>
      </c>
      <c r="J98" s="47" t="s">
        <v>89</v>
      </c>
      <c r="K98" s="68" t="s">
        <v>84</v>
      </c>
      <c r="L98" s="26" t="s">
        <v>1475</v>
      </c>
      <c r="M98" s="2" t="s">
        <v>3117</v>
      </c>
      <c r="N98" s="28">
        <v>84033613.445378155</v>
      </c>
      <c r="O98" s="28">
        <v>15966386.554621845</v>
      </c>
      <c r="P98" s="36">
        <v>100000000</v>
      </c>
      <c r="Q98" s="70" t="s">
        <v>302</v>
      </c>
      <c r="R98" s="3"/>
      <c r="S98" s="28">
        <f>+Tabla15133[[#This Row],[VALOR TOTAL DEL CONTRATO
(en pesos)
CON IVA
(inicial)]]+Tabla15133[[#This Row],[VALOR DE LAS ADICIONES
(en pesos)
CON IVA]]</f>
        <v>100000000</v>
      </c>
      <c r="T98" s="37">
        <v>365</v>
      </c>
      <c r="U98" s="70" t="s">
        <v>301</v>
      </c>
      <c r="V98" s="101">
        <f>+Tabla15133[[#This Row],[FECHA TERMINACIÓN DEL CONTRATO
(inicial + prórroga)]]-Tabla15133[[#This Row],[FECHA TERMINACIÓN DEL CONTRATO
(inicial)]]</f>
        <v>730</v>
      </c>
      <c r="W98" s="70" t="s">
        <v>302</v>
      </c>
      <c r="X98" s="70"/>
      <c r="Y98" s="65">
        <v>45258</v>
      </c>
      <c r="Z98" s="65">
        <v>45623</v>
      </c>
      <c r="AA98" s="144">
        <v>46353</v>
      </c>
      <c r="AB98" s="64" t="s">
        <v>303</v>
      </c>
      <c r="AC98" s="71"/>
      <c r="AD98" s="70"/>
      <c r="AE98" s="61">
        <v>9.0659340659340656E-2</v>
      </c>
      <c r="AF98" s="61">
        <v>9.0659340659340656E-2</v>
      </c>
      <c r="AG98" s="63">
        <v>43559379.170000002</v>
      </c>
      <c r="AH98" s="72" t="s">
        <v>3105</v>
      </c>
      <c r="AI98" s="56" t="s">
        <v>3118</v>
      </c>
      <c r="AJ98" s="44">
        <v>2023</v>
      </c>
      <c r="AL98" s="2"/>
    </row>
    <row r="99" spans="1:38" ht="85" customHeight="1" x14ac:dyDescent="0.35">
      <c r="A99" s="43" t="s">
        <v>306</v>
      </c>
      <c r="B99" s="2" t="s">
        <v>329</v>
      </c>
      <c r="C99" s="26" t="s">
        <v>52</v>
      </c>
      <c r="D99" s="27">
        <v>5908</v>
      </c>
      <c r="E99" s="26" t="s">
        <v>300</v>
      </c>
      <c r="F99" s="74" t="s">
        <v>3119</v>
      </c>
      <c r="G99" s="65">
        <v>45181</v>
      </c>
      <c r="H99" s="26" t="s">
        <v>150</v>
      </c>
      <c r="I99" s="67" t="s">
        <v>3102</v>
      </c>
      <c r="J99" s="47" t="s">
        <v>89</v>
      </c>
      <c r="K99" s="68" t="s">
        <v>84</v>
      </c>
      <c r="L99" s="26" t="s">
        <v>3120</v>
      </c>
      <c r="M99" s="2" t="s">
        <v>3121</v>
      </c>
      <c r="N99" s="28">
        <v>168067226.89075631</v>
      </c>
      <c r="O99" s="28">
        <v>31932773.109243691</v>
      </c>
      <c r="P99" s="36">
        <v>200000000</v>
      </c>
      <c r="Q99" s="70" t="s">
        <v>302</v>
      </c>
      <c r="R99" s="3"/>
      <c r="S99" s="28">
        <f>+Tabla15133[[#This Row],[VALOR TOTAL DEL CONTRATO
(en pesos)
CON IVA
(inicial)]]+Tabla15133[[#This Row],[VALOR DE LAS ADICIONES
(en pesos)
CON IVA]]</f>
        <v>200000000</v>
      </c>
      <c r="T99" s="37">
        <v>365</v>
      </c>
      <c r="U99" s="70" t="s">
        <v>301</v>
      </c>
      <c r="V99" s="101">
        <f>+Tabla15133[[#This Row],[FECHA TERMINACIÓN DEL CONTRATO
(inicial + prórroga)]]-Tabla15133[[#This Row],[FECHA TERMINACIÓN DEL CONTRATO
(inicial)]]</f>
        <v>730</v>
      </c>
      <c r="W99" s="117" t="s">
        <v>302</v>
      </c>
      <c r="X99" s="117"/>
      <c r="Y99" s="65">
        <v>45253</v>
      </c>
      <c r="Z99" s="65">
        <v>45618</v>
      </c>
      <c r="AA99" s="144">
        <v>46348</v>
      </c>
      <c r="AB99" s="64" t="s">
        <v>303</v>
      </c>
      <c r="AC99" s="71"/>
      <c r="AD99" s="70"/>
      <c r="AE99" s="146">
        <v>0.1043956043956044</v>
      </c>
      <c r="AF99" s="146">
        <v>0.1043956043956044</v>
      </c>
      <c r="AG99" s="63">
        <v>165493029.44999999</v>
      </c>
      <c r="AH99" s="72" t="s">
        <v>3105</v>
      </c>
      <c r="AI99" s="56" t="s">
        <v>3122</v>
      </c>
      <c r="AJ99" s="44">
        <v>2023</v>
      </c>
      <c r="AL99" s="2"/>
    </row>
    <row r="100" spans="1:38" ht="92.5" customHeight="1" x14ac:dyDescent="0.35">
      <c r="A100" s="43" t="s">
        <v>306</v>
      </c>
      <c r="B100" s="2" t="s">
        <v>329</v>
      </c>
      <c r="C100" s="26" t="s">
        <v>52</v>
      </c>
      <c r="D100" s="27">
        <v>5887</v>
      </c>
      <c r="E100" s="26" t="s">
        <v>300</v>
      </c>
      <c r="F100" s="74" t="s">
        <v>3123</v>
      </c>
      <c r="G100" s="65">
        <v>45180</v>
      </c>
      <c r="H100" s="26" t="s">
        <v>150</v>
      </c>
      <c r="I100" s="67" t="s">
        <v>3102</v>
      </c>
      <c r="J100" s="47" t="s">
        <v>89</v>
      </c>
      <c r="K100" s="68" t="s">
        <v>84</v>
      </c>
      <c r="L100" s="26" t="s">
        <v>1499</v>
      </c>
      <c r="M100" s="2" t="s">
        <v>3124</v>
      </c>
      <c r="N100" s="28">
        <v>126050420.16806723</v>
      </c>
      <c r="O100" s="28">
        <v>23949579.831932768</v>
      </c>
      <c r="P100" s="36">
        <v>150000000</v>
      </c>
      <c r="Q100" s="70" t="s">
        <v>302</v>
      </c>
      <c r="R100" s="3"/>
      <c r="S100" s="28">
        <f>+Tabla15133[[#This Row],[VALOR TOTAL DEL CONTRATO
(en pesos)
CON IVA
(inicial)]]+Tabla15133[[#This Row],[VALOR DE LAS ADICIONES
(en pesos)
CON IVA]]</f>
        <v>150000000</v>
      </c>
      <c r="T100" s="37">
        <v>365</v>
      </c>
      <c r="U100" s="70" t="s">
        <v>301</v>
      </c>
      <c r="V100" s="101">
        <f>+Tabla15133[[#This Row],[FECHA TERMINACIÓN DEL CONTRATO
(inicial + prórroga)]]-Tabla15133[[#This Row],[FECHA TERMINACIÓN DEL CONTRATO
(inicial)]]</f>
        <v>730</v>
      </c>
      <c r="W100" s="117" t="s">
        <v>302</v>
      </c>
      <c r="X100" s="117"/>
      <c r="Y100" s="65">
        <v>45238</v>
      </c>
      <c r="Z100" s="65">
        <v>45603</v>
      </c>
      <c r="AA100" s="144">
        <v>46333</v>
      </c>
      <c r="AB100" s="64" t="s">
        <v>303</v>
      </c>
      <c r="AC100" s="71"/>
      <c r="AD100" s="70"/>
      <c r="AE100" s="61">
        <v>0.14560439560439561</v>
      </c>
      <c r="AF100" s="61">
        <v>0.14560439560439561</v>
      </c>
      <c r="AG100" s="63">
        <v>107871509</v>
      </c>
      <c r="AH100" s="72" t="s">
        <v>3105</v>
      </c>
      <c r="AI100" s="56" t="s">
        <v>3125</v>
      </c>
      <c r="AJ100" s="44">
        <v>2023</v>
      </c>
      <c r="AL100" s="2"/>
    </row>
    <row r="101" spans="1:38" ht="118.5" customHeight="1" x14ac:dyDescent="0.35">
      <c r="A101" s="43" t="s">
        <v>306</v>
      </c>
      <c r="B101" s="2" t="s">
        <v>329</v>
      </c>
      <c r="C101" s="26" t="s">
        <v>52</v>
      </c>
      <c r="D101" s="27">
        <v>5891</v>
      </c>
      <c r="E101" s="26" t="s">
        <v>300</v>
      </c>
      <c r="F101" s="74" t="s">
        <v>3126</v>
      </c>
      <c r="G101" s="65">
        <v>45180</v>
      </c>
      <c r="H101" s="26" t="s">
        <v>150</v>
      </c>
      <c r="I101" s="67" t="s">
        <v>3102</v>
      </c>
      <c r="J101" s="47" t="s">
        <v>89</v>
      </c>
      <c r="K101" s="68" t="s">
        <v>84</v>
      </c>
      <c r="L101" s="26" t="s">
        <v>3127</v>
      </c>
      <c r="M101" s="2" t="s">
        <v>3128</v>
      </c>
      <c r="N101" s="28">
        <v>462184873.94957983</v>
      </c>
      <c r="O101" s="28">
        <v>87815126.050420165</v>
      </c>
      <c r="P101" s="36">
        <v>550000000</v>
      </c>
      <c r="Q101" s="70" t="s">
        <v>302</v>
      </c>
      <c r="R101" s="3"/>
      <c r="S101" s="28">
        <f>+Tabla15133[[#This Row],[VALOR TOTAL DEL CONTRATO
(en pesos)
CON IVA
(inicial)]]+Tabla15133[[#This Row],[VALOR DE LAS ADICIONES
(en pesos)
CON IVA]]</f>
        <v>550000000</v>
      </c>
      <c r="T101" s="37">
        <v>365</v>
      </c>
      <c r="U101" s="70" t="s">
        <v>301</v>
      </c>
      <c r="V101" s="101">
        <f>+Tabla15133[[#This Row],[FECHA TERMINACIÓN DEL CONTRATO
(inicial + prórroga)]]-Tabla15133[[#This Row],[FECHA TERMINACIÓN DEL CONTRATO
(inicial)]]</f>
        <v>730</v>
      </c>
      <c r="W101" s="117" t="s">
        <v>302</v>
      </c>
      <c r="X101" s="117"/>
      <c r="Y101" s="65">
        <v>45287</v>
      </c>
      <c r="Z101" s="65">
        <v>45652</v>
      </c>
      <c r="AA101" s="144">
        <v>46382</v>
      </c>
      <c r="AB101" s="64" t="s">
        <v>303</v>
      </c>
      <c r="AC101" s="71"/>
      <c r="AD101" s="70"/>
      <c r="AE101" s="146">
        <v>1.098901098901099E-2</v>
      </c>
      <c r="AF101" s="146">
        <v>1.098901098901099E-2</v>
      </c>
      <c r="AG101" s="147">
        <v>242783578.61000001</v>
      </c>
      <c r="AH101" s="72" t="s">
        <v>3105</v>
      </c>
      <c r="AI101" s="56" t="s">
        <v>3129</v>
      </c>
      <c r="AJ101" s="44">
        <v>2023</v>
      </c>
      <c r="AL101" s="2"/>
    </row>
    <row r="102" spans="1:38" ht="182" x14ac:dyDescent="0.35">
      <c r="A102" s="43" t="s">
        <v>306</v>
      </c>
      <c r="B102" s="2" t="s">
        <v>329</v>
      </c>
      <c r="C102" s="26" t="s">
        <v>52</v>
      </c>
      <c r="D102" s="27">
        <v>5892</v>
      </c>
      <c r="E102" s="26" t="s">
        <v>300</v>
      </c>
      <c r="F102" s="74" t="s">
        <v>3130</v>
      </c>
      <c r="G102" s="65">
        <v>45191</v>
      </c>
      <c r="H102" s="26" t="s">
        <v>150</v>
      </c>
      <c r="I102" s="67" t="s">
        <v>3102</v>
      </c>
      <c r="J102" s="47" t="s">
        <v>89</v>
      </c>
      <c r="K102" s="68" t="s">
        <v>84</v>
      </c>
      <c r="L102" s="26" t="s">
        <v>1486</v>
      </c>
      <c r="M102" s="2" t="s">
        <v>3131</v>
      </c>
      <c r="N102" s="28">
        <v>168067226.89075631</v>
      </c>
      <c r="O102" s="28">
        <v>31932773.109243691</v>
      </c>
      <c r="P102" s="36">
        <v>200000000</v>
      </c>
      <c r="Q102" s="70" t="s">
        <v>302</v>
      </c>
      <c r="R102" s="3"/>
      <c r="S102" s="28">
        <f>+Tabla15133[[#This Row],[VALOR TOTAL DEL CONTRATO
(en pesos)
CON IVA
(inicial)]]+Tabla15133[[#This Row],[VALOR DE LAS ADICIONES
(en pesos)
CON IVA]]</f>
        <v>200000000</v>
      </c>
      <c r="T102" s="37">
        <v>364</v>
      </c>
      <c r="U102" s="70" t="s">
        <v>301</v>
      </c>
      <c r="V102" s="101">
        <f>+Tabla15133[[#This Row],[FECHA TERMINACIÓN DEL CONTRATO
(inicial + prórroga)]]-Tabla15133[[#This Row],[FECHA TERMINACIÓN DEL CONTRATO
(inicial)]]</f>
        <v>365</v>
      </c>
      <c r="W102" s="70" t="s">
        <v>302</v>
      </c>
      <c r="X102" s="70"/>
      <c r="Y102" s="65">
        <v>45418</v>
      </c>
      <c r="Z102" s="65">
        <v>45782</v>
      </c>
      <c r="AA102" s="65">
        <v>46147</v>
      </c>
      <c r="AB102" s="64" t="s">
        <v>303</v>
      </c>
      <c r="AC102" s="71"/>
      <c r="AD102" s="70"/>
      <c r="AE102" s="61">
        <v>0.65659340659340659</v>
      </c>
      <c r="AF102" s="61">
        <v>0.65659340659340659</v>
      </c>
      <c r="AG102" s="148">
        <v>309542730.77999997</v>
      </c>
      <c r="AH102" s="72" t="s">
        <v>3105</v>
      </c>
      <c r="AI102" s="56" t="s">
        <v>3132</v>
      </c>
      <c r="AJ102" s="44">
        <v>2023</v>
      </c>
      <c r="AL102" s="2"/>
    </row>
    <row r="103" spans="1:38" ht="182" x14ac:dyDescent="0.35">
      <c r="A103" s="43" t="s">
        <v>306</v>
      </c>
      <c r="B103" s="2" t="s">
        <v>329</v>
      </c>
      <c r="C103" s="26" t="s">
        <v>52</v>
      </c>
      <c r="D103" s="27">
        <v>5886</v>
      </c>
      <c r="E103" s="26" t="s">
        <v>300</v>
      </c>
      <c r="F103" s="74" t="s">
        <v>3133</v>
      </c>
      <c r="G103" s="65">
        <v>45191</v>
      </c>
      <c r="H103" s="26" t="s">
        <v>150</v>
      </c>
      <c r="I103" s="67" t="s">
        <v>3102</v>
      </c>
      <c r="J103" s="47" t="s">
        <v>89</v>
      </c>
      <c r="K103" s="68" t="s">
        <v>84</v>
      </c>
      <c r="L103" s="26" t="s">
        <v>3134</v>
      </c>
      <c r="M103" s="2" t="s">
        <v>3135</v>
      </c>
      <c r="N103" s="28">
        <v>84033613.445378155</v>
      </c>
      <c r="O103" s="28">
        <v>15966386.554621845</v>
      </c>
      <c r="P103" s="36">
        <v>100000000</v>
      </c>
      <c r="Q103" s="70" t="s">
        <v>302</v>
      </c>
      <c r="R103" s="3"/>
      <c r="S103" s="28">
        <f>+Tabla15133[[#This Row],[VALOR TOTAL DEL CONTRATO
(en pesos)
CON IVA
(inicial)]]+Tabla15133[[#This Row],[VALOR DE LAS ADICIONES
(en pesos)
CON IVA]]</f>
        <v>100000000</v>
      </c>
      <c r="T103" s="37">
        <v>365</v>
      </c>
      <c r="U103" s="70" t="s">
        <v>301</v>
      </c>
      <c r="V103" s="101">
        <f>+Tabla15133[[#This Row],[FECHA TERMINACIÓN DEL CONTRATO
(inicial + prórroga)]]-Tabla15133[[#This Row],[FECHA TERMINACIÓN DEL CONTRATO
(inicial)]]</f>
        <v>730</v>
      </c>
      <c r="W103" s="117" t="s">
        <v>302</v>
      </c>
      <c r="X103" s="117"/>
      <c r="Y103" s="65">
        <v>45281</v>
      </c>
      <c r="Z103" s="65">
        <v>45646</v>
      </c>
      <c r="AA103" s="144">
        <v>46376</v>
      </c>
      <c r="AB103" s="64" t="s">
        <v>303</v>
      </c>
      <c r="AC103" s="71"/>
      <c r="AD103" s="70"/>
      <c r="AE103" s="146">
        <v>2.7472527472527472E-2</v>
      </c>
      <c r="AF103" s="146">
        <v>2.7472527472527472E-2</v>
      </c>
      <c r="AG103" s="63">
        <v>18645695</v>
      </c>
      <c r="AH103" s="72" t="s">
        <v>3105</v>
      </c>
      <c r="AI103" s="56" t="s">
        <v>3136</v>
      </c>
      <c r="AJ103" s="44">
        <v>2023</v>
      </c>
      <c r="AL103" s="2"/>
    </row>
    <row r="104" spans="1:38" s="1" customFormat="1" ht="182" x14ac:dyDescent="0.35">
      <c r="A104" s="124" t="s">
        <v>306</v>
      </c>
      <c r="B104" s="1" t="s">
        <v>329</v>
      </c>
      <c r="C104" s="26" t="s">
        <v>52</v>
      </c>
      <c r="D104" s="140">
        <v>5890</v>
      </c>
      <c r="E104" s="26" t="s">
        <v>300</v>
      </c>
      <c r="F104" s="125" t="s">
        <v>3137</v>
      </c>
      <c r="G104" s="149">
        <v>45191</v>
      </c>
      <c r="H104" s="26" t="s">
        <v>150</v>
      </c>
      <c r="I104" s="67" t="s">
        <v>3102</v>
      </c>
      <c r="J104" s="47" t="s">
        <v>89</v>
      </c>
      <c r="K104" s="68" t="s">
        <v>84</v>
      </c>
      <c r="L104" s="81" t="s">
        <v>3138</v>
      </c>
      <c r="M104" s="2" t="s">
        <v>3139</v>
      </c>
      <c r="N104" s="33">
        <v>462184873.94957983</v>
      </c>
      <c r="O104" s="33">
        <v>87815126.050420165</v>
      </c>
      <c r="P104" s="6">
        <v>550000000</v>
      </c>
      <c r="Q104" s="128" t="s">
        <v>302</v>
      </c>
      <c r="R104" s="127"/>
      <c r="S104" s="28">
        <f>+Tabla15133[[#This Row],[VALOR TOTAL DEL CONTRATO
(en pesos)
CON IVA
(inicial)]]+Tabla15133[[#This Row],[VALOR DE LAS ADICIONES
(en pesos)
CON IVA]]</f>
        <v>550000000</v>
      </c>
      <c r="T104" s="150">
        <v>365</v>
      </c>
      <c r="U104" s="128" t="s">
        <v>301</v>
      </c>
      <c r="V104" s="141">
        <f>+Tabla15133[[#This Row],[FECHA TERMINACIÓN DEL CONTRATO
(inicial + prórroga)]]-Tabla15133[[#This Row],[FECHA TERMINACIÓN DEL CONTRATO
(inicial)]]</f>
        <v>730</v>
      </c>
      <c r="W104" s="135" t="s">
        <v>302</v>
      </c>
      <c r="X104" s="135"/>
      <c r="Y104" s="149">
        <v>45258</v>
      </c>
      <c r="Z104" s="149">
        <v>45623</v>
      </c>
      <c r="AA104" s="151">
        <v>46353</v>
      </c>
      <c r="AB104" s="152" t="s">
        <v>303</v>
      </c>
      <c r="AC104" s="126"/>
      <c r="AD104" s="70"/>
      <c r="AE104" s="61">
        <v>9.0659340659340656E-2</v>
      </c>
      <c r="AF104" s="61">
        <v>9.0659340659340656E-2</v>
      </c>
      <c r="AG104" s="153">
        <v>312933452.63999999</v>
      </c>
      <c r="AH104" s="72" t="s">
        <v>3105</v>
      </c>
      <c r="AI104" s="56" t="s">
        <v>3140</v>
      </c>
      <c r="AJ104" s="134">
        <v>2023</v>
      </c>
    </row>
    <row r="105" spans="1:38" s="1" customFormat="1" ht="182" x14ac:dyDescent="0.35">
      <c r="A105" s="124" t="s">
        <v>306</v>
      </c>
      <c r="B105" s="1" t="s">
        <v>329</v>
      </c>
      <c r="C105" s="26" t="s">
        <v>52</v>
      </c>
      <c r="D105" s="140">
        <v>5884</v>
      </c>
      <c r="E105" s="26" t="s">
        <v>300</v>
      </c>
      <c r="F105" s="125" t="s">
        <v>3141</v>
      </c>
      <c r="G105" s="149">
        <v>45195</v>
      </c>
      <c r="H105" s="26" t="s">
        <v>150</v>
      </c>
      <c r="I105" s="67" t="s">
        <v>3102</v>
      </c>
      <c r="J105" s="47" t="s">
        <v>89</v>
      </c>
      <c r="K105" s="68" t="s">
        <v>84</v>
      </c>
      <c r="L105" s="81" t="s">
        <v>3142</v>
      </c>
      <c r="M105" s="2" t="s">
        <v>3143</v>
      </c>
      <c r="N105" s="33">
        <v>84033613.445378155</v>
      </c>
      <c r="O105" s="33">
        <v>15966386.554621845</v>
      </c>
      <c r="P105" s="6">
        <v>100000000</v>
      </c>
      <c r="Q105" s="128" t="s">
        <v>302</v>
      </c>
      <c r="R105" s="127"/>
      <c r="S105" s="28">
        <f>+Tabla15133[[#This Row],[VALOR TOTAL DEL CONTRATO
(en pesos)
CON IVA
(inicial)]]+Tabla15133[[#This Row],[VALOR DE LAS ADICIONES
(en pesos)
CON IVA]]</f>
        <v>100000000</v>
      </c>
      <c r="T105" s="150">
        <v>365</v>
      </c>
      <c r="U105" s="128" t="s">
        <v>301</v>
      </c>
      <c r="V105" s="141">
        <f>+Tabla15133[[#This Row],[FECHA TERMINACIÓN DEL CONTRATO
(inicial + prórroga)]]-Tabla15133[[#This Row],[FECHA TERMINACIÓN DEL CONTRATO
(inicial)]]</f>
        <v>730</v>
      </c>
      <c r="W105" s="135" t="s">
        <v>302</v>
      </c>
      <c r="X105" s="135"/>
      <c r="Y105" s="149">
        <v>45253</v>
      </c>
      <c r="Z105" s="149">
        <v>45618</v>
      </c>
      <c r="AA105" s="151">
        <v>46348</v>
      </c>
      <c r="AB105" s="152" t="s">
        <v>303</v>
      </c>
      <c r="AC105" s="126"/>
      <c r="AD105" s="70"/>
      <c r="AE105" s="146">
        <v>0.10440000000000001</v>
      </c>
      <c r="AF105" s="146">
        <v>0.10440000000000001</v>
      </c>
      <c r="AG105" s="153">
        <v>114461219.42</v>
      </c>
      <c r="AH105" s="72" t="s">
        <v>3105</v>
      </c>
      <c r="AI105" s="56" t="s">
        <v>3144</v>
      </c>
      <c r="AJ105" s="134">
        <v>2023</v>
      </c>
    </row>
    <row r="106" spans="1:38" ht="182" x14ac:dyDescent="0.35">
      <c r="A106" s="43" t="s">
        <v>306</v>
      </c>
      <c r="B106" s="2" t="s">
        <v>329</v>
      </c>
      <c r="C106" s="26" t="s">
        <v>52</v>
      </c>
      <c r="D106" s="27">
        <v>5894</v>
      </c>
      <c r="E106" s="26" t="s">
        <v>300</v>
      </c>
      <c r="F106" s="74" t="s">
        <v>3145</v>
      </c>
      <c r="G106" s="65">
        <v>45191</v>
      </c>
      <c r="H106" s="26" t="s">
        <v>150</v>
      </c>
      <c r="I106" s="67" t="s">
        <v>3102</v>
      </c>
      <c r="J106" s="47" t="s">
        <v>89</v>
      </c>
      <c r="K106" s="68" t="s">
        <v>84</v>
      </c>
      <c r="L106" s="26" t="s">
        <v>3146</v>
      </c>
      <c r="M106" s="2" t="s">
        <v>3147</v>
      </c>
      <c r="N106" s="28">
        <v>168067226.89075631</v>
      </c>
      <c r="O106" s="28">
        <v>31932773.109243691</v>
      </c>
      <c r="P106" s="36">
        <v>200000000</v>
      </c>
      <c r="Q106" s="70" t="s">
        <v>302</v>
      </c>
      <c r="R106" s="3"/>
      <c r="S106" s="28">
        <f>+Tabla15133[[#This Row],[VALOR TOTAL DEL CONTRATO
(en pesos)
CON IVA
(inicial)]]+Tabla15133[[#This Row],[VALOR DE LAS ADICIONES
(en pesos)
CON IVA]]</f>
        <v>200000000</v>
      </c>
      <c r="T106" s="37">
        <v>365</v>
      </c>
      <c r="U106" s="70" t="s">
        <v>301</v>
      </c>
      <c r="V106" s="101">
        <f>+Tabla15133[[#This Row],[FECHA TERMINACIÓN DEL CONTRATO
(inicial + prórroga)]]-Tabla15133[[#This Row],[FECHA TERMINACIÓN DEL CONTRATO
(inicial)]]</f>
        <v>730</v>
      </c>
      <c r="W106" s="117" t="s">
        <v>302</v>
      </c>
      <c r="X106" s="117"/>
      <c r="Y106" s="65">
        <v>45273</v>
      </c>
      <c r="Z106" s="65">
        <v>45638</v>
      </c>
      <c r="AA106" s="144">
        <v>46368</v>
      </c>
      <c r="AB106" s="64" t="s">
        <v>303</v>
      </c>
      <c r="AC106" s="71"/>
      <c r="AD106" s="70"/>
      <c r="AE106" s="61">
        <v>4.9450549450549448E-2</v>
      </c>
      <c r="AF106" s="61">
        <v>4.9450549450549448E-2</v>
      </c>
      <c r="AG106" s="63">
        <v>131426120</v>
      </c>
      <c r="AH106" s="72" t="s">
        <v>3105</v>
      </c>
      <c r="AI106" s="56" t="s">
        <v>3148</v>
      </c>
      <c r="AJ106" s="44">
        <v>2023</v>
      </c>
      <c r="AL106" s="2"/>
    </row>
    <row r="107" spans="1:38" ht="43.5" x14ac:dyDescent="0.35">
      <c r="A107" s="43" t="s">
        <v>306</v>
      </c>
      <c r="B107" s="2" t="s">
        <v>31</v>
      </c>
      <c r="C107" s="26" t="s">
        <v>36</v>
      </c>
      <c r="D107" s="27" t="s">
        <v>3149</v>
      </c>
      <c r="E107" s="26" t="s">
        <v>324</v>
      </c>
      <c r="F107" s="74" t="s">
        <v>3150</v>
      </c>
      <c r="G107" s="65">
        <v>45196</v>
      </c>
      <c r="H107" s="2" t="s">
        <v>3151</v>
      </c>
      <c r="I107" s="67" t="s">
        <v>3152</v>
      </c>
      <c r="J107" s="47" t="s">
        <v>89</v>
      </c>
      <c r="K107" s="68" t="s">
        <v>84</v>
      </c>
      <c r="L107" s="26" t="s">
        <v>3153</v>
      </c>
      <c r="M107" s="2" t="s">
        <v>3154</v>
      </c>
      <c r="N107" s="28">
        <v>1298089866.3865547</v>
      </c>
      <c r="O107" s="28">
        <v>246637074.6134454</v>
      </c>
      <c r="P107" s="36">
        <v>1544726941</v>
      </c>
      <c r="Q107" s="70" t="s">
        <v>301</v>
      </c>
      <c r="R107" s="3">
        <v>1544726941</v>
      </c>
      <c r="S107" s="28">
        <f>+Tabla15133[[#This Row],[VALOR TOTAL DEL CONTRATO
(en pesos)
CON IVA
(inicial)]]+Tabla15133[[#This Row],[VALOR DE LAS ADICIONES
(en pesos)
CON IVA]]</f>
        <v>3089453882</v>
      </c>
      <c r="T107" s="37">
        <v>366</v>
      </c>
      <c r="U107" s="70" t="s">
        <v>301</v>
      </c>
      <c r="V107" s="101">
        <v>365</v>
      </c>
      <c r="W107" s="117" t="s">
        <v>302</v>
      </c>
      <c r="X107" s="117"/>
      <c r="Y107" s="65">
        <v>45200</v>
      </c>
      <c r="Z107" s="65">
        <v>45566</v>
      </c>
      <c r="AA107" s="144">
        <v>45931</v>
      </c>
      <c r="AB107" s="64" t="s">
        <v>342</v>
      </c>
      <c r="AC107" s="71"/>
      <c r="AD107" s="70" t="s">
        <v>321</v>
      </c>
      <c r="AE107" s="30">
        <v>1</v>
      </c>
      <c r="AF107" s="30">
        <v>0.93520000000000003</v>
      </c>
      <c r="AG107" s="31">
        <v>2889154803</v>
      </c>
      <c r="AH107" s="72"/>
      <c r="AI107" s="56" t="s">
        <v>3155</v>
      </c>
      <c r="AJ107" s="44">
        <v>2023</v>
      </c>
      <c r="AL107" s="2"/>
    </row>
    <row r="108" spans="1:38" ht="58" x14ac:dyDescent="0.35">
      <c r="A108" s="43" t="s">
        <v>306</v>
      </c>
      <c r="B108" s="2" t="s">
        <v>31</v>
      </c>
      <c r="C108" s="26" t="s">
        <v>36</v>
      </c>
      <c r="D108" s="27">
        <v>5899</v>
      </c>
      <c r="E108" s="26" t="s">
        <v>300</v>
      </c>
      <c r="F108" s="74" t="s">
        <v>3156</v>
      </c>
      <c r="G108" s="65">
        <v>45197</v>
      </c>
      <c r="H108" s="2" t="s">
        <v>122</v>
      </c>
      <c r="I108" s="67" t="s">
        <v>3157</v>
      </c>
      <c r="J108" s="47" t="s">
        <v>89</v>
      </c>
      <c r="K108" s="68" t="s">
        <v>84</v>
      </c>
      <c r="L108" s="26" t="s">
        <v>1667</v>
      </c>
      <c r="M108" s="2" t="s">
        <v>3158</v>
      </c>
      <c r="N108" s="28">
        <v>300035717.64705884</v>
      </c>
      <c r="O108" s="28">
        <v>57006786.352941178</v>
      </c>
      <c r="P108" s="36">
        <v>357042504</v>
      </c>
      <c r="Q108" s="70" t="s">
        <v>302</v>
      </c>
      <c r="R108" s="3"/>
      <c r="S108" s="28">
        <f>+Tabla15133[[#This Row],[VALOR TOTAL DEL CONTRATO
(en pesos)
CON IVA
(inicial)]]+Tabla15133[[#This Row],[VALOR DE LAS ADICIONES
(en pesos)
CON IVA]]</f>
        <v>357042504</v>
      </c>
      <c r="T108" s="37">
        <v>366</v>
      </c>
      <c r="U108" s="70" t="s">
        <v>302</v>
      </c>
      <c r="V108" s="101"/>
      <c r="W108" s="70" t="s">
        <v>302</v>
      </c>
      <c r="X108" s="70"/>
      <c r="Y108" s="65">
        <v>45200</v>
      </c>
      <c r="Z108" s="65">
        <v>45566</v>
      </c>
      <c r="AA108" s="144">
        <v>45566</v>
      </c>
      <c r="AB108" s="64" t="s">
        <v>323</v>
      </c>
      <c r="AC108" s="71">
        <v>45982</v>
      </c>
      <c r="AD108" s="70" t="s">
        <v>321</v>
      </c>
      <c r="AE108" s="30">
        <v>1</v>
      </c>
      <c r="AF108" s="30">
        <v>1</v>
      </c>
      <c r="AG108" s="31">
        <v>357042504</v>
      </c>
      <c r="AH108" s="72"/>
      <c r="AI108" s="56" t="s">
        <v>3159</v>
      </c>
      <c r="AJ108" s="44">
        <v>2023</v>
      </c>
      <c r="AL108" s="2"/>
    </row>
    <row r="109" spans="1:38" s="1" customFormat="1" ht="182" x14ac:dyDescent="0.35">
      <c r="A109" s="124" t="s">
        <v>306</v>
      </c>
      <c r="B109" s="1" t="s">
        <v>329</v>
      </c>
      <c r="C109" s="26" t="s">
        <v>52</v>
      </c>
      <c r="D109" s="140">
        <v>5829</v>
      </c>
      <c r="E109" s="26" t="s">
        <v>300</v>
      </c>
      <c r="F109" s="125" t="s">
        <v>3160</v>
      </c>
      <c r="G109" s="149">
        <v>45194</v>
      </c>
      <c r="H109" s="26" t="s">
        <v>150</v>
      </c>
      <c r="I109" s="67" t="s">
        <v>3161</v>
      </c>
      <c r="J109" s="47" t="s">
        <v>89</v>
      </c>
      <c r="K109" s="68" t="s">
        <v>84</v>
      </c>
      <c r="L109" s="81" t="s">
        <v>1497</v>
      </c>
      <c r="M109" s="2" t="s">
        <v>3162</v>
      </c>
      <c r="N109" s="33">
        <v>84033613.445378155</v>
      </c>
      <c r="O109" s="33">
        <v>15966386.554621845</v>
      </c>
      <c r="P109" s="6">
        <v>100000000</v>
      </c>
      <c r="Q109" s="128" t="s">
        <v>302</v>
      </c>
      <c r="R109" s="127"/>
      <c r="S109" s="28">
        <f>+Tabla15133[[#This Row],[VALOR TOTAL DEL CONTRATO
(en pesos)
CON IVA
(inicial)]]+Tabla15133[[#This Row],[VALOR DE LAS ADICIONES
(en pesos)
CON IVA]]</f>
        <v>100000000</v>
      </c>
      <c r="T109" s="150">
        <v>365</v>
      </c>
      <c r="U109" s="128" t="s">
        <v>301</v>
      </c>
      <c r="V109" s="141">
        <f>+Tabla15133[[#This Row],[FECHA TERMINACIÓN DEL CONTRATO
(inicial + prórroga)]]-Tabla15133[[#This Row],[FECHA TERMINACIÓN DEL CONTRATO
(inicial)]]</f>
        <v>730</v>
      </c>
      <c r="W109" s="135" t="s">
        <v>302</v>
      </c>
      <c r="X109" s="135"/>
      <c r="Y109" s="149">
        <v>45223</v>
      </c>
      <c r="Z109" s="149">
        <v>45588</v>
      </c>
      <c r="AA109" s="151">
        <v>46318</v>
      </c>
      <c r="AB109" s="152" t="s">
        <v>303</v>
      </c>
      <c r="AC109" s="126"/>
      <c r="AD109" s="70"/>
      <c r="AE109" s="146">
        <v>0.18681318681318682</v>
      </c>
      <c r="AF109" s="146">
        <v>0.18681318681318682</v>
      </c>
      <c r="AG109" s="153">
        <v>104055704.49000001</v>
      </c>
      <c r="AH109" s="72" t="s">
        <v>3105</v>
      </c>
      <c r="AI109" s="56" t="s">
        <v>3163</v>
      </c>
      <c r="AJ109" s="134">
        <v>2023</v>
      </c>
    </row>
    <row r="110" spans="1:38" ht="156" x14ac:dyDescent="0.35">
      <c r="A110" s="43" t="s">
        <v>306</v>
      </c>
      <c r="B110" s="2" t="s">
        <v>329</v>
      </c>
      <c r="C110" s="26" t="s">
        <v>52</v>
      </c>
      <c r="D110" s="27">
        <v>5824</v>
      </c>
      <c r="E110" s="26" t="s">
        <v>300</v>
      </c>
      <c r="F110" s="74" t="s">
        <v>3164</v>
      </c>
      <c r="G110" s="65">
        <v>45194</v>
      </c>
      <c r="H110" s="26" t="s">
        <v>150</v>
      </c>
      <c r="I110" s="67" t="s">
        <v>3102</v>
      </c>
      <c r="J110" s="47" t="s">
        <v>89</v>
      </c>
      <c r="K110" s="68" t="s">
        <v>84</v>
      </c>
      <c r="L110" s="26" t="s">
        <v>3165</v>
      </c>
      <c r="M110" s="2" t="s">
        <v>3166</v>
      </c>
      <c r="N110" s="28">
        <v>42016806.722689077</v>
      </c>
      <c r="O110" s="28">
        <v>7983193.2773109227</v>
      </c>
      <c r="P110" s="36">
        <v>50000000</v>
      </c>
      <c r="Q110" s="70" t="s">
        <v>302</v>
      </c>
      <c r="R110" s="3"/>
      <c r="S110" s="28">
        <f>+Tabla15133[[#This Row],[VALOR TOTAL DEL CONTRATO
(en pesos)
CON IVA
(inicial)]]+Tabla15133[[#This Row],[VALOR DE LAS ADICIONES
(en pesos)
CON IVA]]</f>
        <v>50000000</v>
      </c>
      <c r="T110" s="37">
        <v>365</v>
      </c>
      <c r="U110" s="70" t="s">
        <v>301</v>
      </c>
      <c r="V110" s="101">
        <f>+Tabla15133[[#This Row],[FECHA TERMINACIÓN DEL CONTRATO
(inicial + prórroga)]]-Tabla15133[[#This Row],[FECHA TERMINACIÓN DEL CONTRATO
(inicial)]]</f>
        <v>298</v>
      </c>
      <c r="W110" s="70" t="s">
        <v>302</v>
      </c>
      <c r="X110" s="70"/>
      <c r="Y110" s="65">
        <v>45245</v>
      </c>
      <c r="Z110" s="65">
        <v>45610</v>
      </c>
      <c r="AA110" s="144">
        <v>45908</v>
      </c>
      <c r="AB110" s="64" t="s">
        <v>323</v>
      </c>
      <c r="AC110" s="71">
        <v>45908</v>
      </c>
      <c r="AD110" s="70" t="s">
        <v>2706</v>
      </c>
      <c r="AE110" s="30">
        <v>1</v>
      </c>
      <c r="AF110" s="30">
        <v>1</v>
      </c>
      <c r="AG110" s="31">
        <v>10210200</v>
      </c>
      <c r="AH110" s="72" t="s">
        <v>3167</v>
      </c>
      <c r="AI110" s="56" t="s">
        <v>3168</v>
      </c>
      <c r="AJ110" s="44">
        <v>2023</v>
      </c>
      <c r="AL110" s="2"/>
    </row>
    <row r="111" spans="1:38" ht="43.5" x14ac:dyDescent="0.35">
      <c r="A111" s="43" t="s">
        <v>306</v>
      </c>
      <c r="B111" s="2" t="s">
        <v>31</v>
      </c>
      <c r="C111" s="26" t="s">
        <v>36</v>
      </c>
      <c r="D111" s="27" t="s">
        <v>3169</v>
      </c>
      <c r="E111" s="26" t="s">
        <v>300</v>
      </c>
      <c r="F111" s="74" t="s">
        <v>3170</v>
      </c>
      <c r="G111" s="65">
        <v>45210</v>
      </c>
      <c r="H111" s="26" t="s">
        <v>150</v>
      </c>
      <c r="I111" s="67" t="s">
        <v>3171</v>
      </c>
      <c r="J111" s="47" t="s">
        <v>89</v>
      </c>
      <c r="K111" s="68" t="s">
        <v>84</v>
      </c>
      <c r="L111" s="26" t="s">
        <v>3172</v>
      </c>
      <c r="M111" s="2" t="s">
        <v>3173</v>
      </c>
      <c r="N111" s="28">
        <v>48739495.798319332</v>
      </c>
      <c r="O111" s="28">
        <v>9260504.2016806733</v>
      </c>
      <c r="P111" s="36">
        <v>58000000</v>
      </c>
      <c r="Q111" s="70" t="s">
        <v>302</v>
      </c>
      <c r="R111" s="3"/>
      <c r="S111" s="28">
        <f>+Tabla15133[[#This Row],[VALOR TOTAL DEL CONTRATO
(en pesos)
CON IVA
(inicial)]]+Tabla15133[[#This Row],[VALOR DE LAS ADICIONES
(en pesos)
CON IVA]]</f>
        <v>58000000</v>
      </c>
      <c r="T111" s="37">
        <v>181</v>
      </c>
      <c r="U111" s="70" t="s">
        <v>301</v>
      </c>
      <c r="V111" s="101">
        <v>153</v>
      </c>
      <c r="W111" s="117" t="s">
        <v>302</v>
      </c>
      <c r="X111" s="117"/>
      <c r="Y111" s="65">
        <v>45233</v>
      </c>
      <c r="Z111" s="65">
        <v>45414</v>
      </c>
      <c r="AA111" s="144">
        <v>45567</v>
      </c>
      <c r="AB111" s="64" t="s">
        <v>323</v>
      </c>
      <c r="AC111" s="71">
        <v>45947</v>
      </c>
      <c r="AD111" s="70" t="s">
        <v>321</v>
      </c>
      <c r="AE111" s="30">
        <v>1</v>
      </c>
      <c r="AF111" s="30">
        <v>0.124</v>
      </c>
      <c r="AG111" s="31">
        <v>7197120</v>
      </c>
      <c r="AH111" s="72" t="s">
        <v>3174</v>
      </c>
      <c r="AI111" s="56" t="s">
        <v>3175</v>
      </c>
      <c r="AJ111" s="44">
        <v>2023</v>
      </c>
      <c r="AL111" s="2"/>
    </row>
    <row r="112" spans="1:38" ht="182" x14ac:dyDescent="0.35">
      <c r="A112" s="43" t="s">
        <v>306</v>
      </c>
      <c r="B112" s="2" t="s">
        <v>329</v>
      </c>
      <c r="C112" s="26" t="s">
        <v>52</v>
      </c>
      <c r="D112" s="27">
        <v>5904</v>
      </c>
      <c r="E112" s="2" t="s">
        <v>300</v>
      </c>
      <c r="F112" s="74" t="s">
        <v>3176</v>
      </c>
      <c r="G112" s="65">
        <v>45210</v>
      </c>
      <c r="H112" s="26" t="s">
        <v>150</v>
      </c>
      <c r="I112" s="67" t="s">
        <v>3043</v>
      </c>
      <c r="J112" s="47" t="s">
        <v>89</v>
      </c>
      <c r="K112" s="68" t="s">
        <v>84</v>
      </c>
      <c r="L112" s="26" t="s">
        <v>3177</v>
      </c>
      <c r="M112" s="2" t="s">
        <v>3178</v>
      </c>
      <c r="N112" s="28">
        <v>126050420.16806723</v>
      </c>
      <c r="O112" s="28">
        <v>23949579.831932768</v>
      </c>
      <c r="P112" s="36">
        <v>150000000</v>
      </c>
      <c r="Q112" s="70" t="s">
        <v>302</v>
      </c>
      <c r="R112" s="3"/>
      <c r="S112" s="28">
        <f>+Tabla15133[[#This Row],[VALOR TOTAL DEL CONTRATO
(en pesos)
CON IVA
(inicial)]]+Tabla15133[[#This Row],[VALOR DE LAS ADICIONES
(en pesos)
CON IVA]]</f>
        <v>150000000</v>
      </c>
      <c r="T112" s="37">
        <v>365</v>
      </c>
      <c r="U112" s="70" t="s">
        <v>301</v>
      </c>
      <c r="V112" s="101">
        <f>+Tabla15133[[#This Row],[FECHA TERMINACIÓN DEL CONTRATO
(inicial + prórroga)]]-Tabla15133[[#This Row],[FECHA TERMINACIÓN DEL CONTRATO
(inicial)]]</f>
        <v>730</v>
      </c>
      <c r="W112" s="117" t="s">
        <v>302</v>
      </c>
      <c r="X112" s="117"/>
      <c r="Y112" s="65">
        <v>45289</v>
      </c>
      <c r="Z112" s="65">
        <v>45654</v>
      </c>
      <c r="AA112" s="144">
        <v>46384</v>
      </c>
      <c r="AB112" s="64" t="s">
        <v>303</v>
      </c>
      <c r="AC112" s="71"/>
      <c r="AD112" s="70"/>
      <c r="AE112" s="61" t="s">
        <v>3179</v>
      </c>
      <c r="AF112" s="61" t="s">
        <v>3179</v>
      </c>
      <c r="AG112" s="63">
        <v>57149767.32</v>
      </c>
      <c r="AH112" s="72" t="s">
        <v>3105</v>
      </c>
      <c r="AI112" s="56" t="s">
        <v>3180</v>
      </c>
      <c r="AJ112" s="44">
        <v>2023</v>
      </c>
      <c r="AL112" s="2"/>
    </row>
    <row r="113" spans="1:51" ht="58" x14ac:dyDescent="0.35">
      <c r="A113" s="43" t="s">
        <v>306</v>
      </c>
      <c r="B113" s="2" t="s">
        <v>11</v>
      </c>
      <c r="C113" s="26" t="s">
        <v>2643</v>
      </c>
      <c r="D113" s="27">
        <v>6614</v>
      </c>
      <c r="E113" s="2" t="s">
        <v>300</v>
      </c>
      <c r="F113" s="74" t="s">
        <v>3181</v>
      </c>
      <c r="G113" s="65">
        <v>45216</v>
      </c>
      <c r="H113" s="26" t="s">
        <v>150</v>
      </c>
      <c r="I113" s="67" t="s">
        <v>3182</v>
      </c>
      <c r="J113" s="47" t="s">
        <v>89</v>
      </c>
      <c r="K113" s="68" t="s">
        <v>84</v>
      </c>
      <c r="L113" s="26" t="s">
        <v>3183</v>
      </c>
      <c r="M113" s="2" t="s">
        <v>3184</v>
      </c>
      <c r="N113" s="143">
        <v>0</v>
      </c>
      <c r="O113" s="143">
        <v>0</v>
      </c>
      <c r="P113" s="36">
        <v>0</v>
      </c>
      <c r="Q113" s="70" t="s">
        <v>302</v>
      </c>
      <c r="R113" s="3"/>
      <c r="S113" s="28">
        <f>+Tabla15133[[#This Row],[VALOR TOTAL DEL CONTRATO
(en pesos)
CON IVA
(inicial)]]+Tabla15133[[#This Row],[VALOR DE LAS ADICIONES
(en pesos)
CON IVA]]</f>
        <v>0</v>
      </c>
      <c r="T113" s="37">
        <v>425</v>
      </c>
      <c r="U113" s="70" t="s">
        <v>301</v>
      </c>
      <c r="V113" s="101">
        <f>+Tabla15133[[#This Row],[FECHA TERMINACIÓN DEL CONTRATO
(inicial + prórroga)]]-Tabla15133[[#This Row],[FECHA TERMINACIÓN DEL CONTRATO
(inicial)]]</f>
        <v>365</v>
      </c>
      <c r="W113" s="117" t="s">
        <v>302</v>
      </c>
      <c r="X113" s="117"/>
      <c r="Y113" s="65">
        <v>45232</v>
      </c>
      <c r="Z113" s="65">
        <v>45657</v>
      </c>
      <c r="AA113" s="144">
        <v>46022</v>
      </c>
      <c r="AB113" s="64" t="s">
        <v>320</v>
      </c>
      <c r="AC113" s="71"/>
      <c r="AD113" s="70" t="s">
        <v>321</v>
      </c>
      <c r="AE113" s="30">
        <v>0.9</v>
      </c>
      <c r="AF113" s="30">
        <v>0</v>
      </c>
      <c r="AG113" s="31">
        <v>0</v>
      </c>
      <c r="AH113" s="72" t="s">
        <v>3185</v>
      </c>
      <c r="AI113" s="56" t="s">
        <v>3186</v>
      </c>
      <c r="AJ113" s="44">
        <v>2023</v>
      </c>
      <c r="AK113" s="2" t="s">
        <v>3187</v>
      </c>
      <c r="AL113" s="2"/>
    </row>
    <row r="114" spans="1:51" ht="29" x14ac:dyDescent="0.35">
      <c r="A114" s="43" t="s">
        <v>306</v>
      </c>
      <c r="B114" s="2" t="s">
        <v>322</v>
      </c>
      <c r="C114" s="26" t="s">
        <v>68</v>
      </c>
      <c r="D114" s="27">
        <v>5878</v>
      </c>
      <c r="E114" s="2" t="s">
        <v>324</v>
      </c>
      <c r="F114" s="74" t="s">
        <v>3188</v>
      </c>
      <c r="G114" s="65">
        <v>45224</v>
      </c>
      <c r="H114" s="26" t="s">
        <v>150</v>
      </c>
      <c r="I114" s="67" t="s">
        <v>3189</v>
      </c>
      <c r="J114" s="47" t="s">
        <v>89</v>
      </c>
      <c r="K114" s="68" t="s">
        <v>84</v>
      </c>
      <c r="L114" s="26" t="s">
        <v>3190</v>
      </c>
      <c r="M114" s="2" t="s">
        <v>3191</v>
      </c>
      <c r="N114" s="28">
        <v>1287372499</v>
      </c>
      <c r="O114" s="28">
        <v>244600775</v>
      </c>
      <c r="P114" s="36">
        <v>1531973274</v>
      </c>
      <c r="Q114" s="70" t="s">
        <v>302</v>
      </c>
      <c r="R114" s="3"/>
      <c r="S114" s="28">
        <f>+Tabla15133[[#This Row],[VALOR TOTAL DEL CONTRATO
(en pesos)
CON IVA
(inicial)]]+Tabla15133[[#This Row],[VALOR DE LAS ADICIONES
(en pesos)
CON IVA]]</f>
        <v>1531973274</v>
      </c>
      <c r="T114" s="37">
        <v>730</v>
      </c>
      <c r="U114" s="70" t="s">
        <v>302</v>
      </c>
      <c r="V114" s="101"/>
      <c r="W114" s="70" t="s">
        <v>302</v>
      </c>
      <c r="X114" s="70"/>
      <c r="Y114" s="65">
        <v>45231</v>
      </c>
      <c r="Z114" s="65">
        <v>45961</v>
      </c>
      <c r="AA114" s="144">
        <v>45961</v>
      </c>
      <c r="AB114" s="64" t="s">
        <v>342</v>
      </c>
      <c r="AC114" s="71"/>
      <c r="AD114" s="70" t="s">
        <v>321</v>
      </c>
      <c r="AE114" s="30">
        <v>1</v>
      </c>
      <c r="AF114" s="30">
        <v>0.56999999999999995</v>
      </c>
      <c r="AG114" s="31">
        <v>870998658</v>
      </c>
      <c r="AH114" s="72"/>
      <c r="AI114" s="56" t="s">
        <v>3192</v>
      </c>
      <c r="AJ114" s="44">
        <v>2023</v>
      </c>
      <c r="AL114" s="2"/>
    </row>
    <row r="115" spans="1:51" ht="118" customHeight="1" x14ac:dyDescent="0.35">
      <c r="A115" s="43" t="s">
        <v>306</v>
      </c>
      <c r="B115" s="2" t="s">
        <v>329</v>
      </c>
      <c r="C115" s="26" t="s">
        <v>52</v>
      </c>
      <c r="D115" s="27">
        <v>5834</v>
      </c>
      <c r="E115" s="2" t="s">
        <v>300</v>
      </c>
      <c r="F115" s="74" t="s">
        <v>3193</v>
      </c>
      <c r="G115" s="65">
        <v>45229</v>
      </c>
      <c r="H115" s="26" t="s">
        <v>150</v>
      </c>
      <c r="I115" s="67" t="s">
        <v>3194</v>
      </c>
      <c r="J115" s="47" t="s">
        <v>89</v>
      </c>
      <c r="K115" s="68" t="s">
        <v>84</v>
      </c>
      <c r="L115" s="26" t="s">
        <v>3195</v>
      </c>
      <c r="M115" s="2" t="s">
        <v>3196</v>
      </c>
      <c r="N115" s="28">
        <v>84033613.445378155</v>
      </c>
      <c r="O115" s="28">
        <v>15966386.554621845</v>
      </c>
      <c r="P115" s="36">
        <v>100000000</v>
      </c>
      <c r="Q115" s="70" t="s">
        <v>302</v>
      </c>
      <c r="R115" s="3"/>
      <c r="S115" s="28">
        <f>+Tabla15133[[#This Row],[VALOR TOTAL DEL CONTRATO
(en pesos)
CON IVA
(inicial)]]+Tabla15133[[#This Row],[VALOR DE LAS ADICIONES
(en pesos)
CON IVA]]</f>
        <v>100000000</v>
      </c>
      <c r="T115" s="37">
        <v>365</v>
      </c>
      <c r="U115" s="70" t="s">
        <v>301</v>
      </c>
      <c r="V115" s="101">
        <f>+Tabla15133[[#This Row],[FECHA TERMINACIÓN DEL CONTRATO
(inicial + prórroga)]]-Tabla15133[[#This Row],[FECHA TERMINACIÓN DEL CONTRATO
(inicial)]]</f>
        <v>730</v>
      </c>
      <c r="W115" s="117" t="s">
        <v>302</v>
      </c>
      <c r="X115" s="117"/>
      <c r="Y115" s="65">
        <v>45273</v>
      </c>
      <c r="Z115" s="65">
        <v>45638</v>
      </c>
      <c r="AA115" s="144">
        <v>46368</v>
      </c>
      <c r="AB115" s="64" t="s">
        <v>303</v>
      </c>
      <c r="AC115" s="71"/>
      <c r="AD115" s="70"/>
      <c r="AE115" s="61">
        <v>4.9450549450549448E-2</v>
      </c>
      <c r="AF115" s="61">
        <v>4.9450549450549448E-2</v>
      </c>
      <c r="AG115" s="63">
        <v>58672788.600000001</v>
      </c>
      <c r="AH115" s="72" t="s">
        <v>3105</v>
      </c>
      <c r="AI115" s="56" t="s">
        <v>3197</v>
      </c>
      <c r="AJ115" s="44">
        <v>2023</v>
      </c>
      <c r="AL115" s="2"/>
    </row>
    <row r="116" spans="1:51" ht="43.5" x14ac:dyDescent="0.35">
      <c r="A116" s="43" t="s">
        <v>306</v>
      </c>
      <c r="B116" s="2" t="s">
        <v>31</v>
      </c>
      <c r="C116" s="26" t="s">
        <v>36</v>
      </c>
      <c r="D116" s="27" t="s">
        <v>3198</v>
      </c>
      <c r="E116" s="26" t="s">
        <v>312</v>
      </c>
      <c r="F116" s="74" t="s">
        <v>3199</v>
      </c>
      <c r="G116" s="65">
        <v>45272</v>
      </c>
      <c r="H116" s="26" t="s">
        <v>150</v>
      </c>
      <c r="I116" s="67" t="s">
        <v>3200</v>
      </c>
      <c r="J116" s="47" t="s">
        <v>89</v>
      </c>
      <c r="K116" s="68" t="s">
        <v>84</v>
      </c>
      <c r="L116" s="26" t="s">
        <v>3201</v>
      </c>
      <c r="M116" s="2" t="s">
        <v>3202</v>
      </c>
      <c r="N116" s="28">
        <v>96754642.857142866</v>
      </c>
      <c r="O116" s="28">
        <v>18383382.142857146</v>
      </c>
      <c r="P116" s="36">
        <v>115138025</v>
      </c>
      <c r="Q116" s="70" t="s">
        <v>301</v>
      </c>
      <c r="R116" s="3">
        <v>46752458</v>
      </c>
      <c r="S116" s="28">
        <f>+Tabla15133[[#This Row],[VALOR TOTAL DEL CONTRATO
(en pesos)
CON IVA
(inicial)]]+Tabla15133[[#This Row],[VALOR DE LAS ADICIONES
(en pesos)
CON IVA]]</f>
        <v>161890483</v>
      </c>
      <c r="T116" s="37">
        <v>730</v>
      </c>
      <c r="U116" s="70" t="s">
        <v>301</v>
      </c>
      <c r="V116" s="101">
        <f>+Tabla15133[[#This Row],[FECHA TERMINACIÓN DEL CONTRATO
(inicial + prórroga)]]-Tabla15133[[#This Row],[FECHA TERMINACIÓN DEL CONTRATO
(inicial)]]</f>
        <v>730</v>
      </c>
      <c r="W116" s="70" t="s">
        <v>302</v>
      </c>
      <c r="X116" s="70"/>
      <c r="Y116" s="65">
        <v>45273</v>
      </c>
      <c r="Z116" s="65">
        <v>46003</v>
      </c>
      <c r="AA116" s="144">
        <v>46733</v>
      </c>
      <c r="AB116" s="64" t="s">
        <v>303</v>
      </c>
      <c r="AC116" s="71"/>
      <c r="AD116" s="70"/>
      <c r="AE116" s="30">
        <v>0.5</v>
      </c>
      <c r="AF116" s="30">
        <v>0.40100000000000002</v>
      </c>
      <c r="AG116" s="31">
        <v>64953740</v>
      </c>
      <c r="AH116" s="154" t="s">
        <v>3203</v>
      </c>
      <c r="AI116" s="56" t="s">
        <v>3204</v>
      </c>
      <c r="AJ116" s="44">
        <v>2023</v>
      </c>
      <c r="AL116" s="2"/>
    </row>
    <row r="117" spans="1:51" ht="78" x14ac:dyDescent="0.35">
      <c r="A117" s="43" t="s">
        <v>306</v>
      </c>
      <c r="B117" s="2" t="s">
        <v>11</v>
      </c>
      <c r="C117" s="26" t="s">
        <v>19</v>
      </c>
      <c r="D117" s="27" t="s">
        <v>3205</v>
      </c>
      <c r="E117" s="2" t="s">
        <v>300</v>
      </c>
      <c r="F117" s="74" t="s">
        <v>3206</v>
      </c>
      <c r="G117" s="65">
        <v>45237</v>
      </c>
      <c r="H117" s="2" t="s">
        <v>88</v>
      </c>
      <c r="I117" s="67" t="s">
        <v>3207</v>
      </c>
      <c r="J117" s="47" t="s">
        <v>89</v>
      </c>
      <c r="K117" s="68" t="s">
        <v>84</v>
      </c>
      <c r="L117" s="26" t="s">
        <v>3208</v>
      </c>
      <c r="M117" s="2" t="s">
        <v>3209</v>
      </c>
      <c r="N117" s="145">
        <v>30747562</v>
      </c>
      <c r="O117" s="143">
        <v>5095638</v>
      </c>
      <c r="P117" s="29">
        <v>35843200</v>
      </c>
      <c r="Q117" s="70" t="s">
        <v>301</v>
      </c>
      <c r="R117" s="3">
        <f>39169451+41206248</f>
        <v>80375699</v>
      </c>
      <c r="S117" s="28">
        <f>+Tabla15133[[#This Row],[VALOR TOTAL DEL CONTRATO
(en pesos)
CON IVA
(inicial)]]+Tabla15133[[#This Row],[VALOR DE LAS ADICIONES
(en pesos)
CON IVA]]</f>
        <v>116218899</v>
      </c>
      <c r="T117" s="37">
        <v>365</v>
      </c>
      <c r="U117" s="70" t="s">
        <v>301</v>
      </c>
      <c r="V117" s="101">
        <f>+Tabla15133[[#This Row],[FECHA TERMINACIÓN DEL CONTRATO
(inicial + prórroga)]]-Tabla15133[[#This Row],[FECHA TERMINACIÓN DEL CONTRATO
(inicial)]]</f>
        <v>730</v>
      </c>
      <c r="W117" s="117" t="s">
        <v>302</v>
      </c>
      <c r="X117" s="117"/>
      <c r="Y117" s="65">
        <v>45238</v>
      </c>
      <c r="Z117" s="65">
        <v>45603</v>
      </c>
      <c r="AA117" s="144">
        <v>46333</v>
      </c>
      <c r="AB117" s="64" t="s">
        <v>303</v>
      </c>
      <c r="AC117" s="71"/>
      <c r="AD117" s="70"/>
      <c r="AE117" s="30">
        <v>0.16669999999999999</v>
      </c>
      <c r="AF117" s="30">
        <v>0.15479999999999999</v>
      </c>
      <c r="AG117" s="31">
        <v>6867707</v>
      </c>
      <c r="AH117" s="72" t="s">
        <v>3210</v>
      </c>
      <c r="AI117" s="56" t="s">
        <v>3211</v>
      </c>
      <c r="AJ117" s="44">
        <v>2023</v>
      </c>
      <c r="AL117" s="2"/>
      <c r="AY117" s="155"/>
    </row>
    <row r="118" spans="1:51" ht="43.5" x14ac:dyDescent="0.35">
      <c r="A118" s="43" t="s">
        <v>306</v>
      </c>
      <c r="B118" s="2" t="s">
        <v>11</v>
      </c>
      <c r="C118" s="26" t="s">
        <v>19</v>
      </c>
      <c r="D118" s="27">
        <v>6477</v>
      </c>
      <c r="E118" s="2" t="s">
        <v>300</v>
      </c>
      <c r="F118" s="74" t="s">
        <v>3212</v>
      </c>
      <c r="G118" s="65">
        <v>45250</v>
      </c>
      <c r="H118" s="26" t="s">
        <v>142</v>
      </c>
      <c r="I118" s="67" t="s">
        <v>3213</v>
      </c>
      <c r="J118" s="47" t="s">
        <v>89</v>
      </c>
      <c r="K118" s="68" t="s">
        <v>84</v>
      </c>
      <c r="L118" s="26" t="s">
        <v>1476</v>
      </c>
      <c r="M118" s="2" t="s">
        <v>332</v>
      </c>
      <c r="N118" s="28">
        <v>35168933</v>
      </c>
      <c r="O118" s="28">
        <v>6682097</v>
      </c>
      <c r="P118" s="36">
        <v>41851030</v>
      </c>
      <c r="Q118" s="70" t="s">
        <v>302</v>
      </c>
      <c r="R118" s="3"/>
      <c r="S118" s="28">
        <f>+Tabla15133[[#This Row],[VALOR TOTAL DEL CONTRATO
(en pesos)
CON IVA
(inicial)]]+Tabla15133[[#This Row],[VALOR DE LAS ADICIONES
(en pesos)
CON IVA]]</f>
        <v>41851030</v>
      </c>
      <c r="T118" s="37">
        <v>730</v>
      </c>
      <c r="U118" s="70" t="s">
        <v>302</v>
      </c>
      <c r="V118" s="101"/>
      <c r="W118" s="70" t="s">
        <v>302</v>
      </c>
      <c r="X118" s="70"/>
      <c r="Y118" s="65">
        <v>45258</v>
      </c>
      <c r="Z118" s="65">
        <v>45989</v>
      </c>
      <c r="AA118" s="144">
        <v>45989</v>
      </c>
      <c r="AB118" s="64" t="s">
        <v>325</v>
      </c>
      <c r="AC118" s="71"/>
      <c r="AD118" s="70" t="s">
        <v>321</v>
      </c>
      <c r="AE118" s="30">
        <v>1</v>
      </c>
      <c r="AF118" s="30">
        <v>0.49</v>
      </c>
      <c r="AG118" s="31">
        <v>20688460</v>
      </c>
      <c r="AH118" s="154" t="s">
        <v>3214</v>
      </c>
      <c r="AI118" s="56" t="s">
        <v>3215</v>
      </c>
      <c r="AJ118" s="44">
        <v>2023</v>
      </c>
      <c r="AL118" s="2"/>
    </row>
    <row r="119" spans="1:51" ht="43.5" x14ac:dyDescent="0.35">
      <c r="A119" s="43" t="s">
        <v>306</v>
      </c>
      <c r="B119" s="2" t="s">
        <v>11</v>
      </c>
      <c r="C119" s="26" t="s">
        <v>19</v>
      </c>
      <c r="D119" s="27">
        <v>6637</v>
      </c>
      <c r="E119" s="2" t="s">
        <v>300</v>
      </c>
      <c r="F119" s="74" t="s">
        <v>3216</v>
      </c>
      <c r="G119" s="65">
        <v>45252</v>
      </c>
      <c r="H119" s="26" t="s">
        <v>142</v>
      </c>
      <c r="I119" s="67" t="s">
        <v>3217</v>
      </c>
      <c r="J119" s="47" t="s">
        <v>89</v>
      </c>
      <c r="K119" s="68" t="s">
        <v>84</v>
      </c>
      <c r="L119" s="26" t="s">
        <v>1635</v>
      </c>
      <c r="M119" s="2" t="s">
        <v>3218</v>
      </c>
      <c r="N119" s="28">
        <v>36990240</v>
      </c>
      <c r="O119" s="28">
        <v>7028146</v>
      </c>
      <c r="P119" s="36">
        <v>44018386</v>
      </c>
      <c r="Q119" s="70" t="s">
        <v>302</v>
      </c>
      <c r="R119" s="3"/>
      <c r="S119" s="28">
        <f>+Tabla15133[[#This Row],[VALOR TOTAL DEL CONTRATO
(en pesos)
CON IVA
(inicial)]]+Tabla15133[[#This Row],[VALOR DE LAS ADICIONES
(en pesos)
CON IVA]]</f>
        <v>44018386</v>
      </c>
      <c r="T119" s="37">
        <v>366</v>
      </c>
      <c r="U119" s="70" t="s">
        <v>301</v>
      </c>
      <c r="V119" s="101">
        <v>395</v>
      </c>
      <c r="W119" s="117" t="s">
        <v>302</v>
      </c>
      <c r="X119" s="117"/>
      <c r="Y119" s="65">
        <v>45260</v>
      </c>
      <c r="Z119" s="65">
        <v>45626</v>
      </c>
      <c r="AA119" s="144">
        <v>45657</v>
      </c>
      <c r="AB119" s="64" t="s">
        <v>323</v>
      </c>
      <c r="AC119" s="71">
        <v>45733</v>
      </c>
      <c r="AD119" s="70" t="s">
        <v>321</v>
      </c>
      <c r="AE119" s="30">
        <v>1</v>
      </c>
      <c r="AF119" s="30">
        <v>0.89</v>
      </c>
      <c r="AG119" s="31">
        <v>39246361</v>
      </c>
      <c r="AH119" s="156" t="s">
        <v>3219</v>
      </c>
      <c r="AI119" s="56" t="s">
        <v>3220</v>
      </c>
      <c r="AJ119" s="44">
        <v>2023</v>
      </c>
      <c r="AL119" s="2"/>
    </row>
    <row r="120" spans="1:51" ht="58" x14ac:dyDescent="0.35">
      <c r="A120" s="43" t="s">
        <v>306</v>
      </c>
      <c r="B120" s="2" t="s">
        <v>11</v>
      </c>
      <c r="C120" s="26" t="s">
        <v>19</v>
      </c>
      <c r="D120" s="27">
        <v>5859</v>
      </c>
      <c r="E120" s="2" t="s">
        <v>324</v>
      </c>
      <c r="F120" s="74" t="s">
        <v>3221</v>
      </c>
      <c r="G120" s="65">
        <v>45253</v>
      </c>
      <c r="H120" s="2" t="s">
        <v>113</v>
      </c>
      <c r="I120" s="67" t="s">
        <v>3222</v>
      </c>
      <c r="J120" s="47" t="s">
        <v>95</v>
      </c>
      <c r="K120" s="68" t="s">
        <v>84</v>
      </c>
      <c r="L120" s="26" t="s">
        <v>3223</v>
      </c>
      <c r="M120" s="2" t="s">
        <v>3224</v>
      </c>
      <c r="N120" s="145">
        <v>1910261735</v>
      </c>
      <c r="O120" s="143">
        <v>362949728</v>
      </c>
      <c r="P120" s="29">
        <v>2273211463</v>
      </c>
      <c r="Q120" s="70" t="s">
        <v>302</v>
      </c>
      <c r="R120" s="3"/>
      <c r="S120" s="28">
        <f>+Tabla15133[[#This Row],[VALOR TOTAL DEL CONTRATO
(en pesos)
CON IVA
(inicial)]]+Tabla15133[[#This Row],[VALOR DE LAS ADICIONES
(en pesos)
CON IVA]]</f>
        <v>2273211463</v>
      </c>
      <c r="T120" s="37">
        <v>730</v>
      </c>
      <c r="U120" s="70" t="s">
        <v>302</v>
      </c>
      <c r="V120" s="101"/>
      <c r="W120" s="70" t="s">
        <v>302</v>
      </c>
      <c r="X120" s="70"/>
      <c r="Y120" s="65">
        <v>45253</v>
      </c>
      <c r="Z120" s="65">
        <v>45983</v>
      </c>
      <c r="AA120" s="144">
        <v>45983</v>
      </c>
      <c r="AB120" s="64" t="s">
        <v>325</v>
      </c>
      <c r="AC120" s="71"/>
      <c r="AD120" s="70" t="s">
        <v>321</v>
      </c>
      <c r="AE120" s="30">
        <v>0.53769999999999996</v>
      </c>
      <c r="AF120" s="30">
        <v>0.49080000000000001</v>
      </c>
      <c r="AG120" s="31">
        <v>1115728960</v>
      </c>
      <c r="AH120" s="154"/>
      <c r="AI120" s="56" t="s">
        <v>3225</v>
      </c>
      <c r="AJ120" s="44">
        <v>2023</v>
      </c>
      <c r="AL120" s="2"/>
    </row>
    <row r="121" spans="1:51" ht="43.5" x14ac:dyDescent="0.35">
      <c r="A121" s="43" t="s">
        <v>306</v>
      </c>
      <c r="B121" s="2" t="s">
        <v>11</v>
      </c>
      <c r="C121" s="26" t="s">
        <v>19</v>
      </c>
      <c r="D121" s="27">
        <v>5971</v>
      </c>
      <c r="E121" s="2" t="s">
        <v>300</v>
      </c>
      <c r="F121" s="74" t="s">
        <v>3226</v>
      </c>
      <c r="G121" s="65">
        <v>45253</v>
      </c>
      <c r="H121" s="26" t="s">
        <v>142</v>
      </c>
      <c r="I121" s="67" t="s">
        <v>3227</v>
      </c>
      <c r="J121" s="47" t="s">
        <v>83</v>
      </c>
      <c r="K121" s="68" t="s">
        <v>96</v>
      </c>
      <c r="L121" s="26" t="s">
        <v>1688</v>
      </c>
      <c r="M121" s="2" t="s">
        <v>356</v>
      </c>
      <c r="N121" s="115">
        <v>39044000</v>
      </c>
      <c r="O121" s="157">
        <v>0</v>
      </c>
      <c r="P121" s="36">
        <v>39044000</v>
      </c>
      <c r="Q121" s="70" t="s">
        <v>302</v>
      </c>
      <c r="R121" s="3"/>
      <c r="S121" s="28">
        <f>+Tabla15133[[#This Row],[VALOR TOTAL DEL CONTRATO
(en pesos)
CON IVA
(inicial)]]+Tabla15133[[#This Row],[VALOR DE LAS ADICIONES
(en pesos)
CON IVA]]</f>
        <v>39044000</v>
      </c>
      <c r="T121" s="37">
        <v>365</v>
      </c>
      <c r="U121" s="70" t="s">
        <v>302</v>
      </c>
      <c r="V121" s="101"/>
      <c r="W121" s="70" t="s">
        <v>302</v>
      </c>
      <c r="X121" s="70"/>
      <c r="Y121" s="65">
        <v>45253</v>
      </c>
      <c r="Z121" s="65">
        <v>45618</v>
      </c>
      <c r="AA121" s="144">
        <v>45618</v>
      </c>
      <c r="AB121" s="64" t="s">
        <v>323</v>
      </c>
      <c r="AC121" s="71">
        <v>45677</v>
      </c>
      <c r="AD121" s="70" t="s">
        <v>321</v>
      </c>
      <c r="AE121" s="30">
        <v>1</v>
      </c>
      <c r="AF121" s="30">
        <v>0.87</v>
      </c>
      <c r="AG121" s="31">
        <v>34044000</v>
      </c>
      <c r="AH121" s="154"/>
      <c r="AI121" s="56" t="s">
        <v>3228</v>
      </c>
      <c r="AJ121" s="44">
        <v>2023</v>
      </c>
      <c r="AL121" s="2"/>
    </row>
    <row r="122" spans="1:51" ht="58" x14ac:dyDescent="0.35">
      <c r="A122" s="43" t="s">
        <v>306</v>
      </c>
      <c r="B122" s="2" t="s">
        <v>31</v>
      </c>
      <c r="C122" s="26" t="s">
        <v>37</v>
      </c>
      <c r="D122" s="27">
        <v>5961</v>
      </c>
      <c r="E122" s="2" t="s">
        <v>300</v>
      </c>
      <c r="F122" s="74" t="s">
        <v>3229</v>
      </c>
      <c r="G122" s="65">
        <v>45274</v>
      </c>
      <c r="H122" s="26" t="s">
        <v>150</v>
      </c>
      <c r="I122" s="67" t="s">
        <v>3230</v>
      </c>
      <c r="J122" s="47" t="s">
        <v>89</v>
      </c>
      <c r="K122" s="68" t="s">
        <v>84</v>
      </c>
      <c r="L122" s="26" t="s">
        <v>3231</v>
      </c>
      <c r="M122" s="2" t="s">
        <v>3232</v>
      </c>
      <c r="N122" s="28">
        <v>22414269</v>
      </c>
      <c r="O122" s="28">
        <v>4258711</v>
      </c>
      <c r="P122" s="36">
        <v>26672980</v>
      </c>
      <c r="Q122" s="70" t="s">
        <v>302</v>
      </c>
      <c r="R122" s="3"/>
      <c r="S122" s="28">
        <f>+Tabla15133[[#This Row],[VALOR TOTAL DEL CONTRATO
(en pesos)
CON IVA
(inicial)]]+Tabla15133[[#This Row],[VALOR DE LAS ADICIONES
(en pesos)
CON IVA]]</f>
        <v>26672980</v>
      </c>
      <c r="T122" s="37">
        <v>365</v>
      </c>
      <c r="U122" s="70" t="s">
        <v>302</v>
      </c>
      <c r="V122" s="101"/>
      <c r="W122" s="70" t="s">
        <v>302</v>
      </c>
      <c r="X122" s="70"/>
      <c r="Y122" s="65">
        <v>45273</v>
      </c>
      <c r="Z122" s="65">
        <v>45638</v>
      </c>
      <c r="AA122" s="144">
        <v>45638</v>
      </c>
      <c r="AB122" s="64" t="s">
        <v>323</v>
      </c>
      <c r="AC122" s="71">
        <v>45714</v>
      </c>
      <c r="AD122" s="70" t="s">
        <v>321</v>
      </c>
      <c r="AE122" s="30">
        <v>1</v>
      </c>
      <c r="AF122" s="30">
        <v>1</v>
      </c>
      <c r="AG122" s="31">
        <v>26672980</v>
      </c>
      <c r="AH122" s="154"/>
      <c r="AI122" s="56" t="s">
        <v>3233</v>
      </c>
      <c r="AJ122" s="44">
        <v>2023</v>
      </c>
      <c r="AL122" s="2"/>
    </row>
    <row r="123" spans="1:51" ht="43.5" x14ac:dyDescent="0.35">
      <c r="A123" s="43" t="s">
        <v>306</v>
      </c>
      <c r="B123" s="2" t="s">
        <v>31</v>
      </c>
      <c r="C123" s="26" t="s">
        <v>36</v>
      </c>
      <c r="D123" s="27">
        <v>6006</v>
      </c>
      <c r="E123" s="2" t="s">
        <v>300</v>
      </c>
      <c r="F123" s="74" t="s">
        <v>3234</v>
      </c>
      <c r="G123" s="65">
        <v>45272</v>
      </c>
      <c r="H123" s="26" t="s">
        <v>150</v>
      </c>
      <c r="I123" s="67" t="s">
        <v>3235</v>
      </c>
      <c r="J123" s="47" t="s">
        <v>89</v>
      </c>
      <c r="K123" s="68" t="s">
        <v>84</v>
      </c>
      <c r="L123" s="26" t="s">
        <v>3236</v>
      </c>
      <c r="M123" s="2" t="s">
        <v>3237</v>
      </c>
      <c r="N123" s="28">
        <v>48735000</v>
      </c>
      <c r="O123" s="28">
        <v>9259650</v>
      </c>
      <c r="P123" s="36">
        <v>57994650</v>
      </c>
      <c r="Q123" s="70" t="s">
        <v>302</v>
      </c>
      <c r="R123" s="3"/>
      <c r="S123" s="28">
        <f>+Tabla15133[[#This Row],[VALOR TOTAL DEL CONTRATO
(en pesos)
CON IVA
(inicial)]]+Tabla15133[[#This Row],[VALOR DE LAS ADICIONES
(en pesos)
CON IVA]]</f>
        <v>57994650</v>
      </c>
      <c r="T123" s="37">
        <v>183</v>
      </c>
      <c r="U123" s="70" t="s">
        <v>302</v>
      </c>
      <c r="V123" s="101"/>
      <c r="W123" s="70" t="s">
        <v>302</v>
      </c>
      <c r="X123" s="70"/>
      <c r="Y123" s="65">
        <v>45272</v>
      </c>
      <c r="Z123" s="65">
        <v>45455</v>
      </c>
      <c r="AA123" s="144">
        <v>45455</v>
      </c>
      <c r="AB123" s="64" t="s">
        <v>323</v>
      </c>
      <c r="AC123" s="71">
        <v>45947</v>
      </c>
      <c r="AD123" s="71" t="s">
        <v>321</v>
      </c>
      <c r="AE123" s="30">
        <v>1</v>
      </c>
      <c r="AF123" s="30">
        <v>1</v>
      </c>
      <c r="AG123" s="31">
        <v>57994650</v>
      </c>
      <c r="AH123" s="121"/>
      <c r="AI123" s="56" t="s">
        <v>3238</v>
      </c>
      <c r="AJ123" s="44">
        <v>2023</v>
      </c>
      <c r="AL123" s="2"/>
    </row>
    <row r="124" spans="1:51" ht="43.5" x14ac:dyDescent="0.35">
      <c r="A124" s="43" t="s">
        <v>306</v>
      </c>
      <c r="B124" s="2" t="s">
        <v>298</v>
      </c>
      <c r="C124" s="26" t="s">
        <v>357</v>
      </c>
      <c r="D124" s="27">
        <v>6011</v>
      </c>
      <c r="E124" s="2" t="s">
        <v>300</v>
      </c>
      <c r="F124" s="74" t="s">
        <v>3239</v>
      </c>
      <c r="G124" s="65">
        <v>45272</v>
      </c>
      <c r="H124" s="2" t="s">
        <v>88</v>
      </c>
      <c r="I124" s="67" t="s">
        <v>3240</v>
      </c>
      <c r="J124" s="47" t="s">
        <v>89</v>
      </c>
      <c r="K124" s="68" t="s">
        <v>84</v>
      </c>
      <c r="L124" s="26" t="s">
        <v>3241</v>
      </c>
      <c r="M124" s="2" t="s">
        <v>3242</v>
      </c>
      <c r="N124" s="143">
        <v>248075018.48699999</v>
      </c>
      <c r="O124" s="143">
        <v>47134253.512500003</v>
      </c>
      <c r="P124" s="36">
        <v>295209272</v>
      </c>
      <c r="Q124" s="70" t="s">
        <v>302</v>
      </c>
      <c r="R124" s="3"/>
      <c r="S124" s="28">
        <f>+Tabla15133[[#This Row],[VALOR TOTAL DEL CONTRATO
(en pesos)
CON IVA
(inicial)]]+Tabla15133[[#This Row],[VALOR DE LAS ADICIONES
(en pesos)
CON IVA]]</f>
        <v>295209272</v>
      </c>
      <c r="T124" s="37">
        <v>1095</v>
      </c>
      <c r="U124" s="70" t="s">
        <v>302</v>
      </c>
      <c r="V124" s="101"/>
      <c r="W124" s="70" t="s">
        <v>302</v>
      </c>
      <c r="X124" s="70"/>
      <c r="Y124" s="65">
        <v>45282</v>
      </c>
      <c r="Z124" s="65">
        <v>46377</v>
      </c>
      <c r="AA124" s="144">
        <v>46377</v>
      </c>
      <c r="AB124" s="64" t="s">
        <v>303</v>
      </c>
      <c r="AC124" s="71"/>
      <c r="AD124" s="70"/>
      <c r="AE124" s="30">
        <v>0.49880000000000002</v>
      </c>
      <c r="AF124" s="30">
        <v>0.49880000000000002</v>
      </c>
      <c r="AG124" s="31">
        <v>147967770</v>
      </c>
      <c r="AH124" s="154" t="s">
        <v>3243</v>
      </c>
      <c r="AI124" s="56" t="s">
        <v>3244</v>
      </c>
      <c r="AJ124" s="44">
        <v>2023</v>
      </c>
      <c r="AL124" s="2"/>
    </row>
    <row r="125" spans="1:51" ht="118.5" customHeight="1" x14ac:dyDescent="0.35">
      <c r="A125" s="43" t="s">
        <v>306</v>
      </c>
      <c r="B125" s="2" t="s">
        <v>329</v>
      </c>
      <c r="C125" s="26" t="s">
        <v>52</v>
      </c>
      <c r="D125" s="27">
        <v>5846</v>
      </c>
      <c r="E125" s="2" t="s">
        <v>300</v>
      </c>
      <c r="F125" s="74" t="s">
        <v>3245</v>
      </c>
      <c r="G125" s="65">
        <v>45272</v>
      </c>
      <c r="H125" s="26" t="s">
        <v>150</v>
      </c>
      <c r="I125" s="67" t="s">
        <v>3043</v>
      </c>
      <c r="J125" s="47" t="s">
        <v>89</v>
      </c>
      <c r="K125" s="68" t="s">
        <v>84</v>
      </c>
      <c r="L125" s="26" t="s">
        <v>3246</v>
      </c>
      <c r="M125" s="2" t="s">
        <v>3247</v>
      </c>
      <c r="N125" s="28">
        <v>378151260.50420171</v>
      </c>
      <c r="O125" s="28">
        <v>71848739.49579829</v>
      </c>
      <c r="P125" s="36">
        <v>450000000</v>
      </c>
      <c r="Q125" s="70" t="s">
        <v>302</v>
      </c>
      <c r="R125" s="3"/>
      <c r="S125" s="28">
        <f>+Tabla15133[[#This Row],[VALOR TOTAL DEL CONTRATO
(en pesos)
CON IVA
(inicial)]]+Tabla15133[[#This Row],[VALOR DE LAS ADICIONES
(en pesos)
CON IVA]]</f>
        <v>450000000</v>
      </c>
      <c r="T125" s="37">
        <v>365</v>
      </c>
      <c r="U125" s="70" t="s">
        <v>301</v>
      </c>
      <c r="V125" s="101">
        <f>+Tabla15133[[#This Row],[FECHA TERMINACIÓN DEL CONTRATO
(inicial + prórroga)]]-Tabla15133[[#This Row],[FECHA TERMINACIÓN DEL CONTRATO
(inicial)]]</f>
        <v>365</v>
      </c>
      <c r="W125" s="117" t="s">
        <v>302</v>
      </c>
      <c r="X125" s="117"/>
      <c r="Y125" s="65">
        <v>45336</v>
      </c>
      <c r="Z125" s="65">
        <v>45701</v>
      </c>
      <c r="AA125" s="144">
        <v>46066</v>
      </c>
      <c r="AB125" s="64" t="s">
        <v>303</v>
      </c>
      <c r="AC125" s="71"/>
      <c r="AD125" s="70"/>
      <c r="AE125" s="61">
        <v>0.87912087912087911</v>
      </c>
      <c r="AF125" s="61">
        <v>0.87912087912087911</v>
      </c>
      <c r="AG125" s="63">
        <v>35703572.799999997</v>
      </c>
      <c r="AH125" s="72" t="s">
        <v>3105</v>
      </c>
      <c r="AI125" s="56" t="s">
        <v>3248</v>
      </c>
      <c r="AJ125" s="44">
        <v>2023</v>
      </c>
      <c r="AL125" s="2"/>
    </row>
    <row r="126" spans="1:51" ht="29" x14ac:dyDescent="0.35">
      <c r="A126" s="43" t="s">
        <v>306</v>
      </c>
      <c r="B126" s="2" t="s">
        <v>322</v>
      </c>
      <c r="C126" s="26" t="s">
        <v>68</v>
      </c>
      <c r="D126" s="27">
        <v>6010</v>
      </c>
      <c r="E126" s="2" t="s">
        <v>300</v>
      </c>
      <c r="F126" s="74" t="s">
        <v>3249</v>
      </c>
      <c r="G126" s="65">
        <v>45278</v>
      </c>
      <c r="H126" s="26" t="s">
        <v>150</v>
      </c>
      <c r="I126" s="67" t="s">
        <v>3250</v>
      </c>
      <c r="J126" s="47" t="s">
        <v>89</v>
      </c>
      <c r="K126" s="68" t="s">
        <v>84</v>
      </c>
      <c r="L126" s="26" t="s">
        <v>1686</v>
      </c>
      <c r="M126" s="2" t="s">
        <v>355</v>
      </c>
      <c r="N126" s="28">
        <v>46927400</v>
      </c>
      <c r="O126" s="28">
        <v>8916204</v>
      </c>
      <c r="P126" s="36">
        <v>55843604</v>
      </c>
      <c r="Q126" s="70" t="s">
        <v>302</v>
      </c>
      <c r="R126" s="3"/>
      <c r="S126" s="28">
        <f>+Tabla15133[[#This Row],[VALOR TOTAL DEL CONTRATO
(en pesos)
CON IVA
(inicial)]]+Tabla15133[[#This Row],[VALOR DE LAS ADICIONES
(en pesos)
CON IVA]]</f>
        <v>55843604</v>
      </c>
      <c r="T126" s="37">
        <v>365</v>
      </c>
      <c r="U126" s="70" t="s">
        <v>302</v>
      </c>
      <c r="V126" s="101"/>
      <c r="W126" s="70" t="s">
        <v>302</v>
      </c>
      <c r="X126" s="70"/>
      <c r="Y126" s="65">
        <v>45292</v>
      </c>
      <c r="Z126" s="65">
        <v>45657</v>
      </c>
      <c r="AA126" s="144">
        <v>45657</v>
      </c>
      <c r="AB126" s="64" t="s">
        <v>323</v>
      </c>
      <c r="AC126" s="71">
        <v>45736</v>
      </c>
      <c r="AD126" s="70" t="s">
        <v>321</v>
      </c>
      <c r="AE126" s="30">
        <v>1</v>
      </c>
      <c r="AF126" s="30">
        <v>1</v>
      </c>
      <c r="AG126" s="31">
        <v>55843604</v>
      </c>
      <c r="AH126" s="154"/>
      <c r="AI126" s="56" t="s">
        <v>3251</v>
      </c>
      <c r="AJ126" s="44">
        <v>2023</v>
      </c>
      <c r="AL126" s="2"/>
    </row>
    <row r="127" spans="1:51" ht="29" x14ac:dyDescent="0.35">
      <c r="A127" s="43" t="s">
        <v>306</v>
      </c>
      <c r="B127" s="2" t="s">
        <v>4</v>
      </c>
      <c r="C127" s="26" t="s">
        <v>352</v>
      </c>
      <c r="D127" s="27">
        <v>6004</v>
      </c>
      <c r="E127" s="2" t="s">
        <v>300</v>
      </c>
      <c r="F127" s="74" t="s">
        <v>3252</v>
      </c>
      <c r="G127" s="65">
        <v>45279</v>
      </c>
      <c r="H127" s="26" t="s">
        <v>150</v>
      </c>
      <c r="I127" s="67" t="s">
        <v>3253</v>
      </c>
      <c r="J127" s="47" t="s">
        <v>89</v>
      </c>
      <c r="K127" s="68" t="s">
        <v>84</v>
      </c>
      <c r="L127" s="26" t="s">
        <v>1449</v>
      </c>
      <c r="M127" s="2" t="s">
        <v>358</v>
      </c>
      <c r="N127" s="143">
        <v>14000000</v>
      </c>
      <c r="O127" s="143">
        <v>2660000</v>
      </c>
      <c r="P127" s="36">
        <v>16660000</v>
      </c>
      <c r="Q127" s="70" t="s">
        <v>302</v>
      </c>
      <c r="R127" s="3"/>
      <c r="S127" s="28">
        <f>+Tabla15133[[#This Row],[VALOR TOTAL DEL CONTRATO
(en pesos)
CON IVA
(inicial)]]+Tabla15133[[#This Row],[VALOR DE LAS ADICIONES
(en pesos)
CON IVA]]</f>
        <v>16660000</v>
      </c>
      <c r="T127" s="37">
        <v>365</v>
      </c>
      <c r="U127" s="70" t="s">
        <v>302</v>
      </c>
      <c r="V127" s="101"/>
      <c r="W127" s="70" t="s">
        <v>302</v>
      </c>
      <c r="X127" s="70"/>
      <c r="Y127" s="65">
        <v>45279</v>
      </c>
      <c r="Z127" s="65">
        <v>45644</v>
      </c>
      <c r="AA127" s="144">
        <v>45644</v>
      </c>
      <c r="AB127" s="64" t="s">
        <v>323</v>
      </c>
      <c r="AC127" s="71">
        <v>45708</v>
      </c>
      <c r="AD127" s="70" t="s">
        <v>321</v>
      </c>
      <c r="AE127" s="30">
        <v>1</v>
      </c>
      <c r="AF127" s="30">
        <v>1</v>
      </c>
      <c r="AG127" s="31">
        <v>16660000</v>
      </c>
      <c r="AH127" s="154"/>
      <c r="AI127" s="56" t="s">
        <v>3254</v>
      </c>
      <c r="AJ127" s="44">
        <v>2023</v>
      </c>
      <c r="AL127" s="2"/>
    </row>
    <row r="128" spans="1:51" ht="29" x14ac:dyDescent="0.35">
      <c r="A128" s="43" t="s">
        <v>306</v>
      </c>
      <c r="B128" s="2" t="s">
        <v>11</v>
      </c>
      <c r="C128" s="26" t="s">
        <v>335</v>
      </c>
      <c r="D128" s="27">
        <v>6058</v>
      </c>
      <c r="E128" s="2" t="s">
        <v>300</v>
      </c>
      <c r="F128" s="74" t="s">
        <v>3255</v>
      </c>
      <c r="G128" s="65">
        <v>45281</v>
      </c>
      <c r="H128" s="26" t="s">
        <v>150</v>
      </c>
      <c r="I128" s="67" t="s">
        <v>3256</v>
      </c>
      <c r="J128" s="47" t="s">
        <v>83</v>
      </c>
      <c r="K128" s="68" t="s">
        <v>96</v>
      </c>
      <c r="L128" s="26" t="s">
        <v>1477</v>
      </c>
      <c r="M128" s="2" t="s">
        <v>359</v>
      </c>
      <c r="N128" s="158">
        <v>60960000</v>
      </c>
      <c r="O128" s="157">
        <v>0</v>
      </c>
      <c r="P128" s="29">
        <v>60960000</v>
      </c>
      <c r="Q128" s="70" t="s">
        <v>302</v>
      </c>
      <c r="R128" s="3"/>
      <c r="S128" s="28">
        <f>+Tabla15133[[#This Row],[VALOR TOTAL DEL CONTRATO
(en pesos)
CON IVA
(inicial)]]+Tabla15133[[#This Row],[VALOR DE LAS ADICIONES
(en pesos)
CON IVA]]</f>
        <v>60960000</v>
      </c>
      <c r="T128" s="37">
        <v>365</v>
      </c>
      <c r="U128" s="70" t="s">
        <v>302</v>
      </c>
      <c r="V128" s="101"/>
      <c r="W128" s="70" t="s">
        <v>302</v>
      </c>
      <c r="X128" s="70"/>
      <c r="Y128" s="65">
        <v>45292</v>
      </c>
      <c r="Z128" s="65">
        <v>45657</v>
      </c>
      <c r="AA128" s="144">
        <v>45657</v>
      </c>
      <c r="AB128" s="64" t="s">
        <v>323</v>
      </c>
      <c r="AC128" s="71">
        <v>45747</v>
      </c>
      <c r="AD128" s="70" t="s">
        <v>321</v>
      </c>
      <c r="AE128" s="30">
        <v>1</v>
      </c>
      <c r="AF128" s="30">
        <v>1</v>
      </c>
      <c r="AG128" s="31">
        <v>60960000</v>
      </c>
      <c r="AH128" s="154"/>
      <c r="AI128" s="56" t="s">
        <v>3257</v>
      </c>
      <c r="AJ128" s="44">
        <v>2023</v>
      </c>
      <c r="AL128" s="2"/>
    </row>
    <row r="129" spans="1:38" ht="29" x14ac:dyDescent="0.35">
      <c r="A129" s="43" t="s">
        <v>306</v>
      </c>
      <c r="B129" s="2" t="s">
        <v>11</v>
      </c>
      <c r="C129" s="26" t="s">
        <v>19</v>
      </c>
      <c r="D129" s="27">
        <v>6014</v>
      </c>
      <c r="E129" s="2" t="s">
        <v>300</v>
      </c>
      <c r="F129" s="74" t="s">
        <v>3258</v>
      </c>
      <c r="G129" s="65">
        <v>45281</v>
      </c>
      <c r="H129" s="26" t="s">
        <v>150</v>
      </c>
      <c r="I129" s="67" t="s">
        <v>3259</v>
      </c>
      <c r="J129" s="47" t="s">
        <v>89</v>
      </c>
      <c r="K129" s="68" t="s">
        <v>84</v>
      </c>
      <c r="L129" s="26" t="s">
        <v>3260</v>
      </c>
      <c r="M129" s="2" t="s">
        <v>3261</v>
      </c>
      <c r="N129" s="28">
        <v>19260000</v>
      </c>
      <c r="O129" s="28">
        <v>3659400</v>
      </c>
      <c r="P129" s="36">
        <v>22919400</v>
      </c>
      <c r="Q129" s="70" t="s">
        <v>302</v>
      </c>
      <c r="R129" s="3"/>
      <c r="S129" s="28">
        <f>+Tabla15133[[#This Row],[VALOR TOTAL DEL CONTRATO
(en pesos)
CON IVA
(inicial)]]+Tabla15133[[#This Row],[VALOR DE LAS ADICIONES
(en pesos)
CON IVA]]</f>
        <v>22919400</v>
      </c>
      <c r="T129" s="37">
        <v>1095</v>
      </c>
      <c r="U129" s="70" t="s">
        <v>302</v>
      </c>
      <c r="V129" s="101"/>
      <c r="W129" s="70" t="s">
        <v>302</v>
      </c>
      <c r="X129" s="70"/>
      <c r="Y129" s="65">
        <v>45281</v>
      </c>
      <c r="Z129" s="65">
        <v>46376</v>
      </c>
      <c r="AA129" s="144">
        <v>46376</v>
      </c>
      <c r="AB129" s="64" t="s">
        <v>303</v>
      </c>
      <c r="AC129" s="71"/>
      <c r="AD129" s="70"/>
      <c r="AE129" s="30">
        <v>0.65</v>
      </c>
      <c r="AF129" s="30">
        <v>0.72</v>
      </c>
      <c r="AG129" s="31">
        <v>16487450</v>
      </c>
      <c r="AH129" s="154"/>
      <c r="AI129" s="56" t="s">
        <v>3262</v>
      </c>
      <c r="AJ129" s="44">
        <v>2023</v>
      </c>
      <c r="AL129" s="2"/>
    </row>
    <row r="130" spans="1:38" ht="43.5" x14ac:dyDescent="0.35">
      <c r="A130" s="43" t="s">
        <v>306</v>
      </c>
      <c r="B130" s="2" t="s">
        <v>329</v>
      </c>
      <c r="C130" s="26" t="s">
        <v>51</v>
      </c>
      <c r="D130" s="27" t="s">
        <v>3263</v>
      </c>
      <c r="E130" s="2" t="s">
        <v>324</v>
      </c>
      <c r="F130" s="74" t="s">
        <v>3264</v>
      </c>
      <c r="G130" s="65">
        <v>45281</v>
      </c>
      <c r="H130" s="26" t="s">
        <v>150</v>
      </c>
      <c r="I130" s="67" t="s">
        <v>3265</v>
      </c>
      <c r="J130" s="47" t="s">
        <v>89</v>
      </c>
      <c r="K130" s="68" t="s">
        <v>84</v>
      </c>
      <c r="L130" s="26" t="s">
        <v>3266</v>
      </c>
      <c r="M130" s="2" t="s">
        <v>3267</v>
      </c>
      <c r="N130" s="145">
        <v>1589192045.3781514</v>
      </c>
      <c r="O130" s="143">
        <v>301946488.62184876</v>
      </c>
      <c r="P130" s="29">
        <v>1891138534.0000002</v>
      </c>
      <c r="Q130" s="70" t="s">
        <v>302</v>
      </c>
      <c r="R130" s="3"/>
      <c r="S130" s="28">
        <f>+Tabla15133[[#This Row],[VALOR TOTAL DEL CONTRATO
(en pesos)
CON IVA
(inicial)]]+Tabla15133[[#This Row],[VALOR DE LAS ADICIONES
(en pesos)
CON IVA]]</f>
        <v>1891138534.0000002</v>
      </c>
      <c r="T130" s="37">
        <v>1095</v>
      </c>
      <c r="U130" s="70" t="s">
        <v>302</v>
      </c>
      <c r="V130" s="101"/>
      <c r="W130" s="70" t="s">
        <v>302</v>
      </c>
      <c r="X130" s="70"/>
      <c r="Y130" s="65">
        <v>45323</v>
      </c>
      <c r="Z130" s="65">
        <v>46418</v>
      </c>
      <c r="AA130" s="65">
        <v>46418</v>
      </c>
      <c r="AB130" s="64" t="s">
        <v>303</v>
      </c>
      <c r="AC130" s="71"/>
      <c r="AD130" s="70"/>
      <c r="AE130" s="30">
        <v>0.63839999999999997</v>
      </c>
      <c r="AF130" s="30">
        <v>0.36280000000000001</v>
      </c>
      <c r="AG130" s="31">
        <v>686156306</v>
      </c>
      <c r="AH130" s="154"/>
      <c r="AI130" s="56" t="s">
        <v>3268</v>
      </c>
      <c r="AJ130" s="44">
        <v>2023</v>
      </c>
      <c r="AL130" s="2"/>
    </row>
    <row r="131" spans="1:38" ht="43.5" x14ac:dyDescent="0.35">
      <c r="A131" s="43" t="s">
        <v>306</v>
      </c>
      <c r="B131" s="2" t="s">
        <v>11</v>
      </c>
      <c r="C131" s="26" t="s">
        <v>335</v>
      </c>
      <c r="D131" s="27">
        <v>6035</v>
      </c>
      <c r="E131" s="2" t="s">
        <v>300</v>
      </c>
      <c r="F131" s="74" t="s">
        <v>3269</v>
      </c>
      <c r="G131" s="65">
        <v>45289</v>
      </c>
      <c r="H131" s="26" t="s">
        <v>150</v>
      </c>
      <c r="I131" s="67" t="s">
        <v>3270</v>
      </c>
      <c r="J131" s="47" t="s">
        <v>89</v>
      </c>
      <c r="K131" s="68" t="s">
        <v>84</v>
      </c>
      <c r="L131" s="26" t="s">
        <v>1598</v>
      </c>
      <c r="M131" s="2" t="s">
        <v>3271</v>
      </c>
      <c r="N131" s="28">
        <v>322696245.3781513</v>
      </c>
      <c r="O131" s="28">
        <v>61312286.621848702</v>
      </c>
      <c r="P131" s="36">
        <v>384008532</v>
      </c>
      <c r="Q131" s="70" t="s">
        <v>302</v>
      </c>
      <c r="R131" s="3"/>
      <c r="S131" s="28">
        <f>+Tabla15133[[#This Row],[VALOR TOTAL DEL CONTRATO
(en pesos)
CON IVA
(inicial)]]+Tabla15133[[#This Row],[VALOR DE LAS ADICIONES
(en pesos)
CON IVA]]</f>
        <v>384008532</v>
      </c>
      <c r="T131" s="37">
        <v>546</v>
      </c>
      <c r="U131" s="70" t="s">
        <v>302</v>
      </c>
      <c r="V131" s="101"/>
      <c r="W131" s="70" t="s">
        <v>302</v>
      </c>
      <c r="X131" s="70"/>
      <c r="Y131" s="65">
        <v>45292</v>
      </c>
      <c r="Z131" s="65">
        <v>45839</v>
      </c>
      <c r="AA131" s="65">
        <v>45839</v>
      </c>
      <c r="AB131" s="64" t="s">
        <v>325</v>
      </c>
      <c r="AC131" s="71"/>
      <c r="AD131" s="70" t="s">
        <v>321</v>
      </c>
      <c r="AE131" s="30">
        <v>0.67</v>
      </c>
      <c r="AF131" s="30">
        <v>0.67</v>
      </c>
      <c r="AG131" s="31">
        <v>210724301</v>
      </c>
      <c r="AH131" s="154"/>
      <c r="AI131" s="56" t="s">
        <v>3272</v>
      </c>
      <c r="AJ131" s="44">
        <v>2023</v>
      </c>
      <c r="AL131" s="2"/>
    </row>
    <row r="132" spans="1:38" ht="43.5" x14ac:dyDescent="0.35">
      <c r="A132" s="43" t="s">
        <v>306</v>
      </c>
      <c r="B132" s="2" t="s">
        <v>31</v>
      </c>
      <c r="C132" s="26" t="s">
        <v>35</v>
      </c>
      <c r="D132" s="27" t="s">
        <v>3273</v>
      </c>
      <c r="E132" s="2" t="s">
        <v>300</v>
      </c>
      <c r="F132" s="74" t="s">
        <v>3274</v>
      </c>
      <c r="G132" s="65">
        <v>45282</v>
      </c>
      <c r="H132" s="26" t="s">
        <v>150</v>
      </c>
      <c r="I132" s="67" t="s">
        <v>3275</v>
      </c>
      <c r="J132" s="47" t="s">
        <v>89</v>
      </c>
      <c r="K132" s="68" t="s">
        <v>84</v>
      </c>
      <c r="L132" s="26" t="s">
        <v>1559</v>
      </c>
      <c r="M132" s="2" t="s">
        <v>338</v>
      </c>
      <c r="N132" s="28">
        <v>999592000.00840342</v>
      </c>
      <c r="O132" s="28">
        <v>189922480.00159666</v>
      </c>
      <c r="P132" s="36">
        <v>1189514480</v>
      </c>
      <c r="Q132" s="70" t="s">
        <v>301</v>
      </c>
      <c r="R132" s="3">
        <v>56573790</v>
      </c>
      <c r="S132" s="28">
        <f>+Tabla15133[[#This Row],[VALOR TOTAL DEL CONTRATO
(en pesos)
CON IVA
(inicial)]]+Tabla15133[[#This Row],[VALOR DE LAS ADICIONES
(en pesos)
CON IVA]]</f>
        <v>1246088270</v>
      </c>
      <c r="T132" s="37">
        <v>1095</v>
      </c>
      <c r="U132" s="70" t="s">
        <v>302</v>
      </c>
      <c r="V132" s="101"/>
      <c r="W132" s="70" t="s">
        <v>302</v>
      </c>
      <c r="X132" s="70"/>
      <c r="Y132" s="65">
        <v>45282</v>
      </c>
      <c r="Z132" s="65">
        <v>46377</v>
      </c>
      <c r="AA132" s="144">
        <v>46377</v>
      </c>
      <c r="AB132" s="64" t="s">
        <v>303</v>
      </c>
      <c r="AC132" s="71"/>
      <c r="AD132" s="70"/>
      <c r="AE132" s="30">
        <v>0.36699999999999999</v>
      </c>
      <c r="AF132" s="30">
        <v>0.47899999999999998</v>
      </c>
      <c r="AG132" s="31">
        <v>693883444</v>
      </c>
      <c r="AH132" s="154" t="s">
        <v>3276</v>
      </c>
      <c r="AI132" s="56" t="s">
        <v>3277</v>
      </c>
      <c r="AJ132" s="44">
        <v>2023</v>
      </c>
      <c r="AL132" s="2"/>
    </row>
    <row r="133" spans="1:38" ht="29" x14ac:dyDescent="0.35">
      <c r="A133" s="43" t="s">
        <v>306</v>
      </c>
      <c r="B133" s="2" t="s">
        <v>327</v>
      </c>
      <c r="C133" s="26" t="s">
        <v>44</v>
      </c>
      <c r="D133" s="27">
        <v>6115</v>
      </c>
      <c r="E133" s="2" t="s">
        <v>300</v>
      </c>
      <c r="F133" s="74" t="s">
        <v>3278</v>
      </c>
      <c r="G133" s="65">
        <v>45286</v>
      </c>
      <c r="H133" s="26" t="s">
        <v>150</v>
      </c>
      <c r="I133" s="67" t="s">
        <v>3279</v>
      </c>
      <c r="J133" s="47" t="s">
        <v>89</v>
      </c>
      <c r="K133" s="68" t="s">
        <v>84</v>
      </c>
      <c r="L133" s="26" t="s">
        <v>3280</v>
      </c>
      <c r="M133" s="2" t="s">
        <v>3281</v>
      </c>
      <c r="N133" s="143">
        <v>35114002</v>
      </c>
      <c r="O133" s="143">
        <v>6671661</v>
      </c>
      <c r="P133" s="36">
        <v>41785663</v>
      </c>
      <c r="Q133" s="70" t="s">
        <v>302</v>
      </c>
      <c r="R133" s="3"/>
      <c r="S133" s="28">
        <f>+Tabla15133[[#This Row],[VALOR TOTAL DEL CONTRATO
(en pesos)
CON IVA
(inicial)]]+Tabla15133[[#This Row],[VALOR DE LAS ADICIONES
(en pesos)
CON IVA]]</f>
        <v>41785663</v>
      </c>
      <c r="T133" s="37">
        <v>736</v>
      </c>
      <c r="U133" s="70" t="s">
        <v>302</v>
      </c>
      <c r="V133" s="101"/>
      <c r="W133" s="70" t="s">
        <v>302</v>
      </c>
      <c r="X133" s="70"/>
      <c r="Y133" s="65">
        <v>45286</v>
      </c>
      <c r="Z133" s="65">
        <v>46022</v>
      </c>
      <c r="AA133" s="144">
        <v>46022</v>
      </c>
      <c r="AB133" s="64" t="s">
        <v>325</v>
      </c>
      <c r="AC133" s="71"/>
      <c r="AD133" s="70" t="s">
        <v>321</v>
      </c>
      <c r="AE133" s="61">
        <v>0.95830000000000004</v>
      </c>
      <c r="AF133" s="61">
        <v>0.62170000000000003</v>
      </c>
      <c r="AG133" s="62">
        <v>25977856.079999991</v>
      </c>
      <c r="AH133" s="159"/>
      <c r="AI133" s="56" t="s">
        <v>3282</v>
      </c>
      <c r="AJ133" s="44">
        <v>2023</v>
      </c>
      <c r="AL133" s="2"/>
    </row>
    <row r="134" spans="1:38" ht="43.5" x14ac:dyDescent="0.35">
      <c r="A134" s="43" t="s">
        <v>306</v>
      </c>
      <c r="B134" s="2" t="s">
        <v>4</v>
      </c>
      <c r="C134" s="26" t="s">
        <v>352</v>
      </c>
      <c r="D134" s="27">
        <v>6070</v>
      </c>
      <c r="E134" s="2" t="s">
        <v>300</v>
      </c>
      <c r="F134" s="74" t="s">
        <v>3283</v>
      </c>
      <c r="G134" s="65">
        <v>45287</v>
      </c>
      <c r="H134" s="26" t="s">
        <v>150</v>
      </c>
      <c r="I134" s="67" t="s">
        <v>3284</v>
      </c>
      <c r="J134" s="47" t="s">
        <v>89</v>
      </c>
      <c r="K134" s="68" t="s">
        <v>84</v>
      </c>
      <c r="L134" s="26" t="s">
        <v>1685</v>
      </c>
      <c r="M134" s="2" t="s">
        <v>3285</v>
      </c>
      <c r="N134" s="143">
        <v>13287857</v>
      </c>
      <c r="O134" s="143">
        <v>2524693</v>
      </c>
      <c r="P134" s="36">
        <v>15812550</v>
      </c>
      <c r="Q134" s="70" t="s">
        <v>302</v>
      </c>
      <c r="R134" s="3"/>
      <c r="S134" s="28">
        <f>+Tabla15133[[#This Row],[VALOR TOTAL DEL CONTRATO
(en pesos)
CON IVA
(inicial)]]+Tabla15133[[#This Row],[VALOR DE LAS ADICIONES
(en pesos)
CON IVA]]</f>
        <v>15812550</v>
      </c>
      <c r="T134" s="37">
        <v>365</v>
      </c>
      <c r="U134" s="70" t="s">
        <v>302</v>
      </c>
      <c r="V134" s="101"/>
      <c r="W134" s="70" t="s">
        <v>302</v>
      </c>
      <c r="X134" s="70"/>
      <c r="Y134" s="65">
        <v>45301</v>
      </c>
      <c r="Z134" s="65">
        <v>45666</v>
      </c>
      <c r="AA134" s="144">
        <v>45666</v>
      </c>
      <c r="AB134" s="64" t="s">
        <v>323</v>
      </c>
      <c r="AC134" s="71">
        <v>45728</v>
      </c>
      <c r="AD134" s="70" t="s">
        <v>321</v>
      </c>
      <c r="AE134" s="30">
        <v>1</v>
      </c>
      <c r="AF134" s="30">
        <v>1</v>
      </c>
      <c r="AG134" s="31">
        <v>15809751</v>
      </c>
      <c r="AH134" s="154"/>
      <c r="AI134" s="56" t="s">
        <v>3286</v>
      </c>
      <c r="AJ134" s="44">
        <v>2023</v>
      </c>
      <c r="AL134" s="2"/>
    </row>
    <row r="135" spans="1:38" ht="29" x14ac:dyDescent="0.35">
      <c r="A135" s="43" t="s">
        <v>306</v>
      </c>
      <c r="B135" s="2" t="s">
        <v>298</v>
      </c>
      <c r="C135" s="26" t="s">
        <v>25</v>
      </c>
      <c r="D135" s="27">
        <v>6069</v>
      </c>
      <c r="E135" s="2" t="s">
        <v>300</v>
      </c>
      <c r="F135" s="74" t="s">
        <v>3287</v>
      </c>
      <c r="G135" s="65">
        <v>45288</v>
      </c>
      <c r="H135" s="26" t="s">
        <v>150</v>
      </c>
      <c r="I135" s="67" t="s">
        <v>3288</v>
      </c>
      <c r="J135" s="47" t="s">
        <v>89</v>
      </c>
      <c r="K135" s="68" t="s">
        <v>84</v>
      </c>
      <c r="L135" s="26" t="s">
        <v>1482</v>
      </c>
      <c r="M135" s="2" t="s">
        <v>360</v>
      </c>
      <c r="N135" s="143">
        <v>19435200</v>
      </c>
      <c r="O135" s="143">
        <v>3111744</v>
      </c>
      <c r="P135" s="36">
        <v>22546944</v>
      </c>
      <c r="Q135" s="70" t="s">
        <v>302</v>
      </c>
      <c r="R135" s="3"/>
      <c r="S135" s="28">
        <f>+Tabla15133[[#This Row],[VALOR TOTAL DEL CONTRATO
(en pesos)
CON IVA
(inicial)]]+Tabla15133[[#This Row],[VALOR DE LAS ADICIONES
(en pesos)
CON IVA]]</f>
        <v>22546944</v>
      </c>
      <c r="T135" s="37">
        <v>365</v>
      </c>
      <c r="U135" s="70" t="s">
        <v>302</v>
      </c>
      <c r="V135" s="101"/>
      <c r="W135" s="70" t="s">
        <v>302</v>
      </c>
      <c r="X135" s="70"/>
      <c r="Y135" s="65">
        <v>45292</v>
      </c>
      <c r="Z135" s="65">
        <v>45657</v>
      </c>
      <c r="AA135" s="144">
        <v>45657</v>
      </c>
      <c r="AB135" s="64" t="s">
        <v>323</v>
      </c>
      <c r="AC135" s="71">
        <v>45817</v>
      </c>
      <c r="AD135" s="70" t="s">
        <v>321</v>
      </c>
      <c r="AE135" s="30">
        <v>1</v>
      </c>
      <c r="AF135" s="30">
        <v>1</v>
      </c>
      <c r="AG135" s="31">
        <v>22546944</v>
      </c>
      <c r="AH135" s="154"/>
      <c r="AI135" s="56" t="s">
        <v>3289</v>
      </c>
      <c r="AJ135" s="44">
        <v>2023</v>
      </c>
      <c r="AL135" s="2"/>
    </row>
    <row r="136" spans="1:38" ht="43.5" x14ac:dyDescent="0.35">
      <c r="A136" s="43" t="s">
        <v>306</v>
      </c>
      <c r="B136" s="2" t="s">
        <v>31</v>
      </c>
      <c r="C136" s="26" t="s">
        <v>39</v>
      </c>
      <c r="D136" s="27">
        <v>6123</v>
      </c>
      <c r="E136" s="2" t="s">
        <v>300</v>
      </c>
      <c r="F136" s="74" t="s">
        <v>3290</v>
      </c>
      <c r="G136" s="65">
        <v>45288</v>
      </c>
      <c r="H136" s="26" t="s">
        <v>150</v>
      </c>
      <c r="I136" s="67" t="s">
        <v>3291</v>
      </c>
      <c r="J136" s="47" t="s">
        <v>89</v>
      </c>
      <c r="K136" s="68" t="s">
        <v>84</v>
      </c>
      <c r="L136" s="26" t="s">
        <v>1673</v>
      </c>
      <c r="M136" s="2" t="s">
        <v>361</v>
      </c>
      <c r="N136" s="28">
        <v>1282784631.9327731</v>
      </c>
      <c r="O136" s="28">
        <v>243729080.06722689</v>
      </c>
      <c r="P136" s="36">
        <v>1526513712</v>
      </c>
      <c r="Q136" s="70" t="s">
        <v>302</v>
      </c>
      <c r="R136" s="3"/>
      <c r="S136" s="28">
        <f>+Tabla15133[[#This Row],[VALOR TOTAL DEL CONTRATO
(en pesos)
CON IVA
(inicial)]]+Tabla15133[[#This Row],[VALOR DE LAS ADICIONES
(en pesos)
CON IVA]]</f>
        <v>1526513712</v>
      </c>
      <c r="T136" s="37">
        <v>730</v>
      </c>
      <c r="U136" s="70" t="s">
        <v>302</v>
      </c>
      <c r="V136" s="101"/>
      <c r="W136" s="70" t="s">
        <v>302</v>
      </c>
      <c r="X136" s="70"/>
      <c r="Y136" s="65">
        <v>45288</v>
      </c>
      <c r="Z136" s="65">
        <v>46018</v>
      </c>
      <c r="AA136" s="144">
        <v>46018</v>
      </c>
      <c r="AB136" s="64" t="s">
        <v>325</v>
      </c>
      <c r="AC136" s="71"/>
      <c r="AD136" s="70" t="s">
        <v>321</v>
      </c>
      <c r="AE136" s="30">
        <v>0.876</v>
      </c>
      <c r="AF136" s="30">
        <v>0.84299999999999997</v>
      </c>
      <c r="AG136" s="31">
        <v>1287305388</v>
      </c>
      <c r="AH136" s="154"/>
      <c r="AI136" s="56" t="s">
        <v>3292</v>
      </c>
      <c r="AJ136" s="44">
        <v>2023</v>
      </c>
      <c r="AL136" s="2"/>
    </row>
    <row r="137" spans="1:38" ht="43.5" x14ac:dyDescent="0.35">
      <c r="A137" s="43" t="s">
        <v>306</v>
      </c>
      <c r="B137" s="2" t="s">
        <v>31</v>
      </c>
      <c r="C137" s="26" t="s">
        <v>35</v>
      </c>
      <c r="D137" s="27">
        <v>6122</v>
      </c>
      <c r="E137" s="2" t="s">
        <v>300</v>
      </c>
      <c r="F137" s="74" t="s">
        <v>3293</v>
      </c>
      <c r="G137" s="65">
        <v>45289</v>
      </c>
      <c r="H137" s="26" t="s">
        <v>150</v>
      </c>
      <c r="I137" s="67" t="s">
        <v>3294</v>
      </c>
      <c r="J137" s="47" t="s">
        <v>89</v>
      </c>
      <c r="K137" s="68" t="s">
        <v>84</v>
      </c>
      <c r="L137" s="26" t="s">
        <v>1673</v>
      </c>
      <c r="M137" s="2" t="s">
        <v>361</v>
      </c>
      <c r="N137" s="28">
        <v>1982295600</v>
      </c>
      <c r="O137" s="28">
        <v>376636164</v>
      </c>
      <c r="P137" s="36">
        <v>2358931764</v>
      </c>
      <c r="Q137" s="70" t="s">
        <v>302</v>
      </c>
      <c r="R137" s="3"/>
      <c r="S137" s="28">
        <f>+Tabla15133[[#This Row],[VALOR TOTAL DEL CONTRATO
(en pesos)
CON IVA
(inicial)]]+Tabla15133[[#This Row],[VALOR DE LAS ADICIONES
(en pesos)
CON IVA]]</f>
        <v>2358931764</v>
      </c>
      <c r="T137" s="37">
        <v>730</v>
      </c>
      <c r="U137" s="70" t="s">
        <v>302</v>
      </c>
      <c r="V137" s="101"/>
      <c r="W137" s="70" t="s">
        <v>302</v>
      </c>
      <c r="X137" s="70"/>
      <c r="Y137" s="65">
        <v>45289</v>
      </c>
      <c r="Z137" s="65">
        <v>46019</v>
      </c>
      <c r="AA137" s="144">
        <v>46019</v>
      </c>
      <c r="AB137" s="64" t="s">
        <v>325</v>
      </c>
      <c r="AC137" s="71"/>
      <c r="AD137" s="70" t="s">
        <v>321</v>
      </c>
      <c r="AE137" s="30">
        <v>0.97829999999999995</v>
      </c>
      <c r="AF137" s="30">
        <v>1</v>
      </c>
      <c r="AG137" s="31">
        <v>2358931764</v>
      </c>
      <c r="AH137" s="154"/>
      <c r="AI137" s="56" t="s">
        <v>3295</v>
      </c>
      <c r="AJ137" s="44">
        <v>2023</v>
      </c>
      <c r="AL137" s="2"/>
    </row>
    <row r="138" spans="1:38" ht="29" x14ac:dyDescent="0.35">
      <c r="A138" s="43" t="s">
        <v>306</v>
      </c>
      <c r="B138" s="2" t="s">
        <v>4</v>
      </c>
      <c r="C138" s="26" t="s">
        <v>9</v>
      </c>
      <c r="D138" s="27">
        <v>6142</v>
      </c>
      <c r="E138" s="2" t="s">
        <v>300</v>
      </c>
      <c r="F138" s="74" t="s">
        <v>3296</v>
      </c>
      <c r="G138" s="65">
        <v>45289</v>
      </c>
      <c r="H138" s="26" t="s">
        <v>150</v>
      </c>
      <c r="I138" s="67" t="s">
        <v>3297</v>
      </c>
      <c r="J138" s="47" t="s">
        <v>83</v>
      </c>
      <c r="K138" s="68" t="s">
        <v>96</v>
      </c>
      <c r="L138" s="26" t="s">
        <v>1501</v>
      </c>
      <c r="M138" s="2" t="s">
        <v>3298</v>
      </c>
      <c r="N138" s="115">
        <v>184324140</v>
      </c>
      <c r="O138" s="157">
        <v>35021587</v>
      </c>
      <c r="P138" s="36">
        <v>219345727</v>
      </c>
      <c r="Q138" s="70" t="s">
        <v>302</v>
      </c>
      <c r="R138" s="3"/>
      <c r="S138" s="28">
        <f>+Tabla15133[[#This Row],[VALOR TOTAL DEL CONTRATO
(en pesos)
CON IVA
(inicial)]]+Tabla15133[[#This Row],[VALOR DE LAS ADICIONES
(en pesos)
CON IVA]]</f>
        <v>219345727</v>
      </c>
      <c r="T138" s="37">
        <v>363</v>
      </c>
      <c r="U138" s="70" t="s">
        <v>302</v>
      </c>
      <c r="V138" s="101"/>
      <c r="W138" s="70" t="s">
        <v>302</v>
      </c>
      <c r="X138" s="70"/>
      <c r="Y138" s="65">
        <v>45294</v>
      </c>
      <c r="Z138" s="65">
        <v>45657</v>
      </c>
      <c r="AA138" s="144">
        <v>45657</v>
      </c>
      <c r="AB138" s="64" t="s">
        <v>323</v>
      </c>
      <c r="AC138" s="71">
        <v>45693</v>
      </c>
      <c r="AD138" s="70" t="s">
        <v>321</v>
      </c>
      <c r="AE138" s="30">
        <v>1</v>
      </c>
      <c r="AF138" s="30">
        <v>1</v>
      </c>
      <c r="AG138" s="31">
        <v>218127139</v>
      </c>
      <c r="AH138" s="154"/>
      <c r="AI138" s="56" t="s">
        <v>3299</v>
      </c>
      <c r="AJ138" s="44">
        <v>2023</v>
      </c>
      <c r="AL138" s="2"/>
    </row>
    <row r="139" spans="1:38" ht="29" x14ac:dyDescent="0.35">
      <c r="A139" s="43" t="s">
        <v>306</v>
      </c>
      <c r="B139" s="2" t="s">
        <v>11</v>
      </c>
      <c r="C139" s="26" t="s">
        <v>19</v>
      </c>
      <c r="D139" s="27" t="s">
        <v>3300</v>
      </c>
      <c r="E139" s="2" t="s">
        <v>300</v>
      </c>
      <c r="F139" s="66" t="s">
        <v>3301</v>
      </c>
      <c r="G139" s="65">
        <v>45294</v>
      </c>
      <c r="H139" s="2" t="s">
        <v>113</v>
      </c>
      <c r="I139" s="67" t="s">
        <v>3302</v>
      </c>
      <c r="J139" s="47" t="s">
        <v>89</v>
      </c>
      <c r="K139" s="68" t="s">
        <v>84</v>
      </c>
      <c r="L139" s="26" t="s">
        <v>3303</v>
      </c>
      <c r="M139" s="2" t="s">
        <v>3304</v>
      </c>
      <c r="N139" s="28">
        <v>33141427</v>
      </c>
      <c r="O139" s="28">
        <v>192100</v>
      </c>
      <c r="P139" s="36">
        <v>33333527</v>
      </c>
      <c r="Q139" s="70" t="s">
        <v>301</v>
      </c>
      <c r="R139" s="3">
        <v>10358573</v>
      </c>
      <c r="S139" s="28">
        <f>+Tabla15133[[#This Row],[VALOR TOTAL DEL CONTRATO
(en pesos)
CON IVA
(inicial)]]+Tabla15133[[#This Row],[VALOR DE LAS ADICIONES
(en pesos)
CON IVA]]</f>
        <v>43692100</v>
      </c>
      <c r="T139" s="37">
        <v>363</v>
      </c>
      <c r="U139" s="70" t="s">
        <v>302</v>
      </c>
      <c r="V139" s="101"/>
      <c r="W139" s="70" t="s">
        <v>302</v>
      </c>
      <c r="X139" s="70"/>
      <c r="Y139" s="65">
        <v>45294</v>
      </c>
      <c r="Z139" s="65">
        <v>45657</v>
      </c>
      <c r="AA139" s="144">
        <v>45657</v>
      </c>
      <c r="AB139" s="64" t="s">
        <v>323</v>
      </c>
      <c r="AC139" s="71">
        <v>45757</v>
      </c>
      <c r="AD139" s="71" t="s">
        <v>321</v>
      </c>
      <c r="AE139" s="30">
        <v>1</v>
      </c>
      <c r="AF139" s="30">
        <v>1</v>
      </c>
      <c r="AG139" s="31">
        <v>43475000</v>
      </c>
      <c r="AH139" s="154" t="s">
        <v>3305</v>
      </c>
      <c r="AI139" s="56" t="s">
        <v>3306</v>
      </c>
      <c r="AJ139" s="44">
        <v>2024</v>
      </c>
      <c r="AL139" s="2"/>
    </row>
    <row r="140" spans="1:38" ht="29" x14ac:dyDescent="0.35">
      <c r="A140" s="43" t="s">
        <v>306</v>
      </c>
      <c r="B140" s="2" t="s">
        <v>11</v>
      </c>
      <c r="C140" s="26" t="s">
        <v>19</v>
      </c>
      <c r="D140" s="27">
        <v>6114</v>
      </c>
      <c r="E140" s="2" t="s">
        <v>300</v>
      </c>
      <c r="F140" s="66" t="s">
        <v>3307</v>
      </c>
      <c r="G140" s="65">
        <v>45296</v>
      </c>
      <c r="H140" s="26" t="s">
        <v>150</v>
      </c>
      <c r="I140" s="67" t="s">
        <v>3308</v>
      </c>
      <c r="J140" s="47" t="s">
        <v>83</v>
      </c>
      <c r="K140" s="68" t="s">
        <v>96</v>
      </c>
      <c r="L140" s="26" t="s">
        <v>3309</v>
      </c>
      <c r="M140" s="2" t="s">
        <v>3310</v>
      </c>
      <c r="N140" s="158">
        <v>43742859</v>
      </c>
      <c r="O140" s="157">
        <v>8311143</v>
      </c>
      <c r="P140" s="36">
        <v>52054002</v>
      </c>
      <c r="Q140" s="70" t="s">
        <v>302</v>
      </c>
      <c r="R140" s="3"/>
      <c r="S140" s="28">
        <f>+Tabla15133[[#This Row],[VALOR TOTAL DEL CONTRATO
(en pesos)
CON IVA
(inicial)]]+Tabla15133[[#This Row],[VALOR DE LAS ADICIONES
(en pesos)
CON IVA]]</f>
        <v>52054002</v>
      </c>
      <c r="T140" s="37">
        <v>1096</v>
      </c>
      <c r="U140" s="70" t="s">
        <v>302</v>
      </c>
      <c r="V140" s="101"/>
      <c r="W140" s="70" t="s">
        <v>302</v>
      </c>
      <c r="X140" s="70"/>
      <c r="Y140" s="65">
        <v>45296</v>
      </c>
      <c r="Z140" s="65">
        <v>46392</v>
      </c>
      <c r="AA140" s="144">
        <v>46392</v>
      </c>
      <c r="AB140" s="64" t="s">
        <v>303</v>
      </c>
      <c r="AC140" s="71"/>
      <c r="AD140" s="70"/>
      <c r="AE140" s="61">
        <v>0.65</v>
      </c>
      <c r="AF140" s="61">
        <v>0.18</v>
      </c>
      <c r="AG140" s="62">
        <v>7994899</v>
      </c>
      <c r="AH140" s="154"/>
      <c r="AI140" s="56" t="s">
        <v>3311</v>
      </c>
      <c r="AJ140" s="44">
        <v>2024</v>
      </c>
      <c r="AL140" s="2"/>
    </row>
    <row r="141" spans="1:38" ht="29" x14ac:dyDescent="0.35">
      <c r="A141" s="43" t="s">
        <v>306</v>
      </c>
      <c r="B141" s="2" t="s">
        <v>4</v>
      </c>
      <c r="C141" s="26" t="s">
        <v>352</v>
      </c>
      <c r="D141" s="27" t="s">
        <v>3312</v>
      </c>
      <c r="E141" s="2" t="s">
        <v>300</v>
      </c>
      <c r="F141" s="66" t="s">
        <v>3313</v>
      </c>
      <c r="G141" s="65">
        <v>45308</v>
      </c>
      <c r="H141" s="26" t="s">
        <v>150</v>
      </c>
      <c r="I141" s="67" t="s">
        <v>3314</v>
      </c>
      <c r="J141" s="47" t="s">
        <v>89</v>
      </c>
      <c r="K141" s="68" t="s">
        <v>84</v>
      </c>
      <c r="L141" s="26" t="s">
        <v>1645</v>
      </c>
      <c r="M141" s="2" t="s">
        <v>3315</v>
      </c>
      <c r="N141" s="28">
        <v>222274251</v>
      </c>
      <c r="O141" s="28">
        <v>42232108</v>
      </c>
      <c r="P141" s="36">
        <v>264506359</v>
      </c>
      <c r="Q141" s="70" t="s">
        <v>302</v>
      </c>
      <c r="R141" s="3"/>
      <c r="S141" s="28">
        <f>+Tabla15133[[#This Row],[VALOR TOTAL DEL CONTRATO
(en pesos)
CON IVA
(inicial)]]+Tabla15133[[#This Row],[VALOR DE LAS ADICIONES
(en pesos)
CON IVA]]</f>
        <v>264506359</v>
      </c>
      <c r="T141" s="37">
        <v>731</v>
      </c>
      <c r="U141" s="70" t="s">
        <v>302</v>
      </c>
      <c r="V141" s="101"/>
      <c r="W141" s="70" t="s">
        <v>302</v>
      </c>
      <c r="X141" s="70"/>
      <c r="Y141" s="65">
        <v>45308</v>
      </c>
      <c r="Z141" s="65">
        <v>46039</v>
      </c>
      <c r="AA141" s="144">
        <v>46039</v>
      </c>
      <c r="AB141" s="64" t="s">
        <v>303</v>
      </c>
      <c r="AC141" s="71"/>
      <c r="AD141" s="70"/>
      <c r="AE141" s="61">
        <v>0.97</v>
      </c>
      <c r="AF141" s="61">
        <v>1</v>
      </c>
      <c r="AG141" s="62">
        <v>264506359</v>
      </c>
      <c r="AH141" s="154" t="s">
        <v>3316</v>
      </c>
      <c r="AI141" s="56" t="s">
        <v>3317</v>
      </c>
      <c r="AJ141" s="44">
        <v>2024</v>
      </c>
      <c r="AL141" s="2"/>
    </row>
    <row r="142" spans="1:38" ht="29" x14ac:dyDescent="0.35">
      <c r="A142" s="43" t="s">
        <v>306</v>
      </c>
      <c r="B142" s="2" t="s">
        <v>11</v>
      </c>
      <c r="C142" s="26" t="s">
        <v>19</v>
      </c>
      <c r="D142" s="27">
        <v>6110</v>
      </c>
      <c r="E142" s="2" t="s">
        <v>300</v>
      </c>
      <c r="F142" s="66" t="s">
        <v>3318</v>
      </c>
      <c r="G142" s="65">
        <v>45309</v>
      </c>
      <c r="H142" s="26" t="s">
        <v>150</v>
      </c>
      <c r="I142" s="67" t="s">
        <v>3319</v>
      </c>
      <c r="J142" s="47" t="s">
        <v>89</v>
      </c>
      <c r="K142" s="68" t="s">
        <v>84</v>
      </c>
      <c r="L142" s="26" t="s">
        <v>3320</v>
      </c>
      <c r="M142" s="2" t="s">
        <v>3321</v>
      </c>
      <c r="N142" s="28">
        <v>14142495</v>
      </c>
      <c r="O142" s="28">
        <v>2687074</v>
      </c>
      <c r="P142" s="36">
        <v>16829569</v>
      </c>
      <c r="Q142" s="70" t="s">
        <v>302</v>
      </c>
      <c r="R142" s="3"/>
      <c r="S142" s="28">
        <f>+Tabla15133[[#This Row],[VALOR TOTAL DEL CONTRATO
(en pesos)
CON IVA
(inicial)]]+Tabla15133[[#This Row],[VALOR DE LAS ADICIONES
(en pesos)
CON IVA]]</f>
        <v>16829569</v>
      </c>
      <c r="T142" s="37">
        <v>1078</v>
      </c>
      <c r="U142" s="70" t="s">
        <v>302</v>
      </c>
      <c r="V142" s="101"/>
      <c r="W142" s="70" t="s">
        <v>302</v>
      </c>
      <c r="X142" s="70"/>
      <c r="Y142" s="65">
        <v>45309</v>
      </c>
      <c r="Z142" s="65">
        <v>46387</v>
      </c>
      <c r="AA142" s="144">
        <v>46387</v>
      </c>
      <c r="AB142" s="64" t="s">
        <v>303</v>
      </c>
      <c r="AC142" s="71"/>
      <c r="AD142" s="70"/>
      <c r="AE142" s="61">
        <v>0.65</v>
      </c>
      <c r="AF142" s="61">
        <v>0.55000000000000004</v>
      </c>
      <c r="AG142" s="62">
        <v>9200000</v>
      </c>
      <c r="AH142" s="154"/>
      <c r="AI142" s="56" t="s">
        <v>3322</v>
      </c>
      <c r="AJ142" s="44">
        <v>2024</v>
      </c>
      <c r="AL142" s="2"/>
    </row>
    <row r="143" spans="1:38" ht="65" x14ac:dyDescent="0.35">
      <c r="A143" s="43" t="s">
        <v>306</v>
      </c>
      <c r="B143" s="2" t="s">
        <v>4</v>
      </c>
      <c r="C143" s="26" t="s">
        <v>352</v>
      </c>
      <c r="D143" s="27">
        <v>6165</v>
      </c>
      <c r="E143" s="2" t="s">
        <v>300</v>
      </c>
      <c r="F143" s="66" t="s">
        <v>3323</v>
      </c>
      <c r="G143" s="65">
        <v>45320</v>
      </c>
      <c r="H143" s="26" t="s">
        <v>150</v>
      </c>
      <c r="I143" s="67" t="s">
        <v>3324</v>
      </c>
      <c r="J143" s="47" t="s">
        <v>89</v>
      </c>
      <c r="K143" s="68" t="s">
        <v>84</v>
      </c>
      <c r="L143" s="26" t="s">
        <v>3325</v>
      </c>
      <c r="M143" s="2" t="s">
        <v>3326</v>
      </c>
      <c r="N143" s="28">
        <v>37128000</v>
      </c>
      <c r="O143" s="28">
        <v>7054320</v>
      </c>
      <c r="P143" s="36">
        <v>44182320</v>
      </c>
      <c r="Q143" s="70" t="s">
        <v>302</v>
      </c>
      <c r="R143" s="3"/>
      <c r="S143" s="28">
        <f>+Tabla15133[[#This Row],[VALOR TOTAL DEL CONTRATO
(en pesos)
CON IVA
(inicial)]]+Tabla15133[[#This Row],[VALOR DE LAS ADICIONES
(en pesos)
CON IVA]]</f>
        <v>44182320</v>
      </c>
      <c r="T143" s="37">
        <v>365</v>
      </c>
      <c r="U143" s="70" t="s">
        <v>302</v>
      </c>
      <c r="V143" s="101"/>
      <c r="W143" s="70" t="s">
        <v>302</v>
      </c>
      <c r="X143" s="70"/>
      <c r="Y143" s="65">
        <v>45334</v>
      </c>
      <c r="Z143" s="65">
        <v>45699</v>
      </c>
      <c r="AA143" s="144">
        <v>45699</v>
      </c>
      <c r="AB143" s="64" t="s">
        <v>325</v>
      </c>
      <c r="AC143" s="71"/>
      <c r="AD143" s="70" t="s">
        <v>321</v>
      </c>
      <c r="AE143" s="30">
        <v>1</v>
      </c>
      <c r="AF143" s="30">
        <v>0.47</v>
      </c>
      <c r="AG143" s="62">
        <v>23239049.469999999</v>
      </c>
      <c r="AH143" s="159" t="s">
        <v>3327</v>
      </c>
      <c r="AI143" s="56" t="s">
        <v>3328</v>
      </c>
      <c r="AJ143" s="44">
        <v>2024</v>
      </c>
      <c r="AL143" s="2"/>
    </row>
    <row r="144" spans="1:38" ht="43.5" x14ac:dyDescent="0.35">
      <c r="A144" s="43" t="s">
        <v>306</v>
      </c>
      <c r="B144" s="2" t="s">
        <v>11</v>
      </c>
      <c r="C144" s="26" t="s">
        <v>19</v>
      </c>
      <c r="D144" s="27">
        <v>6117</v>
      </c>
      <c r="E144" s="2" t="s">
        <v>300</v>
      </c>
      <c r="F144" s="66" t="s">
        <v>3329</v>
      </c>
      <c r="G144" s="65">
        <v>45320</v>
      </c>
      <c r="H144" s="26" t="s">
        <v>142</v>
      </c>
      <c r="I144" s="67" t="s">
        <v>3330</v>
      </c>
      <c r="J144" s="47" t="s">
        <v>89</v>
      </c>
      <c r="K144" s="68" t="s">
        <v>84</v>
      </c>
      <c r="L144" s="26" t="s">
        <v>1448</v>
      </c>
      <c r="M144" s="2" t="s">
        <v>3331</v>
      </c>
      <c r="N144" s="28">
        <v>20154213</v>
      </c>
      <c r="O144" s="28">
        <v>3829301</v>
      </c>
      <c r="P144" s="36">
        <v>23983514</v>
      </c>
      <c r="Q144" s="70" t="s">
        <v>302</v>
      </c>
      <c r="R144" s="3"/>
      <c r="S144" s="28">
        <f>+Tabla15133[[#This Row],[VALOR TOTAL DEL CONTRATO
(en pesos)
CON IVA
(inicial)]]+Tabla15133[[#This Row],[VALOR DE LAS ADICIONES
(en pesos)
CON IVA]]</f>
        <v>23983514</v>
      </c>
      <c r="T144" s="37">
        <v>337</v>
      </c>
      <c r="U144" s="70" t="s">
        <v>302</v>
      </c>
      <c r="V144" s="101"/>
      <c r="W144" s="70" t="s">
        <v>302</v>
      </c>
      <c r="X144" s="70"/>
      <c r="Y144" s="65">
        <v>45320</v>
      </c>
      <c r="Z144" s="65">
        <v>45657</v>
      </c>
      <c r="AA144" s="144">
        <v>45657</v>
      </c>
      <c r="AB144" s="64" t="s">
        <v>323</v>
      </c>
      <c r="AC144" s="71">
        <v>45755</v>
      </c>
      <c r="AD144" s="71" t="s">
        <v>321</v>
      </c>
      <c r="AE144" s="30">
        <v>1</v>
      </c>
      <c r="AF144" s="30">
        <v>0.46</v>
      </c>
      <c r="AG144" s="31">
        <v>11049425</v>
      </c>
      <c r="AH144" s="154"/>
      <c r="AI144" s="56" t="s">
        <v>3332</v>
      </c>
      <c r="AJ144" s="44">
        <v>2024</v>
      </c>
      <c r="AL144" s="2"/>
    </row>
    <row r="145" spans="1:38" ht="43.5" x14ac:dyDescent="0.35">
      <c r="A145" s="43" t="s">
        <v>306</v>
      </c>
      <c r="B145" s="2" t="s">
        <v>322</v>
      </c>
      <c r="C145" s="26" t="s">
        <v>74</v>
      </c>
      <c r="D145" s="27">
        <v>6158</v>
      </c>
      <c r="E145" s="2" t="s">
        <v>300</v>
      </c>
      <c r="F145" s="66" t="s">
        <v>3333</v>
      </c>
      <c r="G145" s="65">
        <v>45320</v>
      </c>
      <c r="H145" s="26" t="s">
        <v>150</v>
      </c>
      <c r="I145" s="67" t="s">
        <v>3334</v>
      </c>
      <c r="J145" s="47" t="s">
        <v>89</v>
      </c>
      <c r="K145" s="68" t="s">
        <v>84</v>
      </c>
      <c r="L145" s="26" t="s">
        <v>1497</v>
      </c>
      <c r="M145" s="2" t="s">
        <v>3335</v>
      </c>
      <c r="N145" s="145">
        <v>226000000</v>
      </c>
      <c r="O145" s="143">
        <v>42940000</v>
      </c>
      <c r="P145" s="29">
        <v>268940000</v>
      </c>
      <c r="Q145" s="70" t="s">
        <v>302</v>
      </c>
      <c r="R145" s="3"/>
      <c r="S145" s="28">
        <f>+Tabla15133[[#This Row],[VALOR TOTAL DEL CONTRATO
(en pesos)
CON IVA
(inicial)]]+Tabla15133[[#This Row],[VALOR DE LAS ADICIONES
(en pesos)
CON IVA]]</f>
        <v>268940000</v>
      </c>
      <c r="T145" s="37">
        <v>314</v>
      </c>
      <c r="U145" s="70" t="s">
        <v>302</v>
      </c>
      <c r="V145" s="101"/>
      <c r="W145" s="70" t="s">
        <v>302</v>
      </c>
      <c r="X145" s="70"/>
      <c r="Y145" s="65">
        <v>45343</v>
      </c>
      <c r="Z145" s="65">
        <v>45657</v>
      </c>
      <c r="AA145" s="144">
        <v>45657</v>
      </c>
      <c r="AB145" s="64" t="s">
        <v>323</v>
      </c>
      <c r="AC145" s="71">
        <v>45716</v>
      </c>
      <c r="AD145" s="71" t="s">
        <v>321</v>
      </c>
      <c r="AE145" s="30">
        <v>1</v>
      </c>
      <c r="AF145" s="30">
        <v>0.76</v>
      </c>
      <c r="AG145" s="31">
        <v>204310912</v>
      </c>
      <c r="AH145" s="154"/>
      <c r="AI145" s="56" t="s">
        <v>3336</v>
      </c>
      <c r="AJ145" s="44">
        <v>2024</v>
      </c>
      <c r="AL145" s="2"/>
    </row>
    <row r="146" spans="1:38" ht="58" x14ac:dyDescent="0.35">
      <c r="A146" s="43" t="s">
        <v>306</v>
      </c>
      <c r="B146" s="2" t="s">
        <v>322</v>
      </c>
      <c r="C146" s="26" t="s">
        <v>74</v>
      </c>
      <c r="D146" s="27">
        <v>6154</v>
      </c>
      <c r="E146" s="2" t="s">
        <v>300</v>
      </c>
      <c r="F146" s="66" t="s">
        <v>3337</v>
      </c>
      <c r="G146" s="65">
        <v>45320</v>
      </c>
      <c r="H146" s="26" t="s">
        <v>150</v>
      </c>
      <c r="I146" s="67" t="s">
        <v>3334</v>
      </c>
      <c r="J146" s="47" t="s">
        <v>89</v>
      </c>
      <c r="K146" s="68" t="s">
        <v>84</v>
      </c>
      <c r="L146" s="26" t="s">
        <v>1487</v>
      </c>
      <c r="M146" s="2" t="s">
        <v>367</v>
      </c>
      <c r="N146" s="145">
        <v>264000000</v>
      </c>
      <c r="O146" s="143">
        <v>50160000</v>
      </c>
      <c r="P146" s="29">
        <v>314160000</v>
      </c>
      <c r="Q146" s="70" t="s">
        <v>302</v>
      </c>
      <c r="R146" s="3"/>
      <c r="S146" s="28">
        <f>+Tabla15133[[#This Row],[VALOR TOTAL DEL CONTRATO
(en pesos)
CON IVA
(inicial)]]+Tabla15133[[#This Row],[VALOR DE LAS ADICIONES
(en pesos)
CON IVA]]</f>
        <v>314160000</v>
      </c>
      <c r="T146" s="37">
        <v>309</v>
      </c>
      <c r="U146" s="70" t="s">
        <v>302</v>
      </c>
      <c r="V146" s="101"/>
      <c r="W146" s="70" t="s">
        <v>302</v>
      </c>
      <c r="X146" s="70"/>
      <c r="Y146" s="65">
        <v>45348</v>
      </c>
      <c r="Z146" s="65">
        <v>45657</v>
      </c>
      <c r="AA146" s="144">
        <v>45657</v>
      </c>
      <c r="AB146" s="64" t="s">
        <v>323</v>
      </c>
      <c r="AC146" s="71">
        <v>45716</v>
      </c>
      <c r="AD146" s="71" t="s">
        <v>321</v>
      </c>
      <c r="AE146" s="30">
        <v>1</v>
      </c>
      <c r="AF146" s="30">
        <v>0.49</v>
      </c>
      <c r="AG146" s="31">
        <v>153672726</v>
      </c>
      <c r="AH146" s="154"/>
      <c r="AI146" s="56" t="s">
        <v>3338</v>
      </c>
      <c r="AJ146" s="44">
        <v>2024</v>
      </c>
      <c r="AL146" s="2"/>
    </row>
    <row r="147" spans="1:38" ht="43.5" x14ac:dyDescent="0.35">
      <c r="A147" s="43" t="s">
        <v>306</v>
      </c>
      <c r="B147" s="2" t="s">
        <v>322</v>
      </c>
      <c r="C147" s="26" t="s">
        <v>74</v>
      </c>
      <c r="D147" s="27">
        <v>6157</v>
      </c>
      <c r="E147" s="2" t="s">
        <v>300</v>
      </c>
      <c r="F147" s="66" t="s">
        <v>3339</v>
      </c>
      <c r="G147" s="65">
        <v>45322</v>
      </c>
      <c r="H147" s="26" t="s">
        <v>150</v>
      </c>
      <c r="I147" s="67" t="s">
        <v>3334</v>
      </c>
      <c r="J147" s="47" t="s">
        <v>89</v>
      </c>
      <c r="K147" s="68" t="s">
        <v>84</v>
      </c>
      <c r="L147" s="26" t="s">
        <v>1489</v>
      </c>
      <c r="M147" s="2" t="s">
        <v>3340</v>
      </c>
      <c r="N147" s="145">
        <v>195000000</v>
      </c>
      <c r="O147" s="143">
        <v>37050000</v>
      </c>
      <c r="P147" s="29">
        <v>232050000</v>
      </c>
      <c r="Q147" s="70" t="s">
        <v>302</v>
      </c>
      <c r="R147" s="3"/>
      <c r="S147" s="28">
        <f>+Tabla15133[[#This Row],[VALOR TOTAL DEL CONTRATO
(en pesos)
CON IVA
(inicial)]]+Tabla15133[[#This Row],[VALOR DE LAS ADICIONES
(en pesos)
CON IVA]]</f>
        <v>232050000</v>
      </c>
      <c r="T147" s="37">
        <v>314</v>
      </c>
      <c r="U147" s="70" t="s">
        <v>302</v>
      </c>
      <c r="V147" s="101"/>
      <c r="W147" s="70" t="s">
        <v>302</v>
      </c>
      <c r="X147" s="70"/>
      <c r="Y147" s="65">
        <v>45343</v>
      </c>
      <c r="Z147" s="65">
        <v>45657</v>
      </c>
      <c r="AA147" s="144">
        <v>45657</v>
      </c>
      <c r="AB147" s="64" t="s">
        <v>323</v>
      </c>
      <c r="AC147" s="71">
        <v>45716</v>
      </c>
      <c r="AD147" s="71" t="s">
        <v>321</v>
      </c>
      <c r="AE147" s="30">
        <v>1</v>
      </c>
      <c r="AF147" s="30">
        <v>0.77</v>
      </c>
      <c r="AG147" s="31">
        <v>178345953</v>
      </c>
      <c r="AH147" s="154"/>
      <c r="AI147" s="56" t="s">
        <v>3341</v>
      </c>
      <c r="AJ147" s="44">
        <v>2024</v>
      </c>
      <c r="AL147" s="2"/>
    </row>
    <row r="148" spans="1:38" ht="43.5" x14ac:dyDescent="0.35">
      <c r="A148" s="43" t="s">
        <v>306</v>
      </c>
      <c r="B148" s="2" t="s">
        <v>322</v>
      </c>
      <c r="C148" s="26" t="s">
        <v>74</v>
      </c>
      <c r="D148" s="27">
        <v>6162</v>
      </c>
      <c r="E148" s="2" t="s">
        <v>300</v>
      </c>
      <c r="F148" s="66" t="s">
        <v>3342</v>
      </c>
      <c r="G148" s="65">
        <v>45322</v>
      </c>
      <c r="H148" s="26" t="s">
        <v>150</v>
      </c>
      <c r="I148" s="67" t="s">
        <v>3343</v>
      </c>
      <c r="J148" s="47" t="s">
        <v>89</v>
      </c>
      <c r="K148" s="68" t="s">
        <v>84</v>
      </c>
      <c r="L148" s="26" t="s">
        <v>1499</v>
      </c>
      <c r="M148" s="2" t="s">
        <v>3124</v>
      </c>
      <c r="N148" s="145">
        <v>50000000</v>
      </c>
      <c r="O148" s="143">
        <v>9500000</v>
      </c>
      <c r="P148" s="29">
        <v>59500000</v>
      </c>
      <c r="Q148" s="70" t="s">
        <v>302</v>
      </c>
      <c r="R148" s="3"/>
      <c r="S148" s="28">
        <f>+Tabla15133[[#This Row],[VALOR TOTAL DEL CONTRATO
(en pesos)
CON IVA
(inicial)]]+Tabla15133[[#This Row],[VALOR DE LAS ADICIONES
(en pesos)
CON IVA]]</f>
        <v>59500000</v>
      </c>
      <c r="T148" s="37">
        <v>335</v>
      </c>
      <c r="U148" s="70" t="s">
        <v>302</v>
      </c>
      <c r="V148" s="101"/>
      <c r="W148" s="70" t="s">
        <v>302</v>
      </c>
      <c r="X148" s="70"/>
      <c r="Y148" s="65">
        <v>45322</v>
      </c>
      <c r="Z148" s="65">
        <v>45657</v>
      </c>
      <c r="AA148" s="144">
        <v>45657</v>
      </c>
      <c r="AB148" s="64" t="s">
        <v>323</v>
      </c>
      <c r="AC148" s="71">
        <v>45716</v>
      </c>
      <c r="AD148" s="71" t="s">
        <v>321</v>
      </c>
      <c r="AE148" s="30">
        <v>1</v>
      </c>
      <c r="AF148" s="30">
        <v>0.38</v>
      </c>
      <c r="AG148" s="31">
        <v>22610000</v>
      </c>
      <c r="AH148" s="154"/>
      <c r="AI148" s="56" t="s">
        <v>3344</v>
      </c>
      <c r="AJ148" s="44">
        <v>2024</v>
      </c>
      <c r="AL148" s="2"/>
    </row>
    <row r="149" spans="1:38" ht="43.5" x14ac:dyDescent="0.35">
      <c r="A149" s="43" t="s">
        <v>306</v>
      </c>
      <c r="B149" s="2" t="s">
        <v>322</v>
      </c>
      <c r="C149" s="26" t="s">
        <v>74</v>
      </c>
      <c r="D149" s="27">
        <v>6156</v>
      </c>
      <c r="E149" s="2" t="s">
        <v>300</v>
      </c>
      <c r="F149" s="66" t="s">
        <v>3345</v>
      </c>
      <c r="G149" s="65">
        <v>45322</v>
      </c>
      <c r="H149" s="26" t="s">
        <v>150</v>
      </c>
      <c r="I149" s="67" t="s">
        <v>3334</v>
      </c>
      <c r="J149" s="47" t="s">
        <v>89</v>
      </c>
      <c r="K149" s="68" t="s">
        <v>84</v>
      </c>
      <c r="L149" s="26" t="s">
        <v>1484</v>
      </c>
      <c r="M149" s="2" t="s">
        <v>3346</v>
      </c>
      <c r="N149" s="145">
        <v>220000000</v>
      </c>
      <c r="O149" s="143">
        <v>41800000</v>
      </c>
      <c r="P149" s="29">
        <v>261800000</v>
      </c>
      <c r="Q149" s="70" t="s">
        <v>302</v>
      </c>
      <c r="R149" s="3"/>
      <c r="S149" s="28">
        <f>+Tabla15133[[#This Row],[VALOR TOTAL DEL CONTRATO
(en pesos)
CON IVA
(inicial)]]+Tabla15133[[#This Row],[VALOR DE LAS ADICIONES
(en pesos)
CON IVA]]</f>
        <v>261800000</v>
      </c>
      <c r="T149" s="37">
        <v>314</v>
      </c>
      <c r="U149" s="70" t="s">
        <v>302</v>
      </c>
      <c r="V149" s="101"/>
      <c r="W149" s="70" t="s">
        <v>302</v>
      </c>
      <c r="X149" s="70"/>
      <c r="Y149" s="65">
        <v>45343</v>
      </c>
      <c r="Z149" s="65">
        <v>45657</v>
      </c>
      <c r="AA149" s="144">
        <v>45657</v>
      </c>
      <c r="AB149" s="64" t="s">
        <v>323</v>
      </c>
      <c r="AC149" s="71">
        <v>45716</v>
      </c>
      <c r="AD149" s="71" t="s">
        <v>321</v>
      </c>
      <c r="AE149" s="30">
        <v>1</v>
      </c>
      <c r="AF149" s="30">
        <v>0.55000000000000004</v>
      </c>
      <c r="AG149" s="31">
        <v>144644565</v>
      </c>
      <c r="AH149" s="154"/>
      <c r="AI149" s="56" t="s">
        <v>3347</v>
      </c>
      <c r="AJ149" s="44">
        <v>2024</v>
      </c>
      <c r="AL149" s="2"/>
    </row>
    <row r="150" spans="1:38" ht="43.5" x14ac:dyDescent="0.35">
      <c r="A150" s="43" t="s">
        <v>306</v>
      </c>
      <c r="B150" s="2" t="s">
        <v>322</v>
      </c>
      <c r="C150" s="26" t="s">
        <v>74</v>
      </c>
      <c r="D150" s="27">
        <v>6155</v>
      </c>
      <c r="E150" s="2" t="s">
        <v>300</v>
      </c>
      <c r="F150" s="66" t="s">
        <v>3348</v>
      </c>
      <c r="G150" s="65">
        <v>45322</v>
      </c>
      <c r="H150" s="26" t="s">
        <v>150</v>
      </c>
      <c r="I150" s="67" t="s">
        <v>3349</v>
      </c>
      <c r="J150" s="47" t="s">
        <v>89</v>
      </c>
      <c r="K150" s="68" t="s">
        <v>84</v>
      </c>
      <c r="L150" s="26" t="s">
        <v>1486</v>
      </c>
      <c r="M150" s="2" t="s">
        <v>3350</v>
      </c>
      <c r="N150" s="145">
        <v>30000000</v>
      </c>
      <c r="O150" s="143">
        <v>5700000</v>
      </c>
      <c r="P150" s="29">
        <v>35700000</v>
      </c>
      <c r="Q150" s="70" t="s">
        <v>302</v>
      </c>
      <c r="R150" s="3"/>
      <c r="S150" s="28">
        <f>+Tabla15133[[#This Row],[VALOR TOTAL DEL CONTRATO
(en pesos)
CON IVA
(inicial)]]+Tabla15133[[#This Row],[VALOR DE LAS ADICIONES
(en pesos)
CON IVA]]</f>
        <v>35700000</v>
      </c>
      <c r="T150" s="37">
        <v>309</v>
      </c>
      <c r="U150" s="70" t="s">
        <v>302</v>
      </c>
      <c r="V150" s="101"/>
      <c r="W150" s="70" t="s">
        <v>302</v>
      </c>
      <c r="X150" s="70"/>
      <c r="Y150" s="65">
        <v>45348</v>
      </c>
      <c r="Z150" s="65">
        <v>45657</v>
      </c>
      <c r="AA150" s="144">
        <v>45657</v>
      </c>
      <c r="AB150" s="64" t="s">
        <v>323</v>
      </c>
      <c r="AC150" s="71">
        <v>45716</v>
      </c>
      <c r="AD150" s="71" t="s">
        <v>321</v>
      </c>
      <c r="AE150" s="30">
        <v>1</v>
      </c>
      <c r="AF150" s="30">
        <v>0.66749999999999998</v>
      </c>
      <c r="AG150" s="31">
        <v>23827988</v>
      </c>
      <c r="AH150" s="154"/>
      <c r="AI150" s="56" t="s">
        <v>3351</v>
      </c>
      <c r="AJ150" s="44">
        <v>2024</v>
      </c>
      <c r="AL150" s="2"/>
    </row>
    <row r="151" spans="1:38" ht="29" x14ac:dyDescent="0.35">
      <c r="A151" s="43" t="s">
        <v>306</v>
      </c>
      <c r="B151" s="2" t="s">
        <v>322</v>
      </c>
      <c r="C151" s="26" t="s">
        <v>77</v>
      </c>
      <c r="D151" s="27">
        <v>6088</v>
      </c>
      <c r="E151" s="2" t="s">
        <v>300</v>
      </c>
      <c r="F151" s="66" t="s">
        <v>3352</v>
      </c>
      <c r="G151" s="65">
        <v>45324</v>
      </c>
      <c r="H151" s="26" t="s">
        <v>150</v>
      </c>
      <c r="I151" s="67" t="s">
        <v>3353</v>
      </c>
      <c r="J151" s="47" t="s">
        <v>89</v>
      </c>
      <c r="K151" s="68" t="s">
        <v>84</v>
      </c>
      <c r="L151" s="26" t="s">
        <v>1472</v>
      </c>
      <c r="M151" s="2" t="s">
        <v>344</v>
      </c>
      <c r="N151" s="28">
        <v>25000000</v>
      </c>
      <c r="O151" s="28">
        <v>4750000</v>
      </c>
      <c r="P151" s="36">
        <v>29750000</v>
      </c>
      <c r="Q151" s="70" t="s">
        <v>302</v>
      </c>
      <c r="R151" s="3"/>
      <c r="S151" s="28">
        <f>+Tabla15133[[#This Row],[VALOR TOTAL DEL CONTRATO
(en pesos)
CON IVA
(inicial)]]+Tabla15133[[#This Row],[VALOR DE LAS ADICIONES
(en pesos)
CON IVA]]</f>
        <v>29750000</v>
      </c>
      <c r="T151" s="37">
        <v>365</v>
      </c>
      <c r="U151" s="70" t="s">
        <v>302</v>
      </c>
      <c r="V151" s="101"/>
      <c r="W151" s="70" t="s">
        <v>302</v>
      </c>
      <c r="X151" s="70"/>
      <c r="Y151" s="65">
        <v>45324</v>
      </c>
      <c r="Z151" s="65">
        <v>45689</v>
      </c>
      <c r="AA151" s="144">
        <v>45689</v>
      </c>
      <c r="AB151" s="64" t="s">
        <v>323</v>
      </c>
      <c r="AC151" s="71">
        <v>45715</v>
      </c>
      <c r="AD151" s="70" t="s">
        <v>321</v>
      </c>
      <c r="AE151" s="30">
        <v>1</v>
      </c>
      <c r="AF151" s="30">
        <v>0.436</v>
      </c>
      <c r="AG151" s="31">
        <v>12970376</v>
      </c>
      <c r="AH151" s="154"/>
      <c r="AI151" s="56" t="s">
        <v>3354</v>
      </c>
      <c r="AJ151" s="44">
        <v>2024</v>
      </c>
      <c r="AL151" s="2"/>
    </row>
    <row r="152" spans="1:38" ht="65" x14ac:dyDescent="0.35">
      <c r="A152" s="43" t="s">
        <v>306</v>
      </c>
      <c r="B152" s="2" t="s">
        <v>298</v>
      </c>
      <c r="C152" s="26" t="s">
        <v>27</v>
      </c>
      <c r="D152" s="27" t="s">
        <v>3355</v>
      </c>
      <c r="E152" s="26" t="s">
        <v>312</v>
      </c>
      <c r="F152" s="66" t="s">
        <v>3356</v>
      </c>
      <c r="G152" s="65">
        <v>45328</v>
      </c>
      <c r="H152" s="26" t="s">
        <v>150</v>
      </c>
      <c r="I152" s="67" t="s">
        <v>3357</v>
      </c>
      <c r="J152" s="47" t="s">
        <v>89</v>
      </c>
      <c r="K152" s="68" t="s">
        <v>84</v>
      </c>
      <c r="L152" s="26" t="s">
        <v>3358</v>
      </c>
      <c r="M152" s="2" t="s">
        <v>3359</v>
      </c>
      <c r="N152" s="145">
        <v>245806496</v>
      </c>
      <c r="O152" s="143">
        <v>46703234</v>
      </c>
      <c r="P152" s="29">
        <v>292509730</v>
      </c>
      <c r="Q152" s="70" t="s">
        <v>301</v>
      </c>
      <c r="R152" s="3">
        <f>44030000+166600000</f>
        <v>210630000</v>
      </c>
      <c r="S152" s="28">
        <f>+Tabla15133[[#This Row],[VALOR TOTAL DEL CONTRATO
(en pesos)
CON IVA
(inicial)]]+Tabla15133[[#This Row],[VALOR DE LAS ADICIONES
(en pesos)
CON IVA]]</f>
        <v>503139730</v>
      </c>
      <c r="T152" s="37">
        <v>326</v>
      </c>
      <c r="U152" s="70" t="s">
        <v>301</v>
      </c>
      <c r="V152" s="101">
        <f>+Tabla15133[[#This Row],[FECHA TERMINACIÓN DEL CONTRATO
(inicial + prórroga)]]-Tabla15133[[#This Row],[FECHA TERMINACIÓN DEL CONTRATO
(inicial)]]</f>
        <v>151</v>
      </c>
      <c r="W152" s="117" t="s">
        <v>302</v>
      </c>
      <c r="X152" s="117"/>
      <c r="Y152" s="65">
        <v>45331</v>
      </c>
      <c r="Z152" s="65">
        <v>45657</v>
      </c>
      <c r="AA152" s="144">
        <v>45808</v>
      </c>
      <c r="AB152" s="64" t="s">
        <v>323</v>
      </c>
      <c r="AC152" s="71">
        <v>45926</v>
      </c>
      <c r="AD152" s="70" t="s">
        <v>321</v>
      </c>
      <c r="AE152" s="30">
        <v>1</v>
      </c>
      <c r="AF152" s="30">
        <v>0.99719999999999998</v>
      </c>
      <c r="AG152" s="31">
        <v>501654943</v>
      </c>
      <c r="AH152" s="154" t="s">
        <v>3360</v>
      </c>
      <c r="AI152" s="56" t="s">
        <v>3361</v>
      </c>
      <c r="AJ152" s="44">
        <v>2024</v>
      </c>
      <c r="AL152" s="2"/>
    </row>
    <row r="153" spans="1:38" ht="43.5" x14ac:dyDescent="0.35">
      <c r="A153" s="43" t="s">
        <v>306</v>
      </c>
      <c r="B153" s="2" t="s">
        <v>322</v>
      </c>
      <c r="C153" s="26" t="s">
        <v>74</v>
      </c>
      <c r="D153" s="27">
        <v>6161</v>
      </c>
      <c r="E153" s="2" t="s">
        <v>300</v>
      </c>
      <c r="F153" s="66" t="s">
        <v>3362</v>
      </c>
      <c r="G153" s="65">
        <v>45329</v>
      </c>
      <c r="H153" s="26" t="s">
        <v>150</v>
      </c>
      <c r="I153" s="67" t="s">
        <v>3363</v>
      </c>
      <c r="J153" s="47" t="s">
        <v>89</v>
      </c>
      <c r="K153" s="68" t="s">
        <v>84</v>
      </c>
      <c r="L153" s="26" t="s">
        <v>1614</v>
      </c>
      <c r="M153" s="2" t="s">
        <v>368</v>
      </c>
      <c r="N153" s="145">
        <v>20000000</v>
      </c>
      <c r="O153" s="143">
        <v>3800000</v>
      </c>
      <c r="P153" s="29">
        <v>23800000</v>
      </c>
      <c r="Q153" s="70" t="s">
        <v>302</v>
      </c>
      <c r="R153" s="3"/>
      <c r="S153" s="28">
        <f>+Tabla15133[[#This Row],[VALOR TOTAL DEL CONTRATO
(en pesos)
CON IVA
(inicial)]]+Tabla15133[[#This Row],[VALOR DE LAS ADICIONES
(en pesos)
CON IVA]]</f>
        <v>23800000</v>
      </c>
      <c r="T153" s="37">
        <v>328</v>
      </c>
      <c r="U153" s="70" t="s">
        <v>302</v>
      </c>
      <c r="V153" s="101"/>
      <c r="W153" s="70" t="s">
        <v>302</v>
      </c>
      <c r="X153" s="70"/>
      <c r="Y153" s="65">
        <v>45329</v>
      </c>
      <c r="Z153" s="65">
        <v>45657</v>
      </c>
      <c r="AA153" s="144">
        <v>45657</v>
      </c>
      <c r="AB153" s="64" t="s">
        <v>323</v>
      </c>
      <c r="AC153" s="71">
        <v>45716</v>
      </c>
      <c r="AD153" s="71" t="s">
        <v>321</v>
      </c>
      <c r="AE153" s="30">
        <v>1</v>
      </c>
      <c r="AF153" s="30">
        <v>8.5999999999999993E-2</v>
      </c>
      <c r="AG153" s="31">
        <v>2046800</v>
      </c>
      <c r="AH153" s="154"/>
      <c r="AI153" s="56" t="s">
        <v>3364</v>
      </c>
      <c r="AJ153" s="44">
        <v>2024</v>
      </c>
      <c r="AL153" s="2"/>
    </row>
    <row r="154" spans="1:38" ht="43.5" x14ac:dyDescent="0.35">
      <c r="A154" s="43" t="s">
        <v>306</v>
      </c>
      <c r="B154" s="2" t="s">
        <v>322</v>
      </c>
      <c r="C154" s="26" t="s">
        <v>74</v>
      </c>
      <c r="D154" s="27">
        <v>6159</v>
      </c>
      <c r="E154" s="2" t="s">
        <v>300</v>
      </c>
      <c r="F154" s="66" t="s">
        <v>3365</v>
      </c>
      <c r="G154" s="65">
        <v>45329</v>
      </c>
      <c r="H154" s="26" t="s">
        <v>150</v>
      </c>
      <c r="I154" s="67" t="s">
        <v>3366</v>
      </c>
      <c r="J154" s="47" t="s">
        <v>89</v>
      </c>
      <c r="K154" s="68" t="s">
        <v>84</v>
      </c>
      <c r="L154" s="26" t="s">
        <v>1495</v>
      </c>
      <c r="M154" s="2" t="s">
        <v>369</v>
      </c>
      <c r="N154" s="145">
        <v>340000000</v>
      </c>
      <c r="O154" s="143">
        <v>64600000</v>
      </c>
      <c r="P154" s="29">
        <v>404600000</v>
      </c>
      <c r="Q154" s="70" t="s">
        <v>302</v>
      </c>
      <c r="R154" s="3"/>
      <c r="S154" s="28">
        <f>+Tabla15133[[#This Row],[VALOR TOTAL DEL CONTRATO
(en pesos)
CON IVA
(inicial)]]+Tabla15133[[#This Row],[VALOR DE LAS ADICIONES
(en pesos)
CON IVA]]</f>
        <v>404600000</v>
      </c>
      <c r="T154" s="37">
        <v>309</v>
      </c>
      <c r="U154" s="70" t="s">
        <v>302</v>
      </c>
      <c r="V154" s="101"/>
      <c r="W154" s="70" t="s">
        <v>302</v>
      </c>
      <c r="X154" s="70"/>
      <c r="Y154" s="65">
        <v>45348</v>
      </c>
      <c r="Z154" s="65">
        <v>45657</v>
      </c>
      <c r="AA154" s="144">
        <v>45657</v>
      </c>
      <c r="AB154" s="64" t="s">
        <v>323</v>
      </c>
      <c r="AC154" s="71">
        <v>45716</v>
      </c>
      <c r="AD154" s="71" t="s">
        <v>321</v>
      </c>
      <c r="AE154" s="30">
        <v>1</v>
      </c>
      <c r="AF154" s="30">
        <v>0.56000000000000005</v>
      </c>
      <c r="AG154" s="31">
        <v>225854577.52000001</v>
      </c>
      <c r="AH154" s="154"/>
      <c r="AI154" s="56" t="s">
        <v>3367</v>
      </c>
      <c r="AJ154" s="44">
        <v>2024</v>
      </c>
      <c r="AL154" s="2"/>
    </row>
    <row r="155" spans="1:38" ht="43.5" x14ac:dyDescent="0.35">
      <c r="A155" s="43" t="s">
        <v>306</v>
      </c>
      <c r="B155" s="2" t="s">
        <v>11</v>
      </c>
      <c r="C155" s="26" t="s">
        <v>20</v>
      </c>
      <c r="D155" s="27" t="s">
        <v>3368</v>
      </c>
      <c r="E155" s="2" t="s">
        <v>300</v>
      </c>
      <c r="F155" s="66" t="s">
        <v>3369</v>
      </c>
      <c r="G155" s="65">
        <v>45329</v>
      </c>
      <c r="H155" s="26" t="s">
        <v>150</v>
      </c>
      <c r="I155" s="67" t="s">
        <v>3370</v>
      </c>
      <c r="J155" s="47" t="s">
        <v>89</v>
      </c>
      <c r="K155" s="68" t="s">
        <v>84</v>
      </c>
      <c r="L155" s="26" t="s">
        <v>1496</v>
      </c>
      <c r="M155" s="2" t="s">
        <v>370</v>
      </c>
      <c r="N155" s="28">
        <v>54621849</v>
      </c>
      <c r="O155" s="28">
        <v>10378151</v>
      </c>
      <c r="P155" s="36">
        <v>65000000</v>
      </c>
      <c r="Q155" s="70" t="s">
        <v>302</v>
      </c>
      <c r="R155" s="3"/>
      <c r="S155" s="28">
        <f>+Tabla15133[[#This Row],[VALOR TOTAL DEL CONTRATO
(en pesos)
CON IVA
(inicial)]]+Tabla15133[[#This Row],[VALOR DE LAS ADICIONES
(en pesos)
CON IVA]]</f>
        <v>65000000</v>
      </c>
      <c r="T155" s="37">
        <v>327</v>
      </c>
      <c r="U155" s="70" t="s">
        <v>302</v>
      </c>
      <c r="V155" s="101"/>
      <c r="W155" s="70" t="s">
        <v>302</v>
      </c>
      <c r="X155" s="70"/>
      <c r="Y155" s="65">
        <v>45330</v>
      </c>
      <c r="Z155" s="65">
        <v>45657</v>
      </c>
      <c r="AA155" s="144">
        <v>45657</v>
      </c>
      <c r="AB155" s="64" t="s">
        <v>323</v>
      </c>
      <c r="AC155" s="71">
        <v>45695</v>
      </c>
      <c r="AD155" s="71" t="s">
        <v>321</v>
      </c>
      <c r="AE155" s="30">
        <v>1</v>
      </c>
      <c r="AF155" s="30">
        <v>0.99</v>
      </c>
      <c r="AG155" s="31">
        <v>64617000</v>
      </c>
      <c r="AH155" s="154"/>
      <c r="AI155" s="56" t="s">
        <v>3371</v>
      </c>
      <c r="AJ155" s="44">
        <v>2024</v>
      </c>
      <c r="AL155" s="2"/>
    </row>
    <row r="156" spans="1:38" ht="43.5" x14ac:dyDescent="0.35">
      <c r="A156" s="43" t="s">
        <v>306</v>
      </c>
      <c r="B156" s="2" t="s">
        <v>11</v>
      </c>
      <c r="C156" s="26" t="s">
        <v>335</v>
      </c>
      <c r="D156" s="27">
        <v>6186</v>
      </c>
      <c r="E156" s="2" t="s">
        <v>300</v>
      </c>
      <c r="F156" s="66" t="s">
        <v>3372</v>
      </c>
      <c r="G156" s="65">
        <v>45330</v>
      </c>
      <c r="H156" s="2" t="s">
        <v>119</v>
      </c>
      <c r="I156" s="67" t="s">
        <v>3373</v>
      </c>
      <c r="J156" s="47" t="s">
        <v>89</v>
      </c>
      <c r="K156" s="68" t="s">
        <v>84</v>
      </c>
      <c r="L156" s="26" t="s">
        <v>3374</v>
      </c>
      <c r="M156" s="2" t="s">
        <v>3375</v>
      </c>
      <c r="N156" s="28">
        <v>90000000</v>
      </c>
      <c r="O156" s="28">
        <v>17100000</v>
      </c>
      <c r="P156" s="36">
        <v>107100000</v>
      </c>
      <c r="Q156" s="70" t="s">
        <v>302</v>
      </c>
      <c r="R156" s="3"/>
      <c r="S156" s="28">
        <f>+Tabla15133[[#This Row],[VALOR TOTAL DEL CONTRATO
(en pesos)
CON IVA
(inicial)]]+Tabla15133[[#This Row],[VALOR DE LAS ADICIONES
(en pesos)
CON IVA]]</f>
        <v>107100000</v>
      </c>
      <c r="T156" s="37">
        <v>327</v>
      </c>
      <c r="U156" s="70" t="s">
        <v>302</v>
      </c>
      <c r="V156" s="101"/>
      <c r="W156" s="70" t="s">
        <v>302</v>
      </c>
      <c r="X156" s="70"/>
      <c r="Y156" s="65">
        <v>45330</v>
      </c>
      <c r="Z156" s="65">
        <v>45657</v>
      </c>
      <c r="AA156" s="144">
        <v>45657</v>
      </c>
      <c r="AB156" s="64" t="s">
        <v>323</v>
      </c>
      <c r="AC156" s="71">
        <v>45747</v>
      </c>
      <c r="AD156" s="71" t="s">
        <v>321</v>
      </c>
      <c r="AE156" s="30">
        <v>1</v>
      </c>
      <c r="AF156" s="30">
        <v>1</v>
      </c>
      <c r="AG156" s="31">
        <v>107100000</v>
      </c>
      <c r="AH156" s="154"/>
      <c r="AI156" s="56" t="s">
        <v>3376</v>
      </c>
      <c r="AJ156" s="44">
        <v>2024</v>
      </c>
      <c r="AL156" s="2"/>
    </row>
    <row r="157" spans="1:38" ht="58" x14ac:dyDescent="0.35">
      <c r="A157" s="43" t="s">
        <v>306</v>
      </c>
      <c r="B157" s="2" t="s">
        <v>322</v>
      </c>
      <c r="C157" s="26" t="s">
        <v>69</v>
      </c>
      <c r="D157" s="27">
        <v>6003</v>
      </c>
      <c r="E157" s="2" t="s">
        <v>300</v>
      </c>
      <c r="F157" s="66" t="s">
        <v>3377</v>
      </c>
      <c r="G157" s="65">
        <v>45335</v>
      </c>
      <c r="H157" s="26" t="s">
        <v>150</v>
      </c>
      <c r="I157" s="67" t="s">
        <v>3378</v>
      </c>
      <c r="J157" s="47" t="s">
        <v>89</v>
      </c>
      <c r="K157" s="68" t="s">
        <v>84</v>
      </c>
      <c r="L157" s="26" t="s">
        <v>3379</v>
      </c>
      <c r="M157" s="2" t="s">
        <v>3380</v>
      </c>
      <c r="N157" s="28">
        <v>58000000</v>
      </c>
      <c r="O157" s="28">
        <v>11020000</v>
      </c>
      <c r="P157" s="36">
        <v>69020000</v>
      </c>
      <c r="Q157" s="70" t="s">
        <v>302</v>
      </c>
      <c r="R157" s="3"/>
      <c r="S157" s="28">
        <f>+Tabla15133[[#This Row],[VALOR TOTAL DEL CONTRATO
(en pesos)
CON IVA
(inicial)]]+Tabla15133[[#This Row],[VALOR DE LAS ADICIONES
(en pesos)
CON IVA]]</f>
        <v>69020000</v>
      </c>
      <c r="T157" s="37">
        <v>322</v>
      </c>
      <c r="U157" s="70" t="s">
        <v>302</v>
      </c>
      <c r="V157" s="101"/>
      <c r="W157" s="70" t="s">
        <v>302</v>
      </c>
      <c r="X157" s="70"/>
      <c r="Y157" s="65">
        <v>45337</v>
      </c>
      <c r="Z157" s="65">
        <v>45657</v>
      </c>
      <c r="AA157" s="144">
        <v>45657</v>
      </c>
      <c r="AB157" s="64" t="s">
        <v>323</v>
      </c>
      <c r="AC157" s="71">
        <v>45716</v>
      </c>
      <c r="AD157" s="71" t="s">
        <v>321</v>
      </c>
      <c r="AE157" s="30">
        <v>1</v>
      </c>
      <c r="AF157" s="55">
        <f>+Tabla15133[[#This Row],[VALOR PAGADO (en pesos)
A 31 DICIEMBRE 2025]]/Tabla15133[[#This Row],[VALOR TOTAL CONTRATO CON IVA (VALOR INICIAL + ADICIONES) ]]</f>
        <v>0.15623025210084035</v>
      </c>
      <c r="AG157" s="31">
        <v>10783012</v>
      </c>
      <c r="AH157" s="154"/>
      <c r="AI157" s="56" t="s">
        <v>3381</v>
      </c>
      <c r="AJ157" s="44">
        <v>2024</v>
      </c>
      <c r="AL157" s="2"/>
    </row>
    <row r="158" spans="1:38" ht="58" x14ac:dyDescent="0.35">
      <c r="A158" s="43" t="s">
        <v>306</v>
      </c>
      <c r="B158" s="2" t="s">
        <v>31</v>
      </c>
      <c r="C158" s="26" t="s">
        <v>36</v>
      </c>
      <c r="D158" s="27">
        <v>6160</v>
      </c>
      <c r="E158" s="2" t="s">
        <v>300</v>
      </c>
      <c r="F158" s="74" t="s">
        <v>3382</v>
      </c>
      <c r="G158" s="65">
        <v>45356</v>
      </c>
      <c r="H158" s="26" t="s">
        <v>150</v>
      </c>
      <c r="I158" s="67" t="s">
        <v>3383</v>
      </c>
      <c r="J158" s="47" t="s">
        <v>89</v>
      </c>
      <c r="K158" s="68" t="s">
        <v>84</v>
      </c>
      <c r="L158" s="26" t="s">
        <v>3384</v>
      </c>
      <c r="M158" s="2" t="s">
        <v>3385</v>
      </c>
      <c r="N158" s="28">
        <v>42051600</v>
      </c>
      <c r="O158" s="28">
        <v>7989804</v>
      </c>
      <c r="P158" s="36">
        <v>50041404</v>
      </c>
      <c r="Q158" s="70" t="s">
        <v>302</v>
      </c>
      <c r="R158" s="3"/>
      <c r="S158" s="28">
        <f>+Tabla15133[[#This Row],[VALOR TOTAL DEL CONTRATO
(en pesos)
CON IVA
(inicial)]]+Tabla15133[[#This Row],[VALOR DE LAS ADICIONES
(en pesos)
CON IVA]]</f>
        <v>50041404</v>
      </c>
      <c r="T158" s="37">
        <v>1094</v>
      </c>
      <c r="U158" s="70" t="s">
        <v>302</v>
      </c>
      <c r="V158" s="101"/>
      <c r="W158" s="70" t="s">
        <v>302</v>
      </c>
      <c r="X158" s="70"/>
      <c r="Y158" s="65">
        <v>45411</v>
      </c>
      <c r="Z158" s="65">
        <v>46505</v>
      </c>
      <c r="AA158" s="144">
        <v>46505</v>
      </c>
      <c r="AB158" s="64" t="s">
        <v>303</v>
      </c>
      <c r="AC158" s="71"/>
      <c r="AD158" s="70"/>
      <c r="AE158" s="30">
        <v>0.27800000000000002</v>
      </c>
      <c r="AF158" s="30">
        <v>8.6999999999999994E-2</v>
      </c>
      <c r="AG158" s="31">
        <v>4344990</v>
      </c>
      <c r="AH158" s="154"/>
      <c r="AI158" s="56" t="s">
        <v>3386</v>
      </c>
      <c r="AJ158" s="44">
        <v>2024</v>
      </c>
      <c r="AL158" s="2"/>
    </row>
    <row r="159" spans="1:38" ht="43.5" x14ac:dyDescent="0.35">
      <c r="A159" s="43" t="s">
        <v>306</v>
      </c>
      <c r="B159" s="2" t="s">
        <v>322</v>
      </c>
      <c r="C159" s="26" t="s">
        <v>72</v>
      </c>
      <c r="D159" s="27">
        <v>6201</v>
      </c>
      <c r="E159" s="2" t="s">
        <v>300</v>
      </c>
      <c r="F159" s="66" t="s">
        <v>3387</v>
      </c>
      <c r="G159" s="65">
        <v>45336</v>
      </c>
      <c r="H159" s="26" t="s">
        <v>150</v>
      </c>
      <c r="I159" s="67" t="s">
        <v>3388</v>
      </c>
      <c r="J159" s="47" t="s">
        <v>89</v>
      </c>
      <c r="K159" s="68" t="s">
        <v>84</v>
      </c>
      <c r="L159" s="26" t="s">
        <v>1480</v>
      </c>
      <c r="M159" s="2" t="s">
        <v>371</v>
      </c>
      <c r="N159" s="145">
        <v>1253781</v>
      </c>
      <c r="O159" s="143">
        <v>238218</v>
      </c>
      <c r="P159" s="29">
        <v>1491999</v>
      </c>
      <c r="Q159" s="70" t="s">
        <v>302</v>
      </c>
      <c r="R159" s="3"/>
      <c r="S159" s="28">
        <f>+Tabla15133[[#This Row],[VALOR TOTAL DEL CONTRATO
(en pesos)
CON IVA
(inicial)]]+Tabla15133[[#This Row],[VALOR DE LAS ADICIONES
(en pesos)
CON IVA]]</f>
        <v>1491999</v>
      </c>
      <c r="T159" s="37">
        <v>365</v>
      </c>
      <c r="U159" s="70" t="s">
        <v>302</v>
      </c>
      <c r="V159" s="101"/>
      <c r="W159" s="70" t="s">
        <v>302</v>
      </c>
      <c r="X159" s="70"/>
      <c r="Y159" s="65">
        <v>45336</v>
      </c>
      <c r="Z159" s="65">
        <v>45701</v>
      </c>
      <c r="AA159" s="144">
        <v>45701</v>
      </c>
      <c r="AB159" s="64" t="s">
        <v>320</v>
      </c>
      <c r="AC159" s="71"/>
      <c r="AD159" s="70" t="s">
        <v>321</v>
      </c>
      <c r="AE159" s="30">
        <v>1</v>
      </c>
      <c r="AF159" s="30">
        <v>1</v>
      </c>
      <c r="AG159" s="31">
        <v>1491999</v>
      </c>
      <c r="AH159" s="154"/>
      <c r="AI159" s="56" t="s">
        <v>3389</v>
      </c>
      <c r="AJ159" s="44">
        <v>2024</v>
      </c>
      <c r="AL159" s="2"/>
    </row>
    <row r="160" spans="1:38" ht="29" x14ac:dyDescent="0.35">
      <c r="A160" s="43" t="s">
        <v>306</v>
      </c>
      <c r="B160" s="2" t="s">
        <v>11</v>
      </c>
      <c r="C160" s="26" t="s">
        <v>19</v>
      </c>
      <c r="D160" s="27">
        <v>6209</v>
      </c>
      <c r="E160" s="2" t="s">
        <v>365</v>
      </c>
      <c r="F160" s="66" t="s">
        <v>3390</v>
      </c>
      <c r="G160" s="65">
        <v>45351</v>
      </c>
      <c r="H160" s="26" t="s">
        <v>150</v>
      </c>
      <c r="I160" s="67" t="s">
        <v>3391</v>
      </c>
      <c r="J160" s="47" t="s">
        <v>89</v>
      </c>
      <c r="K160" s="68" t="s">
        <v>84</v>
      </c>
      <c r="L160" s="26" t="s">
        <v>3392</v>
      </c>
      <c r="M160" s="2" t="s">
        <v>3393</v>
      </c>
      <c r="N160" s="28">
        <v>1125126</v>
      </c>
      <c r="O160" s="28">
        <v>213774</v>
      </c>
      <c r="P160" s="36">
        <v>1338900</v>
      </c>
      <c r="Q160" s="70" t="s">
        <v>302</v>
      </c>
      <c r="R160" s="3"/>
      <c r="S160" s="28">
        <f>+Tabla15133[[#This Row],[VALOR TOTAL DEL CONTRATO
(en pesos)
CON IVA
(inicial)]]+Tabla15133[[#This Row],[VALOR DE LAS ADICIONES
(en pesos)
CON IVA]]</f>
        <v>1338900</v>
      </c>
      <c r="T160" s="37">
        <v>730</v>
      </c>
      <c r="U160" s="70" t="s">
        <v>302</v>
      </c>
      <c r="V160" s="101"/>
      <c r="W160" s="70" t="s">
        <v>302</v>
      </c>
      <c r="X160" s="70"/>
      <c r="Y160" s="65">
        <v>45351</v>
      </c>
      <c r="Z160" s="65">
        <v>46081</v>
      </c>
      <c r="AA160" s="144">
        <v>46081</v>
      </c>
      <c r="AB160" s="64" t="s">
        <v>303</v>
      </c>
      <c r="AC160" s="71"/>
      <c r="AD160" s="70"/>
      <c r="AE160" s="30">
        <v>0.89</v>
      </c>
      <c r="AF160" s="30">
        <v>1</v>
      </c>
      <c r="AG160" s="31">
        <v>1338900</v>
      </c>
      <c r="AH160" s="154"/>
      <c r="AI160" s="56" t="s">
        <v>3394</v>
      </c>
      <c r="AJ160" s="44">
        <v>2024</v>
      </c>
      <c r="AL160" s="2"/>
    </row>
    <row r="161" spans="1:38" ht="29" x14ac:dyDescent="0.35">
      <c r="A161" s="43" t="s">
        <v>306</v>
      </c>
      <c r="B161" s="2" t="s">
        <v>4</v>
      </c>
      <c r="C161" s="26" t="s">
        <v>352</v>
      </c>
      <c r="D161" s="27">
        <v>6174</v>
      </c>
      <c r="E161" s="2" t="s">
        <v>300</v>
      </c>
      <c r="F161" s="66" t="s">
        <v>3395</v>
      </c>
      <c r="G161" s="65">
        <v>45366</v>
      </c>
      <c r="H161" s="26" t="s">
        <v>150</v>
      </c>
      <c r="I161" s="67" t="s">
        <v>3396</v>
      </c>
      <c r="J161" s="47" t="s">
        <v>89</v>
      </c>
      <c r="K161" s="68" t="s">
        <v>84</v>
      </c>
      <c r="L161" s="26" t="s">
        <v>3397</v>
      </c>
      <c r="M161" s="2" t="s">
        <v>3398</v>
      </c>
      <c r="N161" s="28">
        <v>35500000</v>
      </c>
      <c r="O161" s="28">
        <v>6745000</v>
      </c>
      <c r="P161" s="36">
        <v>42245000</v>
      </c>
      <c r="Q161" s="70" t="s">
        <v>302</v>
      </c>
      <c r="R161" s="3"/>
      <c r="S161" s="28">
        <f>+Tabla15133[[#This Row],[VALOR TOTAL DEL CONTRATO
(en pesos)
CON IVA
(inicial)]]+Tabla15133[[#This Row],[VALOR DE LAS ADICIONES
(en pesos)
CON IVA]]</f>
        <v>42245000</v>
      </c>
      <c r="T161" s="37">
        <v>182</v>
      </c>
      <c r="U161" s="70" t="s">
        <v>302</v>
      </c>
      <c r="V161" s="101"/>
      <c r="W161" s="70" t="s">
        <v>302</v>
      </c>
      <c r="X161" s="70"/>
      <c r="Y161" s="65">
        <v>45385</v>
      </c>
      <c r="Z161" s="65">
        <v>45567</v>
      </c>
      <c r="AA161" s="144">
        <v>45567</v>
      </c>
      <c r="AB161" s="64" t="s">
        <v>323</v>
      </c>
      <c r="AC161" s="71">
        <v>45728</v>
      </c>
      <c r="AD161" s="71" t="s">
        <v>321</v>
      </c>
      <c r="AE161" s="30">
        <v>1</v>
      </c>
      <c r="AF161" s="30">
        <v>1</v>
      </c>
      <c r="AG161" s="31">
        <v>42245000</v>
      </c>
      <c r="AH161" s="154"/>
      <c r="AI161" s="56" t="s">
        <v>3399</v>
      </c>
      <c r="AJ161" s="44">
        <v>2024</v>
      </c>
      <c r="AL161" s="2"/>
    </row>
    <row r="162" spans="1:38" ht="43.5" x14ac:dyDescent="0.35">
      <c r="A162" s="43" t="s">
        <v>306</v>
      </c>
      <c r="B162" s="2" t="s">
        <v>11</v>
      </c>
      <c r="C162" s="26" t="s">
        <v>12</v>
      </c>
      <c r="D162" s="27" t="s">
        <v>3400</v>
      </c>
      <c r="E162" s="2" t="s">
        <v>300</v>
      </c>
      <c r="F162" s="66" t="s">
        <v>3401</v>
      </c>
      <c r="G162" s="65">
        <v>45365</v>
      </c>
      <c r="H162" s="26" t="s">
        <v>150</v>
      </c>
      <c r="I162" s="67" t="s">
        <v>3402</v>
      </c>
      <c r="J162" s="47" t="s">
        <v>89</v>
      </c>
      <c r="K162" s="68" t="s">
        <v>84</v>
      </c>
      <c r="L162" s="26" t="s">
        <v>1468</v>
      </c>
      <c r="M162" s="2" t="s">
        <v>3403</v>
      </c>
      <c r="N162" s="143">
        <v>507700000</v>
      </c>
      <c r="O162" s="143">
        <v>96463000</v>
      </c>
      <c r="P162" s="36">
        <v>604163000</v>
      </c>
      <c r="Q162" s="70" t="s">
        <v>301</v>
      </c>
      <c r="R162" s="3">
        <v>283220000</v>
      </c>
      <c r="S162" s="28">
        <f>+Tabla15133[[#This Row],[VALOR TOTAL DEL CONTRATO
(en pesos)
CON IVA
(inicial)]]+Tabla15133[[#This Row],[VALOR DE LAS ADICIONES
(en pesos)
CON IVA]]</f>
        <v>887383000</v>
      </c>
      <c r="T162" s="37">
        <v>257</v>
      </c>
      <c r="U162" s="70" t="s">
        <v>302</v>
      </c>
      <c r="V162" s="101"/>
      <c r="W162" s="70" t="s">
        <v>302</v>
      </c>
      <c r="X162" s="70"/>
      <c r="Y162" s="65">
        <v>45400</v>
      </c>
      <c r="Z162" s="65">
        <v>45657</v>
      </c>
      <c r="AA162" s="144">
        <v>45657</v>
      </c>
      <c r="AB162" s="64" t="s">
        <v>323</v>
      </c>
      <c r="AC162" s="71">
        <v>45731</v>
      </c>
      <c r="AD162" s="71" t="s">
        <v>321</v>
      </c>
      <c r="AE162" s="30">
        <v>1</v>
      </c>
      <c r="AF162" s="55">
        <v>0.93</v>
      </c>
      <c r="AG162" s="31">
        <v>823802294</v>
      </c>
      <c r="AH162" s="154" t="s">
        <v>3404</v>
      </c>
      <c r="AI162" s="56" t="s">
        <v>3405</v>
      </c>
      <c r="AJ162" s="44">
        <v>2024</v>
      </c>
      <c r="AL162" s="2"/>
    </row>
    <row r="163" spans="1:38" ht="58" x14ac:dyDescent="0.35">
      <c r="A163" s="43" t="s">
        <v>306</v>
      </c>
      <c r="B163" s="2" t="s">
        <v>31</v>
      </c>
      <c r="C163" s="26" t="s">
        <v>36</v>
      </c>
      <c r="D163" s="27" t="s">
        <v>3406</v>
      </c>
      <c r="E163" s="26" t="s">
        <v>312</v>
      </c>
      <c r="F163" s="74" t="s">
        <v>3407</v>
      </c>
      <c r="G163" s="65">
        <v>45366</v>
      </c>
      <c r="H163" s="26" t="s">
        <v>150</v>
      </c>
      <c r="I163" s="67" t="s">
        <v>3408</v>
      </c>
      <c r="J163" s="47" t="s">
        <v>89</v>
      </c>
      <c r="K163" s="68" t="s">
        <v>84</v>
      </c>
      <c r="L163" s="26" t="s">
        <v>3409</v>
      </c>
      <c r="M163" s="2" t="s">
        <v>3410</v>
      </c>
      <c r="N163" s="28">
        <v>247675507.56</v>
      </c>
      <c r="O163" s="28">
        <v>47058346.436400004</v>
      </c>
      <c r="P163" s="36">
        <v>294733854</v>
      </c>
      <c r="Q163" s="70" t="s">
        <v>301</v>
      </c>
      <c r="R163" s="3">
        <v>43232700</v>
      </c>
      <c r="S163" s="28">
        <f>+Tabla15133[[#This Row],[VALOR TOTAL DEL CONTRATO
(en pesos)
CON IVA
(inicial)]]+Tabla15133[[#This Row],[VALOR DE LAS ADICIONES
(en pesos)
CON IVA]]</f>
        <v>337966554</v>
      </c>
      <c r="T163" s="37">
        <v>1094</v>
      </c>
      <c r="U163" s="70" t="s">
        <v>302</v>
      </c>
      <c r="V163" s="101"/>
      <c r="W163" s="70" t="s">
        <v>302</v>
      </c>
      <c r="X163" s="70"/>
      <c r="Y163" s="65">
        <v>45407</v>
      </c>
      <c r="Z163" s="65">
        <v>46501</v>
      </c>
      <c r="AA163" s="144">
        <v>46501</v>
      </c>
      <c r="AB163" s="64" t="s">
        <v>303</v>
      </c>
      <c r="AC163" s="71"/>
      <c r="AD163" s="70"/>
      <c r="AE163" s="30">
        <v>0.55559999999999998</v>
      </c>
      <c r="AF163" s="30">
        <v>0.7</v>
      </c>
      <c r="AG163" s="31">
        <v>235528455</v>
      </c>
      <c r="AH163" s="154" t="s">
        <v>3411</v>
      </c>
      <c r="AI163" s="56" t="s">
        <v>3412</v>
      </c>
      <c r="AJ163" s="44">
        <v>2024</v>
      </c>
      <c r="AL163" s="2"/>
    </row>
    <row r="164" spans="1:38" ht="58" x14ac:dyDescent="0.35">
      <c r="A164" s="43" t="s">
        <v>306</v>
      </c>
      <c r="B164" s="2" t="s">
        <v>11</v>
      </c>
      <c r="C164" s="26" t="s">
        <v>12</v>
      </c>
      <c r="D164" s="27">
        <v>6173</v>
      </c>
      <c r="E164" s="2" t="s">
        <v>300</v>
      </c>
      <c r="F164" s="66" t="s">
        <v>3413</v>
      </c>
      <c r="G164" s="65">
        <v>45369</v>
      </c>
      <c r="H164" s="26" t="s">
        <v>160</v>
      </c>
      <c r="I164" s="67" t="s">
        <v>3414</v>
      </c>
      <c r="J164" s="47" t="s">
        <v>89</v>
      </c>
      <c r="K164" s="68" t="s">
        <v>84</v>
      </c>
      <c r="L164" s="26" t="s">
        <v>3415</v>
      </c>
      <c r="M164" s="2" t="s">
        <v>3416</v>
      </c>
      <c r="N164" s="36">
        <v>1605906000</v>
      </c>
      <c r="O164" s="143">
        <v>0</v>
      </c>
      <c r="P164" s="36">
        <v>1605906000</v>
      </c>
      <c r="Q164" s="70" t="s">
        <v>302</v>
      </c>
      <c r="R164" s="3"/>
      <c r="S164" s="28">
        <f>+Tabla15133[[#This Row],[VALOR TOTAL DEL CONTRATO
(en pesos)
CON IVA
(inicial)]]+Tabla15133[[#This Row],[VALOR DE LAS ADICIONES
(en pesos)
CON IVA]]</f>
        <v>1605906000</v>
      </c>
      <c r="T164" s="37">
        <v>1096</v>
      </c>
      <c r="U164" s="70" t="s">
        <v>302</v>
      </c>
      <c r="V164" s="101"/>
      <c r="W164" s="70" t="s">
        <v>302</v>
      </c>
      <c r="X164" s="70"/>
      <c r="Y164" s="65">
        <v>45407</v>
      </c>
      <c r="Z164" s="65">
        <v>46503</v>
      </c>
      <c r="AA164" s="144">
        <v>46503</v>
      </c>
      <c r="AB164" s="64" t="s">
        <v>303</v>
      </c>
      <c r="AC164" s="71"/>
      <c r="AD164" s="70"/>
      <c r="AE164" s="30">
        <v>0.56000000000000005</v>
      </c>
      <c r="AF164" s="30">
        <v>0</v>
      </c>
      <c r="AG164" s="31">
        <v>0</v>
      </c>
      <c r="AH164" s="154" t="s">
        <v>3417</v>
      </c>
      <c r="AI164" s="56" t="s">
        <v>3418</v>
      </c>
      <c r="AJ164" s="44">
        <v>2024</v>
      </c>
      <c r="AL164" s="2"/>
    </row>
    <row r="165" spans="1:38" ht="43.5" x14ac:dyDescent="0.35">
      <c r="A165" s="43" t="s">
        <v>306</v>
      </c>
      <c r="B165" s="2" t="s">
        <v>11</v>
      </c>
      <c r="C165" s="26" t="s">
        <v>20</v>
      </c>
      <c r="D165" s="27">
        <v>6214</v>
      </c>
      <c r="E165" s="2" t="s">
        <v>300</v>
      </c>
      <c r="F165" s="66" t="s">
        <v>3419</v>
      </c>
      <c r="G165" s="65">
        <v>45369</v>
      </c>
      <c r="H165" s="26" t="s">
        <v>150</v>
      </c>
      <c r="I165" s="67" t="s">
        <v>3420</v>
      </c>
      <c r="J165" s="47" t="s">
        <v>89</v>
      </c>
      <c r="K165" s="68" t="s">
        <v>84</v>
      </c>
      <c r="L165" s="26" t="s">
        <v>1481</v>
      </c>
      <c r="M165" s="2" t="s">
        <v>374</v>
      </c>
      <c r="N165" s="28">
        <v>123731100</v>
      </c>
      <c r="O165" s="28">
        <v>23508909</v>
      </c>
      <c r="P165" s="36">
        <v>147240009</v>
      </c>
      <c r="Q165" s="70" t="s">
        <v>302</v>
      </c>
      <c r="R165" s="3"/>
      <c r="S165" s="28">
        <f>+Tabla15133[[#This Row],[VALOR TOTAL DEL CONTRATO
(en pesos)
CON IVA
(inicial)]]+Tabla15133[[#This Row],[VALOR DE LAS ADICIONES
(en pesos)
CON IVA]]</f>
        <v>147240009</v>
      </c>
      <c r="T165" s="37">
        <v>259</v>
      </c>
      <c r="U165" s="70" t="s">
        <v>302</v>
      </c>
      <c r="V165" s="101"/>
      <c r="W165" s="70" t="s">
        <v>302</v>
      </c>
      <c r="X165" s="70"/>
      <c r="Y165" s="65">
        <v>45398</v>
      </c>
      <c r="Z165" s="65">
        <v>45657</v>
      </c>
      <c r="AA165" s="144">
        <v>45657</v>
      </c>
      <c r="AB165" s="64" t="s">
        <v>323</v>
      </c>
      <c r="AC165" s="71">
        <v>45730</v>
      </c>
      <c r="AD165" s="71" t="s">
        <v>321</v>
      </c>
      <c r="AE165" s="30">
        <v>1</v>
      </c>
      <c r="AF165" s="30">
        <v>0.91</v>
      </c>
      <c r="AG165" s="31">
        <v>133674009</v>
      </c>
      <c r="AH165" s="154"/>
      <c r="AI165" s="56" t="s">
        <v>3421</v>
      </c>
      <c r="AJ165" s="44">
        <v>2024</v>
      </c>
      <c r="AL165" s="2"/>
    </row>
    <row r="166" spans="1:38" ht="29" x14ac:dyDescent="0.35">
      <c r="A166" s="43" t="s">
        <v>306</v>
      </c>
      <c r="B166" s="2" t="s">
        <v>4</v>
      </c>
      <c r="C166" s="26" t="s">
        <v>352</v>
      </c>
      <c r="D166" s="27">
        <v>6210</v>
      </c>
      <c r="E166" s="2" t="s">
        <v>300</v>
      </c>
      <c r="F166" s="66" t="s">
        <v>3422</v>
      </c>
      <c r="G166" s="65">
        <v>45369</v>
      </c>
      <c r="H166" s="26" t="s">
        <v>150</v>
      </c>
      <c r="I166" s="67" t="s">
        <v>3423</v>
      </c>
      <c r="J166" s="47" t="s">
        <v>89</v>
      </c>
      <c r="K166" s="68" t="s">
        <v>84</v>
      </c>
      <c r="L166" s="26" t="s">
        <v>3397</v>
      </c>
      <c r="M166" s="2" t="s">
        <v>3398</v>
      </c>
      <c r="N166" s="28">
        <v>37800000</v>
      </c>
      <c r="O166" s="28">
        <v>7182000</v>
      </c>
      <c r="P166" s="36">
        <v>44982000</v>
      </c>
      <c r="Q166" s="70" t="s">
        <v>302</v>
      </c>
      <c r="R166" s="3"/>
      <c r="S166" s="28">
        <f>+Tabla15133[[#This Row],[VALOR TOTAL DEL CONTRATO
(en pesos)
CON IVA
(inicial)]]+Tabla15133[[#This Row],[VALOR DE LAS ADICIONES
(en pesos)
CON IVA]]</f>
        <v>44982000</v>
      </c>
      <c r="T166" s="37">
        <v>152</v>
      </c>
      <c r="U166" s="70" t="s">
        <v>302</v>
      </c>
      <c r="V166" s="101"/>
      <c r="W166" s="70" t="s">
        <v>302</v>
      </c>
      <c r="X166" s="70"/>
      <c r="Y166" s="65">
        <v>45391</v>
      </c>
      <c r="Z166" s="65">
        <v>45543</v>
      </c>
      <c r="AA166" s="144">
        <v>45543</v>
      </c>
      <c r="AB166" s="64" t="s">
        <v>323</v>
      </c>
      <c r="AC166" s="71">
        <v>45665</v>
      </c>
      <c r="AD166" s="71" t="s">
        <v>321</v>
      </c>
      <c r="AE166" s="30">
        <v>1</v>
      </c>
      <c r="AF166" s="30">
        <v>1</v>
      </c>
      <c r="AG166" s="31">
        <v>44982000</v>
      </c>
      <c r="AH166" s="154"/>
      <c r="AI166" s="56" t="s">
        <v>3424</v>
      </c>
      <c r="AJ166" s="44">
        <v>2024</v>
      </c>
      <c r="AL166" s="2"/>
    </row>
    <row r="167" spans="1:38" ht="29" x14ac:dyDescent="0.35">
      <c r="A167" s="43" t="s">
        <v>306</v>
      </c>
      <c r="B167" s="2" t="s">
        <v>11</v>
      </c>
      <c r="C167" s="26" t="s">
        <v>19</v>
      </c>
      <c r="D167" s="27">
        <v>6261</v>
      </c>
      <c r="E167" s="2" t="s">
        <v>365</v>
      </c>
      <c r="F167" s="66" t="s">
        <v>3425</v>
      </c>
      <c r="G167" s="65">
        <v>45390</v>
      </c>
      <c r="H167" s="26" t="s">
        <v>150</v>
      </c>
      <c r="I167" s="67" t="s">
        <v>3426</v>
      </c>
      <c r="J167" s="47" t="s">
        <v>89</v>
      </c>
      <c r="K167" s="68" t="s">
        <v>84</v>
      </c>
      <c r="L167" s="26" t="s">
        <v>1539</v>
      </c>
      <c r="M167" s="2" t="s">
        <v>3427</v>
      </c>
      <c r="N167" s="145">
        <v>602800</v>
      </c>
      <c r="O167" s="143">
        <v>0</v>
      </c>
      <c r="P167" s="3">
        <v>602800</v>
      </c>
      <c r="Q167" s="70" t="s">
        <v>302</v>
      </c>
      <c r="R167" s="3"/>
      <c r="S167" s="28">
        <f>+Tabla15133[[#This Row],[VALOR TOTAL DEL CONTRATO
(en pesos)
CON IVA
(inicial)]]+Tabla15133[[#This Row],[VALOR DE LAS ADICIONES
(en pesos)
CON IVA]]</f>
        <v>602800</v>
      </c>
      <c r="T167" s="37">
        <v>365</v>
      </c>
      <c r="U167" s="70" t="s">
        <v>302</v>
      </c>
      <c r="V167" s="101"/>
      <c r="W167" s="70" t="s">
        <v>302</v>
      </c>
      <c r="X167" s="70"/>
      <c r="Y167" s="65">
        <v>45390</v>
      </c>
      <c r="Z167" s="65">
        <v>45755</v>
      </c>
      <c r="AA167" s="144">
        <v>45755</v>
      </c>
      <c r="AB167" s="64" t="s">
        <v>320</v>
      </c>
      <c r="AC167" s="71"/>
      <c r="AD167" s="70" t="s">
        <v>321</v>
      </c>
      <c r="AE167" s="30">
        <v>0.8</v>
      </c>
      <c r="AF167" s="30">
        <v>1</v>
      </c>
      <c r="AG167" s="31">
        <v>602800</v>
      </c>
      <c r="AH167" s="154"/>
      <c r="AI167" s="56" t="s">
        <v>3428</v>
      </c>
      <c r="AJ167" s="44">
        <v>2024</v>
      </c>
      <c r="AL167" s="2"/>
    </row>
    <row r="168" spans="1:38" ht="29" x14ac:dyDescent="0.35">
      <c r="A168" s="43" t="s">
        <v>306</v>
      </c>
      <c r="B168" s="2" t="s">
        <v>11</v>
      </c>
      <c r="C168" s="26" t="s">
        <v>12</v>
      </c>
      <c r="D168" s="27">
        <v>6250</v>
      </c>
      <c r="E168" s="2" t="s">
        <v>300</v>
      </c>
      <c r="F168" s="66" t="s">
        <v>3429</v>
      </c>
      <c r="G168" s="65">
        <v>45383</v>
      </c>
      <c r="H168" s="26" t="s">
        <v>150</v>
      </c>
      <c r="I168" s="67" t="s">
        <v>3430</v>
      </c>
      <c r="J168" s="47" t="s">
        <v>83</v>
      </c>
      <c r="K168" s="68" t="s">
        <v>96</v>
      </c>
      <c r="L168" s="26" t="s">
        <v>1507</v>
      </c>
      <c r="M168" s="2" t="s">
        <v>3431</v>
      </c>
      <c r="N168" s="160">
        <v>20000000</v>
      </c>
      <c r="O168" s="157">
        <v>0</v>
      </c>
      <c r="P168" s="3">
        <v>20000000</v>
      </c>
      <c r="Q168" s="70" t="s">
        <v>302</v>
      </c>
      <c r="R168" s="3"/>
      <c r="S168" s="28">
        <f>+Tabla15133[[#This Row],[VALOR TOTAL DEL CONTRATO
(en pesos)
CON IVA
(inicial)]]+Tabla15133[[#This Row],[VALOR DE LAS ADICIONES
(en pesos)
CON IVA]]</f>
        <v>20000000</v>
      </c>
      <c r="T168" s="37">
        <v>243</v>
      </c>
      <c r="U168" s="70" t="s">
        <v>302</v>
      </c>
      <c r="V168" s="101"/>
      <c r="W168" s="70" t="s">
        <v>302</v>
      </c>
      <c r="X168" s="70"/>
      <c r="Y168" s="65">
        <v>45383</v>
      </c>
      <c r="Z168" s="65">
        <v>45626</v>
      </c>
      <c r="AA168" s="144">
        <v>45626</v>
      </c>
      <c r="AB168" s="64" t="s">
        <v>323</v>
      </c>
      <c r="AC168" s="71">
        <v>45731</v>
      </c>
      <c r="AD168" s="71" t="s">
        <v>321</v>
      </c>
      <c r="AE168" s="30">
        <v>1</v>
      </c>
      <c r="AF168" s="30">
        <v>0.93</v>
      </c>
      <c r="AG168" s="31">
        <v>18680000</v>
      </c>
      <c r="AH168" s="154"/>
      <c r="AI168" s="56" t="s">
        <v>3432</v>
      </c>
      <c r="AJ168" s="44">
        <v>2024</v>
      </c>
      <c r="AL168" s="2"/>
    </row>
    <row r="169" spans="1:38" ht="43.5" x14ac:dyDescent="0.35">
      <c r="A169" s="43" t="s">
        <v>306</v>
      </c>
      <c r="B169" s="2" t="s">
        <v>322</v>
      </c>
      <c r="C169" s="26" t="s">
        <v>74</v>
      </c>
      <c r="D169" s="27">
        <v>6300</v>
      </c>
      <c r="E169" s="2" t="s">
        <v>300</v>
      </c>
      <c r="F169" s="66" t="s">
        <v>3433</v>
      </c>
      <c r="G169" s="65">
        <v>45390</v>
      </c>
      <c r="H169" s="26" t="s">
        <v>150</v>
      </c>
      <c r="I169" s="67" t="s">
        <v>3434</v>
      </c>
      <c r="J169" s="47" t="s">
        <v>89</v>
      </c>
      <c r="K169" s="68" t="s">
        <v>84</v>
      </c>
      <c r="L169" s="26" t="s">
        <v>1479</v>
      </c>
      <c r="M169" s="2" t="s">
        <v>378</v>
      </c>
      <c r="N169" s="145">
        <v>30000000</v>
      </c>
      <c r="O169" s="143">
        <v>5700000</v>
      </c>
      <c r="P169" s="3">
        <v>35700000</v>
      </c>
      <c r="Q169" s="70" t="s">
        <v>302</v>
      </c>
      <c r="R169" s="3"/>
      <c r="S169" s="28">
        <f>+Tabla15133[[#This Row],[VALOR TOTAL DEL CONTRATO
(en pesos)
CON IVA
(inicial)]]+Tabla15133[[#This Row],[VALOR DE LAS ADICIONES
(en pesos)
CON IVA]]</f>
        <v>35700000</v>
      </c>
      <c r="T169" s="37">
        <v>267</v>
      </c>
      <c r="U169" s="70" t="s">
        <v>302</v>
      </c>
      <c r="V169" s="101"/>
      <c r="W169" s="70" t="s">
        <v>302</v>
      </c>
      <c r="X169" s="70"/>
      <c r="Y169" s="65">
        <v>45390</v>
      </c>
      <c r="Z169" s="65">
        <v>45657</v>
      </c>
      <c r="AA169" s="144">
        <v>45657</v>
      </c>
      <c r="AB169" s="64" t="s">
        <v>323</v>
      </c>
      <c r="AC169" s="71">
        <v>45751</v>
      </c>
      <c r="AD169" s="71" t="s">
        <v>321</v>
      </c>
      <c r="AE169" s="30">
        <v>1</v>
      </c>
      <c r="AF169" s="30">
        <v>0.34329999999999999</v>
      </c>
      <c r="AG169" s="31">
        <v>12257480</v>
      </c>
      <c r="AH169" s="154"/>
      <c r="AI169" s="56" t="s">
        <v>3435</v>
      </c>
      <c r="AJ169" s="44">
        <v>2024</v>
      </c>
      <c r="AL169" s="2"/>
    </row>
    <row r="170" spans="1:38" ht="29" x14ac:dyDescent="0.35">
      <c r="A170" s="43" t="s">
        <v>306</v>
      </c>
      <c r="B170" s="2" t="s">
        <v>298</v>
      </c>
      <c r="C170" s="26" t="s">
        <v>25</v>
      </c>
      <c r="D170" s="27" t="s">
        <v>3436</v>
      </c>
      <c r="E170" s="2" t="s">
        <v>300</v>
      </c>
      <c r="F170" s="66" t="s">
        <v>3437</v>
      </c>
      <c r="G170" s="65">
        <v>45387</v>
      </c>
      <c r="H170" s="26" t="s">
        <v>150</v>
      </c>
      <c r="I170" s="67" t="s">
        <v>3438</v>
      </c>
      <c r="J170" s="47" t="s">
        <v>89</v>
      </c>
      <c r="K170" s="68" t="s">
        <v>84</v>
      </c>
      <c r="L170" s="26" t="s">
        <v>1577</v>
      </c>
      <c r="M170" s="2" t="s">
        <v>379</v>
      </c>
      <c r="N170" s="143">
        <v>113719400</v>
      </c>
      <c r="O170" s="143">
        <v>21606686</v>
      </c>
      <c r="P170" s="3">
        <v>135326086</v>
      </c>
      <c r="Q170" s="70" t="s">
        <v>301</v>
      </c>
      <c r="R170" s="3">
        <v>18421200</v>
      </c>
      <c r="S170" s="28">
        <f>+Tabla15133[[#This Row],[VALOR TOTAL DEL CONTRATO
(en pesos)
CON IVA
(inicial)]]+Tabla15133[[#This Row],[VALOR DE LAS ADICIONES
(en pesos)
CON IVA]]</f>
        <v>153747286</v>
      </c>
      <c r="T170" s="37">
        <v>365</v>
      </c>
      <c r="U170" s="70" t="s">
        <v>302</v>
      </c>
      <c r="V170" s="101"/>
      <c r="W170" s="70" t="s">
        <v>302</v>
      </c>
      <c r="X170" s="70"/>
      <c r="Y170" s="65">
        <v>45387</v>
      </c>
      <c r="Z170" s="65">
        <v>45752</v>
      </c>
      <c r="AA170" s="144">
        <v>45752</v>
      </c>
      <c r="AB170" s="64" t="s">
        <v>323</v>
      </c>
      <c r="AC170" s="71">
        <v>45817</v>
      </c>
      <c r="AD170" s="70" t="s">
        <v>321</v>
      </c>
      <c r="AE170" s="30">
        <v>1</v>
      </c>
      <c r="AF170" s="30">
        <v>1</v>
      </c>
      <c r="AG170" s="31">
        <v>153747286</v>
      </c>
      <c r="AH170" s="154" t="s">
        <v>3439</v>
      </c>
      <c r="AI170" s="56" t="s">
        <v>3440</v>
      </c>
      <c r="AJ170" s="44">
        <v>2024</v>
      </c>
      <c r="AL170" s="2"/>
    </row>
    <row r="171" spans="1:38" ht="29" x14ac:dyDescent="0.35">
      <c r="A171" s="43" t="s">
        <v>306</v>
      </c>
      <c r="B171" s="2" t="s">
        <v>333</v>
      </c>
      <c r="C171" s="26" t="s">
        <v>63</v>
      </c>
      <c r="D171" s="27">
        <v>6277</v>
      </c>
      <c r="E171" s="2" t="s">
        <v>300</v>
      </c>
      <c r="F171" s="66" t="s">
        <v>3441</v>
      </c>
      <c r="G171" s="65">
        <v>45390</v>
      </c>
      <c r="H171" s="26" t="s">
        <v>150</v>
      </c>
      <c r="I171" s="67" t="s">
        <v>3442</v>
      </c>
      <c r="J171" s="47" t="s">
        <v>89</v>
      </c>
      <c r="K171" s="68" t="s">
        <v>84</v>
      </c>
      <c r="L171" s="26" t="s">
        <v>1523</v>
      </c>
      <c r="M171" s="2" t="s">
        <v>380</v>
      </c>
      <c r="N171" s="36">
        <v>178500000</v>
      </c>
      <c r="O171" s="143">
        <v>0</v>
      </c>
      <c r="P171" s="3">
        <v>178500000</v>
      </c>
      <c r="Q171" s="70" t="s">
        <v>302</v>
      </c>
      <c r="R171" s="3"/>
      <c r="S171" s="28">
        <f>+Tabla15133[[#This Row],[VALOR TOTAL DEL CONTRATO
(en pesos)
CON IVA
(inicial)]]+Tabla15133[[#This Row],[VALOR DE LAS ADICIONES
(en pesos)
CON IVA]]</f>
        <v>178500000</v>
      </c>
      <c r="T171" s="37">
        <v>364</v>
      </c>
      <c r="U171" s="70" t="s">
        <v>302</v>
      </c>
      <c r="V171" s="101"/>
      <c r="W171" s="70" t="s">
        <v>302</v>
      </c>
      <c r="X171" s="70"/>
      <c r="Y171" s="65">
        <v>45401</v>
      </c>
      <c r="Z171" s="65">
        <v>45765</v>
      </c>
      <c r="AA171" s="144">
        <v>45765</v>
      </c>
      <c r="AB171" s="64" t="s">
        <v>325</v>
      </c>
      <c r="AC171" s="71"/>
      <c r="AD171" s="70" t="s">
        <v>321</v>
      </c>
      <c r="AE171" s="30">
        <v>0.44009999999999999</v>
      </c>
      <c r="AF171" s="30">
        <v>0.44009999999999999</v>
      </c>
      <c r="AG171" s="31">
        <v>78563299</v>
      </c>
      <c r="AH171" s="154"/>
      <c r="AI171" s="56" t="s">
        <v>3443</v>
      </c>
      <c r="AJ171" s="44">
        <v>2024</v>
      </c>
      <c r="AL171" s="2"/>
    </row>
    <row r="172" spans="1:38" ht="29" x14ac:dyDescent="0.35">
      <c r="A172" s="43" t="s">
        <v>306</v>
      </c>
      <c r="B172" s="2" t="s">
        <v>333</v>
      </c>
      <c r="C172" s="26" t="s">
        <v>63</v>
      </c>
      <c r="D172" s="27">
        <v>6281</v>
      </c>
      <c r="E172" s="2" t="s">
        <v>300</v>
      </c>
      <c r="F172" s="66" t="s">
        <v>3444</v>
      </c>
      <c r="G172" s="65">
        <v>45390</v>
      </c>
      <c r="H172" s="26" t="s">
        <v>150</v>
      </c>
      <c r="I172" s="67" t="s">
        <v>3442</v>
      </c>
      <c r="J172" s="47" t="s">
        <v>89</v>
      </c>
      <c r="K172" s="68" t="s">
        <v>84</v>
      </c>
      <c r="L172" s="26" t="s">
        <v>1517</v>
      </c>
      <c r="M172" s="2" t="s">
        <v>381</v>
      </c>
      <c r="N172" s="36">
        <v>178500000</v>
      </c>
      <c r="O172" s="143">
        <v>0</v>
      </c>
      <c r="P172" s="3">
        <v>178500000</v>
      </c>
      <c r="Q172" s="70" t="s">
        <v>302</v>
      </c>
      <c r="R172" s="3"/>
      <c r="S172" s="28">
        <f>+Tabla15133[[#This Row],[VALOR TOTAL DEL CONTRATO
(en pesos)
CON IVA
(inicial)]]+Tabla15133[[#This Row],[VALOR DE LAS ADICIONES
(en pesos)
CON IVA]]</f>
        <v>178500000</v>
      </c>
      <c r="T172" s="37">
        <v>364</v>
      </c>
      <c r="U172" s="70" t="s">
        <v>302</v>
      </c>
      <c r="V172" s="101"/>
      <c r="W172" s="70" t="s">
        <v>302</v>
      </c>
      <c r="X172" s="70"/>
      <c r="Y172" s="65">
        <v>45399</v>
      </c>
      <c r="Z172" s="65">
        <v>45763</v>
      </c>
      <c r="AA172" s="144">
        <v>45763</v>
      </c>
      <c r="AB172" s="64" t="s">
        <v>325</v>
      </c>
      <c r="AC172" s="71"/>
      <c r="AD172" s="70" t="s">
        <v>321</v>
      </c>
      <c r="AE172" s="30">
        <v>1.036</v>
      </c>
      <c r="AF172" s="30">
        <v>1.036</v>
      </c>
      <c r="AG172" s="31">
        <v>184920601</v>
      </c>
      <c r="AH172" s="154"/>
      <c r="AI172" s="56" t="s">
        <v>3445</v>
      </c>
      <c r="AJ172" s="44">
        <v>2024</v>
      </c>
      <c r="AL172" s="2"/>
    </row>
    <row r="173" spans="1:38" ht="29" x14ac:dyDescent="0.35">
      <c r="A173" s="43" t="s">
        <v>306</v>
      </c>
      <c r="B173" s="2" t="s">
        <v>11</v>
      </c>
      <c r="C173" s="26" t="s">
        <v>12</v>
      </c>
      <c r="D173" s="27" t="s">
        <v>3446</v>
      </c>
      <c r="E173" s="2" t="s">
        <v>300</v>
      </c>
      <c r="F173" s="66" t="s">
        <v>3447</v>
      </c>
      <c r="G173" s="65">
        <v>45382</v>
      </c>
      <c r="H173" s="26" t="s">
        <v>160</v>
      </c>
      <c r="I173" s="67" t="s">
        <v>3448</v>
      </c>
      <c r="J173" s="47" t="s">
        <v>89</v>
      </c>
      <c r="K173" s="68" t="s">
        <v>84</v>
      </c>
      <c r="L173" s="26" t="s">
        <v>3449</v>
      </c>
      <c r="M173" s="2" t="s">
        <v>3450</v>
      </c>
      <c r="N173" s="145">
        <v>84553800</v>
      </c>
      <c r="O173" s="143">
        <v>0</v>
      </c>
      <c r="P173" s="3">
        <v>84553800</v>
      </c>
      <c r="Q173" s="70" t="s">
        <v>301</v>
      </c>
      <c r="R173" s="3">
        <v>7181282</v>
      </c>
      <c r="S173" s="28">
        <f>+Tabla15133[[#This Row],[VALOR TOTAL DEL CONTRATO
(en pesos)
CON IVA
(inicial)]]+Tabla15133[[#This Row],[VALOR DE LAS ADICIONES
(en pesos)
CON IVA]]</f>
        <v>91735082</v>
      </c>
      <c r="T173" s="37">
        <v>365</v>
      </c>
      <c r="U173" s="70" t="s">
        <v>301</v>
      </c>
      <c r="V173" s="101">
        <f>+Tabla15133[[#This Row],[FECHA TERMINACIÓN DEL CONTRATO
(inicial + prórroga)]]-Tabla15133[[#This Row],[FECHA TERMINACIÓN DEL CONTRATO
(inicial)]]</f>
        <v>30</v>
      </c>
      <c r="W173" s="70" t="s">
        <v>302</v>
      </c>
      <c r="X173" s="70"/>
      <c r="Y173" s="65">
        <v>45382</v>
      </c>
      <c r="Z173" s="65">
        <v>45747</v>
      </c>
      <c r="AA173" s="144">
        <v>45777</v>
      </c>
      <c r="AB173" s="64" t="s">
        <v>325</v>
      </c>
      <c r="AC173" s="71"/>
      <c r="AD173" s="70" t="s">
        <v>321</v>
      </c>
      <c r="AE173" s="30">
        <v>0.75</v>
      </c>
      <c r="AF173" s="30">
        <v>1</v>
      </c>
      <c r="AG173" s="31">
        <v>84553800</v>
      </c>
      <c r="AH173" s="154" t="s">
        <v>3451</v>
      </c>
      <c r="AI173" s="56" t="s">
        <v>3452</v>
      </c>
      <c r="AJ173" s="44">
        <v>2024</v>
      </c>
      <c r="AL173" s="2"/>
    </row>
    <row r="174" spans="1:38" ht="29" x14ac:dyDescent="0.35">
      <c r="A174" s="43" t="s">
        <v>306</v>
      </c>
      <c r="B174" s="2" t="s">
        <v>327</v>
      </c>
      <c r="C174" s="26" t="s">
        <v>45</v>
      </c>
      <c r="D174" s="27">
        <v>6234</v>
      </c>
      <c r="E174" s="2" t="s">
        <v>300</v>
      </c>
      <c r="F174" s="66" t="s">
        <v>3453</v>
      </c>
      <c r="G174" s="65">
        <v>45386</v>
      </c>
      <c r="H174" s="26" t="s">
        <v>150</v>
      </c>
      <c r="I174" s="67" t="s">
        <v>3454</v>
      </c>
      <c r="J174" s="47" t="s">
        <v>89</v>
      </c>
      <c r="K174" s="68" t="s">
        <v>84</v>
      </c>
      <c r="L174" s="26" t="s">
        <v>1513</v>
      </c>
      <c r="M174" s="2" t="s">
        <v>349</v>
      </c>
      <c r="N174" s="145">
        <v>6000000</v>
      </c>
      <c r="O174" s="143">
        <v>0</v>
      </c>
      <c r="P174" s="3">
        <v>6000000</v>
      </c>
      <c r="Q174" s="70" t="s">
        <v>302</v>
      </c>
      <c r="R174" s="3"/>
      <c r="S174" s="28">
        <f>+Tabla15133[[#This Row],[VALOR TOTAL DEL CONTRATO
(en pesos)
CON IVA
(inicial)]]+Tabla15133[[#This Row],[VALOR DE LAS ADICIONES
(en pesos)
CON IVA]]</f>
        <v>6000000</v>
      </c>
      <c r="T174" s="37">
        <v>361</v>
      </c>
      <c r="U174" s="70" t="s">
        <v>302</v>
      </c>
      <c r="V174" s="101"/>
      <c r="W174" s="70" t="s">
        <v>302</v>
      </c>
      <c r="X174" s="70"/>
      <c r="Y174" s="65">
        <v>45386</v>
      </c>
      <c r="Z174" s="65">
        <v>45747</v>
      </c>
      <c r="AA174" s="144">
        <v>45747</v>
      </c>
      <c r="AB174" s="64" t="s">
        <v>320</v>
      </c>
      <c r="AC174" s="71"/>
      <c r="AD174" s="70" t="s">
        <v>321</v>
      </c>
      <c r="AE174" s="30">
        <v>0.83</v>
      </c>
      <c r="AF174" s="30">
        <v>0.56000000000000005</v>
      </c>
      <c r="AG174" s="31">
        <v>3350308</v>
      </c>
      <c r="AH174" s="154"/>
      <c r="AI174" s="56" t="s">
        <v>3455</v>
      </c>
      <c r="AJ174" s="44">
        <v>2024</v>
      </c>
      <c r="AL174" s="2"/>
    </row>
    <row r="175" spans="1:38" ht="29" x14ac:dyDescent="0.35">
      <c r="A175" s="43" t="s">
        <v>306</v>
      </c>
      <c r="B175" s="2" t="s">
        <v>333</v>
      </c>
      <c r="C175" s="26" t="s">
        <v>63</v>
      </c>
      <c r="D175" s="27">
        <v>6278</v>
      </c>
      <c r="E175" s="2" t="s">
        <v>300</v>
      </c>
      <c r="F175" s="66" t="s">
        <v>3456</v>
      </c>
      <c r="G175" s="65">
        <v>45394</v>
      </c>
      <c r="H175" s="26" t="s">
        <v>150</v>
      </c>
      <c r="I175" s="67" t="s">
        <v>3442</v>
      </c>
      <c r="J175" s="47" t="s">
        <v>89</v>
      </c>
      <c r="K175" s="68" t="s">
        <v>84</v>
      </c>
      <c r="L175" s="26" t="s">
        <v>1524</v>
      </c>
      <c r="M175" s="2" t="s">
        <v>382</v>
      </c>
      <c r="N175" s="36">
        <v>178500000</v>
      </c>
      <c r="O175" s="143">
        <v>0</v>
      </c>
      <c r="P175" s="3">
        <v>178500000</v>
      </c>
      <c r="Q175" s="70" t="s">
        <v>302</v>
      </c>
      <c r="R175" s="3"/>
      <c r="S175" s="28">
        <f>+Tabla15133[[#This Row],[VALOR TOTAL DEL CONTRATO
(en pesos)
CON IVA
(inicial)]]+Tabla15133[[#This Row],[VALOR DE LAS ADICIONES
(en pesos)
CON IVA]]</f>
        <v>178500000</v>
      </c>
      <c r="T175" s="37">
        <v>364</v>
      </c>
      <c r="U175" s="70" t="s">
        <v>302</v>
      </c>
      <c r="V175" s="101"/>
      <c r="W175" s="70" t="s">
        <v>302</v>
      </c>
      <c r="X175" s="70"/>
      <c r="Y175" s="65">
        <v>45394</v>
      </c>
      <c r="Z175" s="65">
        <v>45758</v>
      </c>
      <c r="AA175" s="144">
        <v>45758</v>
      </c>
      <c r="AB175" s="64" t="s">
        <v>325</v>
      </c>
      <c r="AC175" s="71"/>
      <c r="AD175" s="70" t="s">
        <v>321</v>
      </c>
      <c r="AE175" s="30">
        <v>0.23930000000000001</v>
      </c>
      <c r="AF175" s="30">
        <v>0.23930000000000001</v>
      </c>
      <c r="AG175" s="31">
        <v>42720796</v>
      </c>
      <c r="AH175" s="154"/>
      <c r="AI175" s="56" t="s">
        <v>3457</v>
      </c>
      <c r="AJ175" s="44">
        <v>2024</v>
      </c>
      <c r="AL175" s="2"/>
    </row>
    <row r="176" spans="1:38" ht="29" x14ac:dyDescent="0.35">
      <c r="A176" s="43" t="s">
        <v>306</v>
      </c>
      <c r="B176" s="2" t="s">
        <v>333</v>
      </c>
      <c r="C176" s="26" t="s">
        <v>63</v>
      </c>
      <c r="D176" s="27">
        <v>6283</v>
      </c>
      <c r="E176" s="2" t="s">
        <v>300</v>
      </c>
      <c r="F176" s="66" t="s">
        <v>3458</v>
      </c>
      <c r="G176" s="65">
        <v>45397</v>
      </c>
      <c r="H176" s="26" t="s">
        <v>150</v>
      </c>
      <c r="I176" s="67" t="s">
        <v>3442</v>
      </c>
      <c r="J176" s="47" t="s">
        <v>89</v>
      </c>
      <c r="K176" s="68" t="s">
        <v>84</v>
      </c>
      <c r="L176" s="26" t="s">
        <v>1527</v>
      </c>
      <c r="M176" s="2" t="s">
        <v>3459</v>
      </c>
      <c r="N176" s="36">
        <v>178500000</v>
      </c>
      <c r="O176" s="143">
        <v>0</v>
      </c>
      <c r="P176" s="3">
        <v>178500000</v>
      </c>
      <c r="Q176" s="70" t="s">
        <v>302</v>
      </c>
      <c r="R176" s="3"/>
      <c r="S176" s="28">
        <f>+Tabla15133[[#This Row],[VALOR TOTAL DEL CONTRATO
(en pesos)
CON IVA
(inicial)]]+Tabla15133[[#This Row],[VALOR DE LAS ADICIONES
(en pesos)
CON IVA]]</f>
        <v>178500000</v>
      </c>
      <c r="T176" s="37">
        <v>365</v>
      </c>
      <c r="U176" s="70" t="s">
        <v>302</v>
      </c>
      <c r="V176" s="101"/>
      <c r="W176" s="70" t="s">
        <v>302</v>
      </c>
      <c r="X176" s="70"/>
      <c r="Y176" s="65">
        <v>45397</v>
      </c>
      <c r="Z176" s="65">
        <v>45761</v>
      </c>
      <c r="AA176" s="144">
        <v>45761</v>
      </c>
      <c r="AB176" s="64" t="s">
        <v>325</v>
      </c>
      <c r="AC176" s="71"/>
      <c r="AD176" s="70" t="s">
        <v>321</v>
      </c>
      <c r="AE176" s="30">
        <v>0.84519999999999995</v>
      </c>
      <c r="AF176" s="30">
        <v>0.84519999999999995</v>
      </c>
      <c r="AG176" s="31">
        <v>150868015</v>
      </c>
      <c r="AH176" s="154"/>
      <c r="AI176" s="56" t="s">
        <v>3460</v>
      </c>
      <c r="AJ176" s="44">
        <v>2024</v>
      </c>
      <c r="AL176" s="2"/>
    </row>
    <row r="177" spans="1:38" ht="29" x14ac:dyDescent="0.35">
      <c r="A177" s="43" t="s">
        <v>306</v>
      </c>
      <c r="B177" s="2" t="s">
        <v>333</v>
      </c>
      <c r="C177" s="26" t="s">
        <v>63</v>
      </c>
      <c r="D177" s="27">
        <v>6280</v>
      </c>
      <c r="E177" s="2" t="s">
        <v>300</v>
      </c>
      <c r="F177" s="66" t="s">
        <v>3461</v>
      </c>
      <c r="G177" s="65">
        <v>45397</v>
      </c>
      <c r="H177" s="26" t="s">
        <v>150</v>
      </c>
      <c r="I177" s="67" t="s">
        <v>3442</v>
      </c>
      <c r="J177" s="47" t="s">
        <v>89</v>
      </c>
      <c r="K177" s="68" t="s">
        <v>84</v>
      </c>
      <c r="L177" s="26" t="s">
        <v>1518</v>
      </c>
      <c r="M177" s="2" t="s">
        <v>383</v>
      </c>
      <c r="N177" s="36">
        <v>178500000</v>
      </c>
      <c r="O177" s="143">
        <v>0</v>
      </c>
      <c r="P177" s="3">
        <v>178500000</v>
      </c>
      <c r="Q177" s="70" t="s">
        <v>302</v>
      </c>
      <c r="R177" s="3"/>
      <c r="S177" s="28">
        <f>+Tabla15133[[#This Row],[VALOR TOTAL DEL CONTRATO
(en pesos)
CON IVA
(inicial)]]+Tabla15133[[#This Row],[VALOR DE LAS ADICIONES
(en pesos)
CON IVA]]</f>
        <v>178500000</v>
      </c>
      <c r="T177" s="37">
        <v>364</v>
      </c>
      <c r="U177" s="70" t="s">
        <v>302</v>
      </c>
      <c r="V177" s="101"/>
      <c r="W177" s="70" t="s">
        <v>302</v>
      </c>
      <c r="X177" s="70"/>
      <c r="Y177" s="65">
        <v>45397</v>
      </c>
      <c r="Z177" s="65">
        <v>45761</v>
      </c>
      <c r="AA177" s="144">
        <v>45761</v>
      </c>
      <c r="AB177" s="64" t="s">
        <v>325</v>
      </c>
      <c r="AC177" s="71"/>
      <c r="AD177" s="70" t="s">
        <v>321</v>
      </c>
      <c r="AE177" s="30">
        <v>0.33160000000000001</v>
      </c>
      <c r="AF177" s="30">
        <v>0.33160000000000001</v>
      </c>
      <c r="AG177" s="31">
        <v>59188512</v>
      </c>
      <c r="AH177" s="154"/>
      <c r="AI177" s="56" t="s">
        <v>3462</v>
      </c>
      <c r="AJ177" s="44">
        <v>2024</v>
      </c>
      <c r="AL177" s="2"/>
    </row>
    <row r="178" spans="1:38" ht="29" x14ac:dyDescent="0.35">
      <c r="A178" s="43" t="s">
        <v>306</v>
      </c>
      <c r="B178" s="2" t="s">
        <v>333</v>
      </c>
      <c r="C178" s="26" t="s">
        <v>63</v>
      </c>
      <c r="D178" s="27">
        <v>6282</v>
      </c>
      <c r="E178" s="2" t="s">
        <v>300</v>
      </c>
      <c r="F178" s="66" t="s">
        <v>3463</v>
      </c>
      <c r="G178" s="65">
        <v>45397</v>
      </c>
      <c r="H178" s="26" t="s">
        <v>150</v>
      </c>
      <c r="I178" s="67" t="s">
        <v>3442</v>
      </c>
      <c r="J178" s="47" t="s">
        <v>89</v>
      </c>
      <c r="K178" s="68" t="s">
        <v>84</v>
      </c>
      <c r="L178" s="26" t="s">
        <v>1522</v>
      </c>
      <c r="M178" s="2" t="s">
        <v>384</v>
      </c>
      <c r="N178" s="36">
        <v>178500000</v>
      </c>
      <c r="O178" s="143">
        <v>0</v>
      </c>
      <c r="P178" s="3">
        <v>178500000</v>
      </c>
      <c r="Q178" s="70" t="s">
        <v>302</v>
      </c>
      <c r="R178" s="3"/>
      <c r="S178" s="28">
        <f>+Tabla15133[[#This Row],[VALOR TOTAL DEL CONTRATO
(en pesos)
CON IVA
(inicial)]]+Tabla15133[[#This Row],[VALOR DE LAS ADICIONES
(en pesos)
CON IVA]]</f>
        <v>178500000</v>
      </c>
      <c r="T178" s="37">
        <v>364</v>
      </c>
      <c r="U178" s="70" t="s">
        <v>302</v>
      </c>
      <c r="V178" s="101"/>
      <c r="W178" s="70" t="s">
        <v>302</v>
      </c>
      <c r="X178" s="70"/>
      <c r="Y178" s="65">
        <v>45397</v>
      </c>
      <c r="Z178" s="65">
        <v>45761</v>
      </c>
      <c r="AA178" s="144">
        <v>45761</v>
      </c>
      <c r="AB178" s="64" t="s">
        <v>325</v>
      </c>
      <c r="AC178" s="71"/>
      <c r="AD178" s="71" t="s">
        <v>321</v>
      </c>
      <c r="AE178" s="30">
        <v>0.13469999999999999</v>
      </c>
      <c r="AF178" s="30">
        <v>0.13469999999999999</v>
      </c>
      <c r="AG178" s="31">
        <v>24052165</v>
      </c>
      <c r="AH178" s="154"/>
      <c r="AI178" s="56" t="s">
        <v>3464</v>
      </c>
      <c r="AJ178" s="44">
        <v>2024</v>
      </c>
      <c r="AL178" s="2"/>
    </row>
    <row r="179" spans="1:38" ht="29" x14ac:dyDescent="0.35">
      <c r="A179" s="43" t="s">
        <v>306</v>
      </c>
      <c r="B179" s="2" t="s">
        <v>333</v>
      </c>
      <c r="C179" s="26" t="s">
        <v>63</v>
      </c>
      <c r="D179" s="27">
        <v>6296</v>
      </c>
      <c r="E179" s="2" t="s">
        <v>300</v>
      </c>
      <c r="F179" s="66" t="s">
        <v>3465</v>
      </c>
      <c r="G179" s="65">
        <v>45397</v>
      </c>
      <c r="H179" s="26" t="s">
        <v>150</v>
      </c>
      <c r="I179" s="67" t="s">
        <v>3466</v>
      </c>
      <c r="J179" s="47" t="s">
        <v>89</v>
      </c>
      <c r="K179" s="68" t="s">
        <v>84</v>
      </c>
      <c r="L179" s="26" t="s">
        <v>1519</v>
      </c>
      <c r="M179" s="2" t="s">
        <v>3467</v>
      </c>
      <c r="N179" s="36">
        <v>178500000</v>
      </c>
      <c r="O179" s="143">
        <v>0</v>
      </c>
      <c r="P179" s="3">
        <v>178500000</v>
      </c>
      <c r="Q179" s="70" t="s">
        <v>302</v>
      </c>
      <c r="R179" s="3"/>
      <c r="S179" s="28">
        <f>+Tabla15133[[#This Row],[VALOR TOTAL DEL CONTRATO
(en pesos)
CON IVA
(inicial)]]+Tabla15133[[#This Row],[VALOR DE LAS ADICIONES
(en pesos)
CON IVA]]</f>
        <v>178500000</v>
      </c>
      <c r="T179" s="37">
        <v>364</v>
      </c>
      <c r="U179" s="70" t="s">
        <v>302</v>
      </c>
      <c r="V179" s="101"/>
      <c r="W179" s="70" t="s">
        <v>302</v>
      </c>
      <c r="X179" s="70"/>
      <c r="Y179" s="65">
        <v>45397</v>
      </c>
      <c r="Z179" s="65">
        <v>45761</v>
      </c>
      <c r="AA179" s="144">
        <v>45761</v>
      </c>
      <c r="AB179" s="64" t="s">
        <v>325</v>
      </c>
      <c r="AC179" s="71"/>
      <c r="AD179" s="71" t="s">
        <v>321</v>
      </c>
      <c r="AE179" s="30">
        <v>0.12429999999999999</v>
      </c>
      <c r="AF179" s="30">
        <v>0.12429999999999999</v>
      </c>
      <c r="AG179" s="31">
        <v>22187144</v>
      </c>
      <c r="AH179" s="154"/>
      <c r="AI179" s="56" t="s">
        <v>3468</v>
      </c>
      <c r="AJ179" s="44">
        <v>2024</v>
      </c>
      <c r="AL179" s="2"/>
    </row>
    <row r="180" spans="1:38" ht="29" x14ac:dyDescent="0.35">
      <c r="A180" s="43" t="s">
        <v>306</v>
      </c>
      <c r="B180" s="2" t="s">
        <v>333</v>
      </c>
      <c r="C180" s="26" t="s">
        <v>63</v>
      </c>
      <c r="D180" s="27">
        <v>6279</v>
      </c>
      <c r="E180" s="2" t="s">
        <v>300</v>
      </c>
      <c r="F180" s="66" t="s">
        <v>3469</v>
      </c>
      <c r="G180" s="65">
        <v>45397</v>
      </c>
      <c r="H180" s="26" t="s">
        <v>150</v>
      </c>
      <c r="I180" s="67" t="s">
        <v>3442</v>
      </c>
      <c r="J180" s="47" t="s">
        <v>89</v>
      </c>
      <c r="K180" s="68" t="s">
        <v>84</v>
      </c>
      <c r="L180" s="26" t="s">
        <v>1516</v>
      </c>
      <c r="M180" s="2" t="s">
        <v>3470</v>
      </c>
      <c r="N180" s="36">
        <v>178500000</v>
      </c>
      <c r="O180" s="143">
        <v>0</v>
      </c>
      <c r="P180" s="3">
        <v>178500000</v>
      </c>
      <c r="Q180" s="70" t="s">
        <v>302</v>
      </c>
      <c r="R180" s="3"/>
      <c r="S180" s="28">
        <f>+Tabla15133[[#This Row],[VALOR TOTAL DEL CONTRATO
(en pesos)
CON IVA
(inicial)]]+Tabla15133[[#This Row],[VALOR DE LAS ADICIONES
(en pesos)
CON IVA]]</f>
        <v>178500000</v>
      </c>
      <c r="T180" s="37">
        <v>364</v>
      </c>
      <c r="U180" s="70" t="s">
        <v>302</v>
      </c>
      <c r="V180" s="101"/>
      <c r="W180" s="70" t="s">
        <v>302</v>
      </c>
      <c r="X180" s="70"/>
      <c r="Y180" s="65">
        <v>45397</v>
      </c>
      <c r="Z180" s="65">
        <v>45761</v>
      </c>
      <c r="AA180" s="144">
        <v>45761</v>
      </c>
      <c r="AB180" s="64" t="s">
        <v>325</v>
      </c>
      <c r="AC180" s="71"/>
      <c r="AD180" s="71" t="s">
        <v>321</v>
      </c>
      <c r="AE180" s="30">
        <v>6.6600000000000006E-2</v>
      </c>
      <c r="AF180" s="30">
        <v>6.6600000000000006E-2</v>
      </c>
      <c r="AG180" s="31">
        <v>11885969</v>
      </c>
      <c r="AH180" s="154"/>
      <c r="AI180" s="56" t="s">
        <v>3471</v>
      </c>
      <c r="AJ180" s="44">
        <v>2024</v>
      </c>
      <c r="AL180" s="2"/>
    </row>
    <row r="181" spans="1:38" ht="43.5" x14ac:dyDescent="0.35">
      <c r="A181" s="43" t="s">
        <v>306</v>
      </c>
      <c r="B181" s="2" t="s">
        <v>333</v>
      </c>
      <c r="C181" s="26" t="s">
        <v>63</v>
      </c>
      <c r="D181" s="27">
        <v>6294</v>
      </c>
      <c r="E181" s="2" t="s">
        <v>300</v>
      </c>
      <c r="F181" s="66" t="s">
        <v>3472</v>
      </c>
      <c r="G181" s="65">
        <v>45400</v>
      </c>
      <c r="H181" s="26" t="s">
        <v>150</v>
      </c>
      <c r="I181" s="67" t="s">
        <v>3473</v>
      </c>
      <c r="J181" s="47" t="s">
        <v>89</v>
      </c>
      <c r="K181" s="68" t="s">
        <v>84</v>
      </c>
      <c r="L181" s="26" t="s">
        <v>1520</v>
      </c>
      <c r="M181" s="2" t="s">
        <v>385</v>
      </c>
      <c r="N181" s="36">
        <v>178500000</v>
      </c>
      <c r="O181" s="143">
        <v>0</v>
      </c>
      <c r="P181" s="3">
        <v>178500000</v>
      </c>
      <c r="Q181" s="70" t="s">
        <v>302</v>
      </c>
      <c r="R181" s="3"/>
      <c r="S181" s="28">
        <f>+Tabla15133[[#This Row],[VALOR TOTAL DEL CONTRATO
(en pesos)
CON IVA
(inicial)]]+Tabla15133[[#This Row],[VALOR DE LAS ADICIONES
(en pesos)
CON IVA]]</f>
        <v>178500000</v>
      </c>
      <c r="T181" s="37">
        <v>365</v>
      </c>
      <c r="U181" s="70" t="s">
        <v>302</v>
      </c>
      <c r="V181" s="101"/>
      <c r="W181" s="70" t="s">
        <v>302</v>
      </c>
      <c r="X181" s="70"/>
      <c r="Y181" s="65">
        <v>45400</v>
      </c>
      <c r="Z181" s="65">
        <v>45765</v>
      </c>
      <c r="AA181" s="144">
        <v>45765</v>
      </c>
      <c r="AB181" s="64" t="s">
        <v>325</v>
      </c>
      <c r="AC181" s="71"/>
      <c r="AD181" s="71" t="s">
        <v>321</v>
      </c>
      <c r="AE181" s="30">
        <v>1.1425000000000001</v>
      </c>
      <c r="AF181" s="30">
        <v>1.1425000000000001</v>
      </c>
      <c r="AG181" s="31">
        <v>203937019</v>
      </c>
      <c r="AH181" s="154"/>
      <c r="AI181" s="56" t="s">
        <v>3474</v>
      </c>
      <c r="AJ181" s="44">
        <v>2024</v>
      </c>
      <c r="AL181" s="2"/>
    </row>
    <row r="182" spans="1:38" ht="29" x14ac:dyDescent="0.35">
      <c r="A182" s="43" t="s">
        <v>306</v>
      </c>
      <c r="B182" s="2" t="s">
        <v>4</v>
      </c>
      <c r="C182" s="26" t="s">
        <v>352</v>
      </c>
      <c r="D182" s="27" t="s">
        <v>3475</v>
      </c>
      <c r="E182" s="2" t="s">
        <v>300</v>
      </c>
      <c r="F182" s="66" t="s">
        <v>3476</v>
      </c>
      <c r="G182" s="65">
        <v>45407</v>
      </c>
      <c r="H182" s="26" t="s">
        <v>150</v>
      </c>
      <c r="I182" s="67" t="s">
        <v>3477</v>
      </c>
      <c r="J182" s="47" t="s">
        <v>89</v>
      </c>
      <c r="K182" s="68" t="s">
        <v>84</v>
      </c>
      <c r="L182" s="26" t="s">
        <v>1564</v>
      </c>
      <c r="M182" s="2" t="s">
        <v>350</v>
      </c>
      <c r="N182" s="143">
        <v>162996228</v>
      </c>
      <c r="O182" s="143">
        <v>30969283</v>
      </c>
      <c r="P182" s="3">
        <v>193965511</v>
      </c>
      <c r="Q182" s="70" t="s">
        <v>301</v>
      </c>
      <c r="R182" s="3">
        <v>149512500</v>
      </c>
      <c r="S182" s="28">
        <f>+Tabla15133[[#This Row],[VALOR TOTAL DEL CONTRATO
(en pesos)
CON IVA
(inicial)]]+Tabla15133[[#This Row],[VALOR DE LAS ADICIONES
(en pesos)
CON IVA]]</f>
        <v>343478011</v>
      </c>
      <c r="T182" s="37">
        <v>365</v>
      </c>
      <c r="U182" s="70" t="s">
        <v>301</v>
      </c>
      <c r="V182" s="101">
        <f>+Tabla15133[[#This Row],[FECHA TERMINACIÓN DEL CONTRATO
(inicial + prórroga)]]-Tabla15133[[#This Row],[FECHA TERMINACIÓN DEL CONTRATO
(inicial)]]</f>
        <v>426</v>
      </c>
      <c r="W182" s="70" t="s">
        <v>302</v>
      </c>
      <c r="X182" s="70"/>
      <c r="Y182" s="65">
        <v>45407</v>
      </c>
      <c r="Z182" s="65">
        <v>45772</v>
      </c>
      <c r="AA182" s="144">
        <v>46198</v>
      </c>
      <c r="AB182" s="64" t="s">
        <v>303</v>
      </c>
      <c r="AC182" s="71"/>
      <c r="AD182" s="70"/>
      <c r="AE182" s="61">
        <v>0.77</v>
      </c>
      <c r="AF182" s="61">
        <v>0.67</v>
      </c>
      <c r="AG182" s="62">
        <v>253044709.34999999</v>
      </c>
      <c r="AH182" s="154" t="s">
        <v>3478</v>
      </c>
      <c r="AI182" s="56" t="s">
        <v>3479</v>
      </c>
      <c r="AJ182" s="44">
        <v>2024</v>
      </c>
      <c r="AL182" s="2"/>
    </row>
    <row r="183" spans="1:38" ht="43.5" x14ac:dyDescent="0.35">
      <c r="A183" s="43" t="s">
        <v>306</v>
      </c>
      <c r="B183" s="2" t="s">
        <v>11</v>
      </c>
      <c r="C183" s="26" t="s">
        <v>18</v>
      </c>
      <c r="D183" s="27">
        <v>6273</v>
      </c>
      <c r="E183" s="2" t="s">
        <v>300</v>
      </c>
      <c r="F183" s="66" t="s">
        <v>3480</v>
      </c>
      <c r="G183" s="65">
        <v>45404</v>
      </c>
      <c r="H183" s="26" t="s">
        <v>113</v>
      </c>
      <c r="I183" s="67" t="s">
        <v>3481</v>
      </c>
      <c r="J183" s="47" t="s">
        <v>89</v>
      </c>
      <c r="K183" s="68" t="s">
        <v>84</v>
      </c>
      <c r="L183" s="26" t="s">
        <v>3482</v>
      </c>
      <c r="M183" s="2" t="s">
        <v>3483</v>
      </c>
      <c r="N183" s="143">
        <v>10000000</v>
      </c>
      <c r="O183" s="143">
        <v>1900000</v>
      </c>
      <c r="P183" s="3">
        <v>11900000</v>
      </c>
      <c r="Q183" s="70" t="s">
        <v>302</v>
      </c>
      <c r="R183" s="3"/>
      <c r="S183" s="28">
        <f>+Tabla15133[[#This Row],[VALOR TOTAL DEL CONTRATO
(en pesos)
CON IVA
(inicial)]]+Tabla15133[[#This Row],[VALOR DE LAS ADICIONES
(en pesos)
CON IVA]]</f>
        <v>11900000</v>
      </c>
      <c r="T183" s="37">
        <v>243</v>
      </c>
      <c r="U183" s="70" t="s">
        <v>302</v>
      </c>
      <c r="V183" s="101"/>
      <c r="W183" s="70" t="s">
        <v>302</v>
      </c>
      <c r="X183" s="70"/>
      <c r="Y183" s="65">
        <v>45414</v>
      </c>
      <c r="Z183" s="65">
        <v>45657</v>
      </c>
      <c r="AA183" s="144">
        <v>45657</v>
      </c>
      <c r="AB183" s="64" t="s">
        <v>323</v>
      </c>
      <c r="AC183" s="71">
        <v>45730</v>
      </c>
      <c r="AD183" s="71" t="s">
        <v>321</v>
      </c>
      <c r="AE183" s="30">
        <v>1</v>
      </c>
      <c r="AF183" s="30">
        <v>0.99990000000000001</v>
      </c>
      <c r="AG183" s="31">
        <v>11847432</v>
      </c>
      <c r="AH183" s="154"/>
      <c r="AI183" s="56" t="s">
        <v>3484</v>
      </c>
      <c r="AJ183" s="44">
        <v>2024</v>
      </c>
      <c r="AL183" s="2"/>
    </row>
    <row r="184" spans="1:38" ht="29" x14ac:dyDescent="0.35">
      <c r="A184" s="43" t="s">
        <v>306</v>
      </c>
      <c r="B184" s="2" t="s">
        <v>333</v>
      </c>
      <c r="C184" s="26" t="s">
        <v>63</v>
      </c>
      <c r="D184" s="27">
        <v>6298</v>
      </c>
      <c r="E184" s="2" t="s">
        <v>300</v>
      </c>
      <c r="F184" s="66" t="s">
        <v>3485</v>
      </c>
      <c r="G184" s="65">
        <v>45412</v>
      </c>
      <c r="H184" s="26" t="s">
        <v>150</v>
      </c>
      <c r="I184" s="67" t="s">
        <v>3486</v>
      </c>
      <c r="J184" s="47" t="s">
        <v>89</v>
      </c>
      <c r="K184" s="68" t="s">
        <v>84</v>
      </c>
      <c r="L184" s="26" t="s">
        <v>1526</v>
      </c>
      <c r="M184" s="2" t="s">
        <v>3487</v>
      </c>
      <c r="N184" s="36">
        <v>178500000</v>
      </c>
      <c r="O184" s="143">
        <v>0</v>
      </c>
      <c r="P184" s="3">
        <v>178500000</v>
      </c>
      <c r="Q184" s="70" t="s">
        <v>302</v>
      </c>
      <c r="R184" s="3"/>
      <c r="S184" s="28">
        <f>+Tabla15133[[#This Row],[VALOR TOTAL DEL CONTRATO
(en pesos)
CON IVA
(inicial)]]+Tabla15133[[#This Row],[VALOR DE LAS ADICIONES
(en pesos)
CON IVA]]</f>
        <v>178500000</v>
      </c>
      <c r="T184" s="37">
        <v>364</v>
      </c>
      <c r="U184" s="70" t="s">
        <v>302</v>
      </c>
      <c r="V184" s="101"/>
      <c r="W184" s="70" t="s">
        <v>302</v>
      </c>
      <c r="X184" s="70"/>
      <c r="Y184" s="65">
        <v>45412</v>
      </c>
      <c r="Z184" s="65">
        <v>45776</v>
      </c>
      <c r="AA184" s="144">
        <v>45776</v>
      </c>
      <c r="AB184" s="64" t="s">
        <v>325</v>
      </c>
      <c r="AC184" s="71"/>
      <c r="AD184" s="70" t="s">
        <v>321</v>
      </c>
      <c r="AE184" s="30">
        <v>0</v>
      </c>
      <c r="AF184" s="30">
        <v>0</v>
      </c>
      <c r="AG184" s="31">
        <v>0</v>
      </c>
      <c r="AH184" s="154"/>
      <c r="AI184" s="56" t="s">
        <v>3488</v>
      </c>
      <c r="AJ184" s="44">
        <v>2024</v>
      </c>
      <c r="AL184" s="2"/>
    </row>
    <row r="185" spans="1:38" ht="43.5" x14ac:dyDescent="0.35">
      <c r="A185" s="43" t="s">
        <v>306</v>
      </c>
      <c r="B185" s="2" t="s">
        <v>31</v>
      </c>
      <c r="C185" s="26" t="s">
        <v>36</v>
      </c>
      <c r="D185" s="27">
        <v>6256</v>
      </c>
      <c r="E185" s="26" t="s">
        <v>312</v>
      </c>
      <c r="F185" s="74" t="s">
        <v>3489</v>
      </c>
      <c r="G185" s="65">
        <v>45412</v>
      </c>
      <c r="H185" s="26" t="s">
        <v>150</v>
      </c>
      <c r="I185" s="67" t="s">
        <v>3490</v>
      </c>
      <c r="J185" s="47" t="s">
        <v>89</v>
      </c>
      <c r="K185" s="68" t="s">
        <v>84</v>
      </c>
      <c r="L185" s="26" t="s">
        <v>3491</v>
      </c>
      <c r="M185" s="2" t="s">
        <v>3492</v>
      </c>
      <c r="N185" s="28">
        <v>424809090.75630254</v>
      </c>
      <c r="O185" s="28">
        <v>80713727.243697479</v>
      </c>
      <c r="P185" s="3">
        <v>505522818</v>
      </c>
      <c r="Q185" s="70" t="s">
        <v>302</v>
      </c>
      <c r="R185" s="3"/>
      <c r="S185" s="28">
        <f>+Tabla15133[[#This Row],[VALOR TOTAL DEL CONTRATO
(en pesos)
CON IVA
(inicial)]]+Tabla15133[[#This Row],[VALOR DE LAS ADICIONES
(en pesos)
CON IVA]]</f>
        <v>505522818</v>
      </c>
      <c r="T185" s="37">
        <v>729</v>
      </c>
      <c r="U185" s="70" t="s">
        <v>302</v>
      </c>
      <c r="V185" s="101"/>
      <c r="W185" s="70" t="s">
        <v>302</v>
      </c>
      <c r="X185" s="70"/>
      <c r="Y185" s="65">
        <v>45412</v>
      </c>
      <c r="Z185" s="65">
        <v>46141</v>
      </c>
      <c r="AA185" s="144">
        <v>46141</v>
      </c>
      <c r="AB185" s="64" t="s">
        <v>303</v>
      </c>
      <c r="AC185" s="71"/>
      <c r="AD185" s="70"/>
      <c r="AE185" s="30">
        <v>0.79200000000000004</v>
      </c>
      <c r="AF185" s="30">
        <v>0.93</v>
      </c>
      <c r="AG185" s="31">
        <v>470221068</v>
      </c>
      <c r="AH185" s="154"/>
      <c r="AI185" s="56" t="s">
        <v>3493</v>
      </c>
      <c r="AJ185" s="44">
        <v>2024</v>
      </c>
      <c r="AL185" s="2"/>
    </row>
    <row r="186" spans="1:38" ht="43.5" x14ac:dyDescent="0.35">
      <c r="A186" s="43" t="s">
        <v>306</v>
      </c>
      <c r="B186" s="2" t="s">
        <v>11</v>
      </c>
      <c r="C186" s="26" t="s">
        <v>20</v>
      </c>
      <c r="D186" s="27">
        <v>6322</v>
      </c>
      <c r="E186" s="2" t="s">
        <v>300</v>
      </c>
      <c r="F186" s="66" t="s">
        <v>3494</v>
      </c>
      <c r="G186" s="65">
        <v>45412</v>
      </c>
      <c r="H186" s="26" t="s">
        <v>150</v>
      </c>
      <c r="I186" s="67" t="s">
        <v>3495</v>
      </c>
      <c r="J186" s="47" t="s">
        <v>89</v>
      </c>
      <c r="K186" s="68" t="s">
        <v>84</v>
      </c>
      <c r="L186" s="26" t="s">
        <v>3496</v>
      </c>
      <c r="M186" s="2" t="s">
        <v>366</v>
      </c>
      <c r="N186" s="28">
        <v>63460301</v>
      </c>
      <c r="O186" s="143">
        <v>0</v>
      </c>
      <c r="P186" s="3">
        <v>63460301</v>
      </c>
      <c r="Q186" s="70" t="s">
        <v>302</v>
      </c>
      <c r="R186" s="3"/>
      <c r="S186" s="28">
        <f>+Tabla15133[[#This Row],[VALOR TOTAL DEL CONTRATO
(en pesos)
CON IVA
(inicial)]]+Tabla15133[[#This Row],[VALOR DE LAS ADICIONES
(en pesos)
CON IVA]]</f>
        <v>63460301</v>
      </c>
      <c r="T186" s="37">
        <v>243</v>
      </c>
      <c r="U186" s="70" t="s">
        <v>302</v>
      </c>
      <c r="V186" s="101"/>
      <c r="W186" s="70" t="s">
        <v>302</v>
      </c>
      <c r="X186" s="70"/>
      <c r="Y186" s="65">
        <v>45414</v>
      </c>
      <c r="Z186" s="65">
        <v>45657</v>
      </c>
      <c r="AA186" s="144">
        <v>45657</v>
      </c>
      <c r="AB186" s="64" t="s">
        <v>323</v>
      </c>
      <c r="AC186" s="71">
        <v>45730</v>
      </c>
      <c r="AD186" s="71" t="s">
        <v>321</v>
      </c>
      <c r="AE186" s="30">
        <v>1</v>
      </c>
      <c r="AF186" s="30">
        <v>0.81</v>
      </c>
      <c r="AG186" s="31">
        <v>51336270</v>
      </c>
      <c r="AH186" s="154"/>
      <c r="AI186" s="56" t="s">
        <v>3497</v>
      </c>
      <c r="AJ186" s="44">
        <v>2024</v>
      </c>
      <c r="AL186" s="2"/>
    </row>
    <row r="187" spans="1:38" ht="43.5" x14ac:dyDescent="0.35">
      <c r="A187" s="43" t="s">
        <v>306</v>
      </c>
      <c r="B187" s="2" t="s">
        <v>333</v>
      </c>
      <c r="C187" s="26" t="s">
        <v>63</v>
      </c>
      <c r="D187" s="27">
        <v>6358</v>
      </c>
      <c r="E187" s="2" t="s">
        <v>300</v>
      </c>
      <c r="F187" s="66" t="s">
        <v>3498</v>
      </c>
      <c r="G187" s="65">
        <v>45414</v>
      </c>
      <c r="H187" s="26" t="s">
        <v>150</v>
      </c>
      <c r="I187" s="67" t="s">
        <v>3499</v>
      </c>
      <c r="J187" s="47" t="s">
        <v>89</v>
      </c>
      <c r="K187" s="68" t="s">
        <v>84</v>
      </c>
      <c r="L187" s="26" t="s">
        <v>1545</v>
      </c>
      <c r="M187" s="2" t="s">
        <v>386</v>
      </c>
      <c r="N187" s="36">
        <v>476000000</v>
      </c>
      <c r="O187" s="143">
        <v>0</v>
      </c>
      <c r="P187" s="3">
        <v>476000000</v>
      </c>
      <c r="Q187" s="70" t="s">
        <v>302</v>
      </c>
      <c r="R187" s="3"/>
      <c r="S187" s="28">
        <f>+Tabla15133[[#This Row],[VALOR TOTAL DEL CONTRATO
(en pesos)
CON IVA
(inicial)]]+Tabla15133[[#This Row],[VALOR DE LAS ADICIONES
(en pesos)
CON IVA]]</f>
        <v>476000000</v>
      </c>
      <c r="T187" s="37">
        <v>364</v>
      </c>
      <c r="U187" s="70" t="s">
        <v>302</v>
      </c>
      <c r="V187" s="101"/>
      <c r="W187" s="70" t="s">
        <v>302</v>
      </c>
      <c r="X187" s="70"/>
      <c r="Y187" s="65">
        <v>45414</v>
      </c>
      <c r="Z187" s="65">
        <v>45778</v>
      </c>
      <c r="AA187" s="144">
        <v>45778</v>
      </c>
      <c r="AB187" s="64" t="s">
        <v>325</v>
      </c>
      <c r="AC187" s="71"/>
      <c r="AD187" s="70" t="s">
        <v>321</v>
      </c>
      <c r="AE187" s="30">
        <v>1.1407</v>
      </c>
      <c r="AF187" s="30">
        <v>1.1407</v>
      </c>
      <c r="AG187" s="31">
        <v>542978274</v>
      </c>
      <c r="AH187" s="154"/>
      <c r="AI187" s="56" t="s">
        <v>3500</v>
      </c>
      <c r="AJ187" s="44">
        <v>2024</v>
      </c>
      <c r="AL187" s="2"/>
    </row>
    <row r="188" spans="1:38" ht="29" x14ac:dyDescent="0.35">
      <c r="A188" s="43" t="s">
        <v>306</v>
      </c>
      <c r="B188" s="2" t="s">
        <v>333</v>
      </c>
      <c r="C188" s="26" t="s">
        <v>63</v>
      </c>
      <c r="D188" s="27">
        <v>6357</v>
      </c>
      <c r="E188" s="2" t="s">
        <v>300</v>
      </c>
      <c r="F188" s="66" t="s">
        <v>3501</v>
      </c>
      <c r="G188" s="65">
        <v>45414</v>
      </c>
      <c r="H188" s="26" t="s">
        <v>150</v>
      </c>
      <c r="I188" s="67" t="s">
        <v>3499</v>
      </c>
      <c r="J188" s="47" t="s">
        <v>89</v>
      </c>
      <c r="K188" s="68" t="s">
        <v>84</v>
      </c>
      <c r="L188" s="26" t="s">
        <v>1548</v>
      </c>
      <c r="M188" s="2" t="s">
        <v>387</v>
      </c>
      <c r="N188" s="36">
        <v>357000000</v>
      </c>
      <c r="O188" s="143">
        <v>0</v>
      </c>
      <c r="P188" s="3">
        <v>357000000</v>
      </c>
      <c r="Q188" s="70" t="s">
        <v>302</v>
      </c>
      <c r="R188" s="3"/>
      <c r="S188" s="28">
        <f>+Tabla15133[[#This Row],[VALOR TOTAL DEL CONTRATO
(en pesos)
CON IVA
(inicial)]]+Tabla15133[[#This Row],[VALOR DE LAS ADICIONES
(en pesos)
CON IVA]]</f>
        <v>357000000</v>
      </c>
      <c r="T188" s="37">
        <v>364</v>
      </c>
      <c r="U188" s="70" t="s">
        <v>302</v>
      </c>
      <c r="V188" s="101"/>
      <c r="W188" s="70" t="s">
        <v>302</v>
      </c>
      <c r="X188" s="70"/>
      <c r="Y188" s="65">
        <v>45414</v>
      </c>
      <c r="Z188" s="65">
        <v>45778</v>
      </c>
      <c r="AA188" s="144">
        <v>45778</v>
      </c>
      <c r="AB188" s="64" t="s">
        <v>325</v>
      </c>
      <c r="AC188" s="71"/>
      <c r="AD188" s="70" t="s">
        <v>321</v>
      </c>
      <c r="AE188" s="30">
        <v>0.7026</v>
      </c>
      <c r="AF188" s="30">
        <v>0.7026</v>
      </c>
      <c r="AG188" s="31">
        <v>250819995</v>
      </c>
      <c r="AH188" s="154"/>
      <c r="AI188" s="56" t="s">
        <v>3502</v>
      </c>
      <c r="AJ188" s="44">
        <v>2024</v>
      </c>
      <c r="AL188" s="2"/>
    </row>
    <row r="189" spans="1:38" ht="29" x14ac:dyDescent="0.35">
      <c r="A189" s="43" t="s">
        <v>306</v>
      </c>
      <c r="B189" s="2" t="s">
        <v>333</v>
      </c>
      <c r="C189" s="26" t="s">
        <v>63</v>
      </c>
      <c r="D189" s="27">
        <v>6354</v>
      </c>
      <c r="E189" s="2" t="s">
        <v>300</v>
      </c>
      <c r="F189" s="66" t="s">
        <v>3503</v>
      </c>
      <c r="G189" s="65">
        <v>45414</v>
      </c>
      <c r="H189" s="26" t="s">
        <v>150</v>
      </c>
      <c r="I189" s="67" t="s">
        <v>3499</v>
      </c>
      <c r="J189" s="47" t="s">
        <v>89</v>
      </c>
      <c r="K189" s="68" t="s">
        <v>84</v>
      </c>
      <c r="L189" s="26" t="s">
        <v>3504</v>
      </c>
      <c r="M189" s="2" t="s">
        <v>3505</v>
      </c>
      <c r="N189" s="36">
        <v>476000000</v>
      </c>
      <c r="O189" s="143">
        <v>0</v>
      </c>
      <c r="P189" s="3">
        <v>476000000</v>
      </c>
      <c r="Q189" s="70" t="s">
        <v>302</v>
      </c>
      <c r="R189" s="3"/>
      <c r="S189" s="28">
        <f>+Tabla15133[[#This Row],[VALOR TOTAL DEL CONTRATO
(en pesos)
CON IVA
(inicial)]]+Tabla15133[[#This Row],[VALOR DE LAS ADICIONES
(en pesos)
CON IVA]]</f>
        <v>476000000</v>
      </c>
      <c r="T189" s="37">
        <v>364</v>
      </c>
      <c r="U189" s="70" t="s">
        <v>302</v>
      </c>
      <c r="V189" s="101"/>
      <c r="W189" s="70" t="s">
        <v>302</v>
      </c>
      <c r="X189" s="70"/>
      <c r="Y189" s="65">
        <v>45414</v>
      </c>
      <c r="Z189" s="65">
        <v>45778</v>
      </c>
      <c r="AA189" s="144">
        <v>45778</v>
      </c>
      <c r="AB189" s="64" t="s">
        <v>325</v>
      </c>
      <c r="AC189" s="71"/>
      <c r="AD189" s="70" t="s">
        <v>321</v>
      </c>
      <c r="AE189" s="30">
        <v>0.89639999999999997</v>
      </c>
      <c r="AF189" s="30">
        <v>0.89639999999999997</v>
      </c>
      <c r="AG189" s="31">
        <v>426709934</v>
      </c>
      <c r="AH189" s="154"/>
      <c r="AI189" s="56" t="s">
        <v>3506</v>
      </c>
      <c r="AJ189" s="44">
        <v>2024</v>
      </c>
      <c r="AL189" s="2"/>
    </row>
    <row r="190" spans="1:38" ht="29" x14ac:dyDescent="0.35">
      <c r="A190" s="43" t="s">
        <v>306</v>
      </c>
      <c r="B190" s="2" t="s">
        <v>333</v>
      </c>
      <c r="C190" s="26" t="s">
        <v>63</v>
      </c>
      <c r="D190" s="27">
        <v>6348</v>
      </c>
      <c r="E190" s="2" t="s">
        <v>300</v>
      </c>
      <c r="F190" s="66" t="s">
        <v>3507</v>
      </c>
      <c r="G190" s="65">
        <v>45414</v>
      </c>
      <c r="H190" s="26" t="s">
        <v>150</v>
      </c>
      <c r="I190" s="67" t="s">
        <v>3466</v>
      </c>
      <c r="J190" s="47" t="s">
        <v>89</v>
      </c>
      <c r="K190" s="68" t="s">
        <v>84</v>
      </c>
      <c r="L190" s="26" t="s">
        <v>3508</v>
      </c>
      <c r="M190" s="2" t="s">
        <v>3509</v>
      </c>
      <c r="N190" s="36">
        <v>238000000</v>
      </c>
      <c r="O190" s="143">
        <v>0</v>
      </c>
      <c r="P190" s="3">
        <v>238000000</v>
      </c>
      <c r="Q190" s="70" t="s">
        <v>302</v>
      </c>
      <c r="R190" s="3"/>
      <c r="S190" s="28">
        <f>+Tabla15133[[#This Row],[VALOR TOTAL DEL CONTRATO
(en pesos)
CON IVA
(inicial)]]+Tabla15133[[#This Row],[VALOR DE LAS ADICIONES
(en pesos)
CON IVA]]</f>
        <v>238000000</v>
      </c>
      <c r="T190" s="37">
        <v>364</v>
      </c>
      <c r="U190" s="70" t="s">
        <v>302</v>
      </c>
      <c r="V190" s="101"/>
      <c r="W190" s="70" t="s">
        <v>302</v>
      </c>
      <c r="X190" s="70"/>
      <c r="Y190" s="65">
        <v>45414</v>
      </c>
      <c r="Z190" s="65">
        <v>45778</v>
      </c>
      <c r="AA190" s="144">
        <v>45778</v>
      </c>
      <c r="AB190" s="64" t="s">
        <v>325</v>
      </c>
      <c r="AC190" s="71"/>
      <c r="AD190" s="70" t="s">
        <v>321</v>
      </c>
      <c r="AE190" s="30">
        <v>0.8145</v>
      </c>
      <c r="AF190" s="30">
        <v>0.8145</v>
      </c>
      <c r="AG190" s="31">
        <v>173155186</v>
      </c>
      <c r="AH190" s="154"/>
      <c r="AI190" s="56" t="s">
        <v>3510</v>
      </c>
      <c r="AJ190" s="44">
        <v>2024</v>
      </c>
      <c r="AL190" s="2"/>
    </row>
    <row r="191" spans="1:38" ht="29" x14ac:dyDescent="0.35">
      <c r="A191" s="43" t="s">
        <v>306</v>
      </c>
      <c r="B191" s="2" t="s">
        <v>333</v>
      </c>
      <c r="C191" s="26" t="s">
        <v>63</v>
      </c>
      <c r="D191" s="27">
        <v>6375</v>
      </c>
      <c r="E191" s="2" t="s">
        <v>300</v>
      </c>
      <c r="F191" s="66" t="s">
        <v>3511</v>
      </c>
      <c r="G191" s="65">
        <v>45414</v>
      </c>
      <c r="H191" s="26" t="s">
        <v>150</v>
      </c>
      <c r="I191" s="67" t="s">
        <v>3499</v>
      </c>
      <c r="J191" s="47" t="s">
        <v>89</v>
      </c>
      <c r="K191" s="68" t="s">
        <v>84</v>
      </c>
      <c r="L191" s="26" t="s">
        <v>1552</v>
      </c>
      <c r="M191" s="2" t="s">
        <v>388</v>
      </c>
      <c r="N191" s="36">
        <v>476000000</v>
      </c>
      <c r="O191" s="143">
        <v>0</v>
      </c>
      <c r="P191" s="3">
        <v>476000000</v>
      </c>
      <c r="Q191" s="70" t="s">
        <v>302</v>
      </c>
      <c r="R191" s="3"/>
      <c r="S191" s="28">
        <f>+Tabla15133[[#This Row],[VALOR TOTAL DEL CONTRATO
(en pesos)
CON IVA
(inicial)]]+Tabla15133[[#This Row],[VALOR DE LAS ADICIONES
(en pesos)
CON IVA]]</f>
        <v>476000000</v>
      </c>
      <c r="T191" s="37">
        <v>364</v>
      </c>
      <c r="U191" s="70" t="s">
        <v>302</v>
      </c>
      <c r="V191" s="101"/>
      <c r="W191" s="70" t="s">
        <v>302</v>
      </c>
      <c r="X191" s="70"/>
      <c r="Y191" s="65">
        <v>45414</v>
      </c>
      <c r="Z191" s="65">
        <v>45778</v>
      </c>
      <c r="AA191" s="144">
        <v>45778</v>
      </c>
      <c r="AB191" s="64" t="s">
        <v>325</v>
      </c>
      <c r="AC191" s="71"/>
      <c r="AD191" s="70" t="s">
        <v>321</v>
      </c>
      <c r="AE191" s="30">
        <v>5.0299999999999997E-2</v>
      </c>
      <c r="AF191" s="30">
        <v>5.0299999999999997E-2</v>
      </c>
      <c r="AG191" s="31">
        <v>23954320</v>
      </c>
      <c r="AH191" s="154"/>
      <c r="AI191" s="56" t="s">
        <v>3512</v>
      </c>
      <c r="AJ191" s="44">
        <v>2024</v>
      </c>
      <c r="AL191" s="2"/>
    </row>
    <row r="192" spans="1:38" ht="29" x14ac:dyDescent="0.35">
      <c r="A192" s="43" t="s">
        <v>306</v>
      </c>
      <c r="B192" s="2" t="s">
        <v>333</v>
      </c>
      <c r="C192" s="26" t="s">
        <v>63</v>
      </c>
      <c r="D192" s="27">
        <v>6347</v>
      </c>
      <c r="E192" s="2" t="s">
        <v>300</v>
      </c>
      <c r="F192" s="66" t="s">
        <v>3513</v>
      </c>
      <c r="G192" s="65">
        <v>45414</v>
      </c>
      <c r="H192" s="26" t="s">
        <v>150</v>
      </c>
      <c r="I192" s="67" t="s">
        <v>3466</v>
      </c>
      <c r="J192" s="47" t="s">
        <v>89</v>
      </c>
      <c r="K192" s="68" t="s">
        <v>84</v>
      </c>
      <c r="L192" s="26" t="s">
        <v>3514</v>
      </c>
      <c r="M192" s="2" t="s">
        <v>3515</v>
      </c>
      <c r="N192" s="36">
        <v>119000000</v>
      </c>
      <c r="O192" s="143">
        <v>0</v>
      </c>
      <c r="P192" s="3">
        <v>119000000</v>
      </c>
      <c r="Q192" s="70" t="s">
        <v>302</v>
      </c>
      <c r="R192" s="3"/>
      <c r="S192" s="28">
        <f>+Tabla15133[[#This Row],[VALOR TOTAL DEL CONTRATO
(en pesos)
CON IVA
(inicial)]]+Tabla15133[[#This Row],[VALOR DE LAS ADICIONES
(en pesos)
CON IVA]]</f>
        <v>119000000</v>
      </c>
      <c r="T192" s="37">
        <v>364</v>
      </c>
      <c r="U192" s="70" t="s">
        <v>302</v>
      </c>
      <c r="V192" s="101"/>
      <c r="W192" s="70" t="s">
        <v>302</v>
      </c>
      <c r="X192" s="70"/>
      <c r="Y192" s="65">
        <v>45414</v>
      </c>
      <c r="Z192" s="65">
        <v>45778</v>
      </c>
      <c r="AA192" s="144">
        <v>45778</v>
      </c>
      <c r="AB192" s="64" t="s">
        <v>325</v>
      </c>
      <c r="AC192" s="71"/>
      <c r="AD192" s="70" t="s">
        <v>321</v>
      </c>
      <c r="AE192" s="30">
        <v>0.66</v>
      </c>
      <c r="AF192" s="30">
        <v>0.5</v>
      </c>
      <c r="AG192" s="31">
        <v>217567441</v>
      </c>
      <c r="AH192" s="154"/>
      <c r="AI192" s="56" t="s">
        <v>3516</v>
      </c>
      <c r="AJ192" s="44">
        <v>2024</v>
      </c>
      <c r="AL192" s="2"/>
    </row>
    <row r="193" spans="1:38" ht="29" x14ac:dyDescent="0.35">
      <c r="A193" s="43" t="s">
        <v>306</v>
      </c>
      <c r="B193" s="2" t="s">
        <v>333</v>
      </c>
      <c r="C193" s="26" t="s">
        <v>63</v>
      </c>
      <c r="D193" s="27">
        <v>6353</v>
      </c>
      <c r="E193" s="2" t="s">
        <v>300</v>
      </c>
      <c r="F193" s="66" t="s">
        <v>3517</v>
      </c>
      <c r="G193" s="65">
        <v>45414</v>
      </c>
      <c r="H193" s="26" t="s">
        <v>150</v>
      </c>
      <c r="I193" s="67" t="s">
        <v>3499</v>
      </c>
      <c r="J193" s="47" t="s">
        <v>89</v>
      </c>
      <c r="K193" s="68" t="s">
        <v>84</v>
      </c>
      <c r="L193" s="26" t="s">
        <v>3518</v>
      </c>
      <c r="M193" s="2" t="s">
        <v>3519</v>
      </c>
      <c r="N193" s="36">
        <v>476000000</v>
      </c>
      <c r="O193" s="143">
        <v>0</v>
      </c>
      <c r="P193" s="3">
        <v>476000000</v>
      </c>
      <c r="Q193" s="70" t="s">
        <v>302</v>
      </c>
      <c r="R193" s="3"/>
      <c r="S193" s="28">
        <f>+Tabla15133[[#This Row],[VALOR TOTAL DEL CONTRATO
(en pesos)
CON IVA
(inicial)]]+Tabla15133[[#This Row],[VALOR DE LAS ADICIONES
(en pesos)
CON IVA]]</f>
        <v>476000000</v>
      </c>
      <c r="T193" s="37">
        <v>364</v>
      </c>
      <c r="U193" s="70" t="s">
        <v>302</v>
      </c>
      <c r="V193" s="101"/>
      <c r="W193" s="70" t="s">
        <v>302</v>
      </c>
      <c r="X193" s="70"/>
      <c r="Y193" s="65">
        <v>45414</v>
      </c>
      <c r="Z193" s="65">
        <v>45778</v>
      </c>
      <c r="AA193" s="144">
        <v>45778</v>
      </c>
      <c r="AB193" s="64" t="s">
        <v>325</v>
      </c>
      <c r="AC193" s="71"/>
      <c r="AD193" s="70" t="s">
        <v>321</v>
      </c>
      <c r="AE193" s="30">
        <v>0.66</v>
      </c>
      <c r="AF193" s="30">
        <v>0.5</v>
      </c>
      <c r="AG193" s="31">
        <v>294224855</v>
      </c>
      <c r="AH193" s="154"/>
      <c r="AI193" s="56" t="s">
        <v>3520</v>
      </c>
      <c r="AJ193" s="44">
        <v>2024</v>
      </c>
      <c r="AL193" s="2"/>
    </row>
    <row r="194" spans="1:38" ht="29" x14ac:dyDescent="0.35">
      <c r="A194" s="43" t="s">
        <v>306</v>
      </c>
      <c r="B194" s="2" t="s">
        <v>333</v>
      </c>
      <c r="C194" s="26" t="s">
        <v>63</v>
      </c>
      <c r="D194" s="27">
        <v>6360</v>
      </c>
      <c r="E194" s="2" t="s">
        <v>300</v>
      </c>
      <c r="F194" s="66" t="s">
        <v>3521</v>
      </c>
      <c r="G194" s="65">
        <v>45414</v>
      </c>
      <c r="H194" s="26" t="s">
        <v>150</v>
      </c>
      <c r="I194" s="67" t="s">
        <v>3499</v>
      </c>
      <c r="J194" s="47" t="s">
        <v>89</v>
      </c>
      <c r="K194" s="68" t="s">
        <v>84</v>
      </c>
      <c r="L194" s="26" t="s">
        <v>1553</v>
      </c>
      <c r="M194" s="2" t="s">
        <v>389</v>
      </c>
      <c r="N194" s="36">
        <v>238000000</v>
      </c>
      <c r="O194" s="143">
        <v>0</v>
      </c>
      <c r="P194" s="3">
        <v>238000000</v>
      </c>
      <c r="Q194" s="70" t="s">
        <v>302</v>
      </c>
      <c r="R194" s="3"/>
      <c r="S194" s="28">
        <f>+Tabla15133[[#This Row],[VALOR TOTAL DEL CONTRATO
(en pesos)
CON IVA
(inicial)]]+Tabla15133[[#This Row],[VALOR DE LAS ADICIONES
(en pesos)
CON IVA]]</f>
        <v>238000000</v>
      </c>
      <c r="T194" s="37">
        <v>364</v>
      </c>
      <c r="U194" s="70" t="s">
        <v>302</v>
      </c>
      <c r="V194" s="101"/>
      <c r="W194" s="70" t="s">
        <v>302</v>
      </c>
      <c r="X194" s="70"/>
      <c r="Y194" s="65">
        <v>45414</v>
      </c>
      <c r="Z194" s="65">
        <v>45778</v>
      </c>
      <c r="AA194" s="144">
        <v>45778</v>
      </c>
      <c r="AB194" s="64" t="s">
        <v>325</v>
      </c>
      <c r="AC194" s="71"/>
      <c r="AD194" s="70" t="s">
        <v>321</v>
      </c>
      <c r="AE194" s="30">
        <v>0.66</v>
      </c>
      <c r="AF194" s="30">
        <v>0.5</v>
      </c>
      <c r="AG194" s="31">
        <v>264279801</v>
      </c>
      <c r="AH194" s="154"/>
      <c r="AI194" s="56" t="s">
        <v>3522</v>
      </c>
      <c r="AJ194" s="44">
        <v>2024</v>
      </c>
      <c r="AL194" s="2"/>
    </row>
    <row r="195" spans="1:38" ht="29" x14ac:dyDescent="0.35">
      <c r="A195" s="43" t="s">
        <v>306</v>
      </c>
      <c r="B195" s="2" t="s">
        <v>333</v>
      </c>
      <c r="C195" s="26" t="s">
        <v>63</v>
      </c>
      <c r="D195" s="27">
        <v>6374</v>
      </c>
      <c r="E195" s="2" t="s">
        <v>300</v>
      </c>
      <c r="F195" s="66" t="s">
        <v>3523</v>
      </c>
      <c r="G195" s="65">
        <v>45414</v>
      </c>
      <c r="H195" s="26" t="s">
        <v>150</v>
      </c>
      <c r="I195" s="67" t="s">
        <v>3499</v>
      </c>
      <c r="J195" s="47" t="s">
        <v>89</v>
      </c>
      <c r="K195" s="68" t="s">
        <v>84</v>
      </c>
      <c r="L195" s="26" t="s">
        <v>1544</v>
      </c>
      <c r="M195" s="2" t="s">
        <v>3524</v>
      </c>
      <c r="N195" s="36">
        <v>178500000</v>
      </c>
      <c r="O195" s="143">
        <v>0</v>
      </c>
      <c r="P195" s="3">
        <v>178500000</v>
      </c>
      <c r="Q195" s="70" t="s">
        <v>302</v>
      </c>
      <c r="R195" s="3"/>
      <c r="S195" s="28">
        <f>+Tabla15133[[#This Row],[VALOR TOTAL DEL CONTRATO
(en pesos)
CON IVA
(inicial)]]+Tabla15133[[#This Row],[VALOR DE LAS ADICIONES
(en pesos)
CON IVA]]</f>
        <v>178500000</v>
      </c>
      <c r="T195" s="37">
        <v>364</v>
      </c>
      <c r="U195" s="70" t="s">
        <v>302</v>
      </c>
      <c r="V195" s="101"/>
      <c r="W195" s="70" t="s">
        <v>302</v>
      </c>
      <c r="X195" s="70"/>
      <c r="Y195" s="65">
        <v>45427</v>
      </c>
      <c r="Z195" s="65">
        <v>45791</v>
      </c>
      <c r="AA195" s="144">
        <v>45791</v>
      </c>
      <c r="AB195" s="64" t="s">
        <v>325</v>
      </c>
      <c r="AC195" s="71"/>
      <c r="AD195" s="70" t="s">
        <v>321</v>
      </c>
      <c r="AE195" s="30">
        <v>0.66</v>
      </c>
      <c r="AF195" s="30">
        <v>0.5</v>
      </c>
      <c r="AG195" s="31">
        <v>50056320</v>
      </c>
      <c r="AH195" s="154"/>
      <c r="AI195" s="56" t="s">
        <v>3525</v>
      </c>
      <c r="AJ195" s="44">
        <v>2024</v>
      </c>
      <c r="AL195" s="2"/>
    </row>
    <row r="196" spans="1:38" ht="39" x14ac:dyDescent="0.35">
      <c r="A196" s="43" t="s">
        <v>306</v>
      </c>
      <c r="B196" s="2" t="s">
        <v>333</v>
      </c>
      <c r="C196" s="26" t="s">
        <v>63</v>
      </c>
      <c r="D196" s="27">
        <v>6376</v>
      </c>
      <c r="E196" s="2" t="s">
        <v>300</v>
      </c>
      <c r="F196" s="66" t="s">
        <v>3526</v>
      </c>
      <c r="G196" s="65">
        <v>45414</v>
      </c>
      <c r="H196" s="26" t="s">
        <v>150</v>
      </c>
      <c r="I196" s="67" t="s">
        <v>3499</v>
      </c>
      <c r="J196" s="47" t="s">
        <v>89</v>
      </c>
      <c r="K196" s="68" t="s">
        <v>84</v>
      </c>
      <c r="L196" s="26" t="s">
        <v>1551</v>
      </c>
      <c r="M196" s="2" t="s">
        <v>390</v>
      </c>
      <c r="N196" s="36">
        <v>476000000</v>
      </c>
      <c r="O196" s="143">
        <v>0</v>
      </c>
      <c r="P196" s="3">
        <v>476000000</v>
      </c>
      <c r="Q196" s="70" t="s">
        <v>302</v>
      </c>
      <c r="R196" s="3"/>
      <c r="S196" s="28">
        <f>+Tabla15133[[#This Row],[VALOR TOTAL DEL CONTRATO
(en pesos)
CON IVA
(inicial)]]+Tabla15133[[#This Row],[VALOR DE LAS ADICIONES
(en pesos)
CON IVA]]</f>
        <v>476000000</v>
      </c>
      <c r="T196" s="37">
        <v>364</v>
      </c>
      <c r="U196" s="70" t="s">
        <v>302</v>
      </c>
      <c r="V196" s="101"/>
      <c r="W196" s="70" t="s">
        <v>302</v>
      </c>
      <c r="X196" s="70"/>
      <c r="Y196" s="65">
        <v>45414</v>
      </c>
      <c r="Z196" s="65">
        <v>45778</v>
      </c>
      <c r="AA196" s="144">
        <v>45778</v>
      </c>
      <c r="AB196" s="64" t="s">
        <v>325</v>
      </c>
      <c r="AC196" s="71"/>
      <c r="AD196" s="70" t="s">
        <v>321</v>
      </c>
      <c r="AE196" s="30">
        <v>0.66</v>
      </c>
      <c r="AF196" s="30">
        <v>0.5</v>
      </c>
      <c r="AG196" s="31">
        <v>1292763108</v>
      </c>
      <c r="AH196" s="154" t="s">
        <v>1403</v>
      </c>
      <c r="AI196" s="56" t="s">
        <v>3527</v>
      </c>
      <c r="AJ196" s="44">
        <v>2024</v>
      </c>
      <c r="AL196" s="2"/>
    </row>
    <row r="197" spans="1:38" ht="29" x14ac:dyDescent="0.35">
      <c r="A197" s="43" t="s">
        <v>306</v>
      </c>
      <c r="B197" s="2" t="s">
        <v>333</v>
      </c>
      <c r="C197" s="26" t="s">
        <v>63</v>
      </c>
      <c r="D197" s="27">
        <v>6362</v>
      </c>
      <c r="E197" s="2" t="s">
        <v>300</v>
      </c>
      <c r="F197" s="66" t="s">
        <v>3528</v>
      </c>
      <c r="G197" s="65">
        <v>45414</v>
      </c>
      <c r="H197" s="26" t="s">
        <v>150</v>
      </c>
      <c r="I197" s="67" t="s">
        <v>3499</v>
      </c>
      <c r="J197" s="47" t="s">
        <v>89</v>
      </c>
      <c r="K197" s="68" t="s">
        <v>84</v>
      </c>
      <c r="L197" s="26" t="s">
        <v>1555</v>
      </c>
      <c r="M197" s="2" t="s">
        <v>3529</v>
      </c>
      <c r="N197" s="36">
        <v>238000000</v>
      </c>
      <c r="O197" s="143">
        <v>0</v>
      </c>
      <c r="P197" s="3">
        <v>238000000</v>
      </c>
      <c r="Q197" s="70" t="s">
        <v>302</v>
      </c>
      <c r="R197" s="3"/>
      <c r="S197" s="28">
        <f>+Tabla15133[[#This Row],[VALOR TOTAL DEL CONTRATO
(en pesos)
CON IVA
(inicial)]]+Tabla15133[[#This Row],[VALOR DE LAS ADICIONES
(en pesos)
CON IVA]]</f>
        <v>238000000</v>
      </c>
      <c r="T197" s="37">
        <v>364</v>
      </c>
      <c r="U197" s="70" t="s">
        <v>302</v>
      </c>
      <c r="V197" s="101"/>
      <c r="W197" s="70" t="s">
        <v>302</v>
      </c>
      <c r="X197" s="70"/>
      <c r="Y197" s="65">
        <v>45414</v>
      </c>
      <c r="Z197" s="65">
        <v>45778</v>
      </c>
      <c r="AA197" s="144">
        <v>45778</v>
      </c>
      <c r="AB197" s="64" t="s">
        <v>325</v>
      </c>
      <c r="AC197" s="71"/>
      <c r="AD197" s="70" t="s">
        <v>321</v>
      </c>
      <c r="AE197" s="30">
        <v>0.66</v>
      </c>
      <c r="AF197" s="30">
        <v>0.5</v>
      </c>
      <c r="AG197" s="31">
        <v>71867795</v>
      </c>
      <c r="AH197" s="154"/>
      <c r="AI197" s="56" t="s">
        <v>3530</v>
      </c>
      <c r="AJ197" s="44">
        <v>2024</v>
      </c>
      <c r="AL197" s="2"/>
    </row>
    <row r="198" spans="1:38" ht="29" x14ac:dyDescent="0.35">
      <c r="A198" s="43" t="s">
        <v>306</v>
      </c>
      <c r="B198" s="2" t="s">
        <v>333</v>
      </c>
      <c r="C198" s="26" t="s">
        <v>63</v>
      </c>
      <c r="D198" s="27">
        <v>6363</v>
      </c>
      <c r="E198" s="2" t="s">
        <v>300</v>
      </c>
      <c r="F198" s="66" t="s">
        <v>3531</v>
      </c>
      <c r="G198" s="65">
        <v>45414</v>
      </c>
      <c r="H198" s="26" t="s">
        <v>150</v>
      </c>
      <c r="I198" s="67" t="s">
        <v>3499</v>
      </c>
      <c r="J198" s="47" t="s">
        <v>89</v>
      </c>
      <c r="K198" s="68" t="s">
        <v>84</v>
      </c>
      <c r="L198" s="26" t="s">
        <v>3532</v>
      </c>
      <c r="M198" s="2" t="s">
        <v>3533</v>
      </c>
      <c r="N198" s="36">
        <v>357000000</v>
      </c>
      <c r="O198" s="143">
        <v>0</v>
      </c>
      <c r="P198" s="3">
        <v>357000000</v>
      </c>
      <c r="Q198" s="70" t="s">
        <v>302</v>
      </c>
      <c r="R198" s="3"/>
      <c r="S198" s="28">
        <f>+Tabla15133[[#This Row],[VALOR TOTAL DEL CONTRATO
(en pesos)
CON IVA
(inicial)]]+Tabla15133[[#This Row],[VALOR DE LAS ADICIONES
(en pesos)
CON IVA]]</f>
        <v>357000000</v>
      </c>
      <c r="T198" s="37">
        <v>364</v>
      </c>
      <c r="U198" s="70" t="s">
        <v>302</v>
      </c>
      <c r="V198" s="101"/>
      <c r="W198" s="70" t="s">
        <v>302</v>
      </c>
      <c r="X198" s="70"/>
      <c r="Y198" s="65">
        <v>45414</v>
      </c>
      <c r="Z198" s="65">
        <v>45778</v>
      </c>
      <c r="AA198" s="144">
        <v>45778</v>
      </c>
      <c r="AB198" s="64" t="s">
        <v>325</v>
      </c>
      <c r="AC198" s="71"/>
      <c r="AD198" s="70" t="s">
        <v>321</v>
      </c>
      <c r="AE198" s="30">
        <v>0.66</v>
      </c>
      <c r="AF198" s="30">
        <v>0.5</v>
      </c>
      <c r="AG198" s="31">
        <v>208869138</v>
      </c>
      <c r="AH198" s="154"/>
      <c r="AI198" s="56" t="s">
        <v>3534</v>
      </c>
      <c r="AJ198" s="44">
        <v>2024</v>
      </c>
      <c r="AL198" s="2"/>
    </row>
    <row r="199" spans="1:38" ht="43.5" x14ac:dyDescent="0.35">
      <c r="A199" s="43" t="s">
        <v>306</v>
      </c>
      <c r="B199" s="2" t="s">
        <v>333</v>
      </c>
      <c r="C199" s="26" t="s">
        <v>63</v>
      </c>
      <c r="D199" s="27">
        <v>6365</v>
      </c>
      <c r="E199" s="2" t="s">
        <v>300</v>
      </c>
      <c r="F199" s="66" t="s">
        <v>3535</v>
      </c>
      <c r="G199" s="65">
        <v>45414</v>
      </c>
      <c r="H199" s="26" t="s">
        <v>150</v>
      </c>
      <c r="I199" s="67" t="s">
        <v>3499</v>
      </c>
      <c r="J199" s="47" t="s">
        <v>89</v>
      </c>
      <c r="K199" s="68" t="s">
        <v>84</v>
      </c>
      <c r="L199" s="26" t="s">
        <v>1538</v>
      </c>
      <c r="M199" s="2" t="s">
        <v>3536</v>
      </c>
      <c r="N199" s="36">
        <v>238000000</v>
      </c>
      <c r="O199" s="143">
        <v>0</v>
      </c>
      <c r="P199" s="3">
        <v>238000000</v>
      </c>
      <c r="Q199" s="70" t="s">
        <v>302</v>
      </c>
      <c r="R199" s="3"/>
      <c r="S199" s="28">
        <f>+Tabla15133[[#This Row],[VALOR TOTAL DEL CONTRATO
(en pesos)
CON IVA
(inicial)]]+Tabla15133[[#This Row],[VALOR DE LAS ADICIONES
(en pesos)
CON IVA]]</f>
        <v>238000000</v>
      </c>
      <c r="T199" s="37">
        <v>364</v>
      </c>
      <c r="U199" s="70" t="s">
        <v>302</v>
      </c>
      <c r="V199" s="101"/>
      <c r="W199" s="70" t="s">
        <v>302</v>
      </c>
      <c r="X199" s="70"/>
      <c r="Y199" s="65">
        <v>45414</v>
      </c>
      <c r="Z199" s="65">
        <v>45778</v>
      </c>
      <c r="AA199" s="144">
        <v>45778</v>
      </c>
      <c r="AB199" s="64" t="s">
        <v>325</v>
      </c>
      <c r="AC199" s="71"/>
      <c r="AD199" s="70" t="s">
        <v>321</v>
      </c>
      <c r="AE199" s="30">
        <v>0.66</v>
      </c>
      <c r="AF199" s="30">
        <v>0.5</v>
      </c>
      <c r="AG199" s="31">
        <v>228679374</v>
      </c>
      <c r="AH199" s="154"/>
      <c r="AI199" s="56" t="s">
        <v>3537</v>
      </c>
      <c r="AJ199" s="44">
        <v>2024</v>
      </c>
      <c r="AL199" s="2"/>
    </row>
    <row r="200" spans="1:38" ht="29" x14ac:dyDescent="0.35">
      <c r="A200" s="43" t="s">
        <v>306</v>
      </c>
      <c r="B200" s="2" t="s">
        <v>333</v>
      </c>
      <c r="C200" s="26" t="s">
        <v>63</v>
      </c>
      <c r="D200" s="27">
        <v>6377</v>
      </c>
      <c r="E200" s="2" t="s">
        <v>300</v>
      </c>
      <c r="F200" s="66" t="s">
        <v>3538</v>
      </c>
      <c r="G200" s="65">
        <v>45414</v>
      </c>
      <c r="H200" s="26" t="s">
        <v>150</v>
      </c>
      <c r="I200" s="67" t="s">
        <v>3499</v>
      </c>
      <c r="J200" s="47" t="s">
        <v>89</v>
      </c>
      <c r="K200" s="68" t="s">
        <v>84</v>
      </c>
      <c r="L200" s="26" t="s">
        <v>1547</v>
      </c>
      <c r="M200" s="2" t="s">
        <v>3539</v>
      </c>
      <c r="N200" s="36">
        <v>476000000</v>
      </c>
      <c r="O200" s="143">
        <v>0</v>
      </c>
      <c r="P200" s="3">
        <v>476000000</v>
      </c>
      <c r="Q200" s="70" t="s">
        <v>302</v>
      </c>
      <c r="R200" s="3"/>
      <c r="S200" s="28">
        <f>+Tabla15133[[#This Row],[VALOR TOTAL DEL CONTRATO
(en pesos)
CON IVA
(inicial)]]+Tabla15133[[#This Row],[VALOR DE LAS ADICIONES
(en pesos)
CON IVA]]</f>
        <v>476000000</v>
      </c>
      <c r="T200" s="37">
        <v>364</v>
      </c>
      <c r="U200" s="70" t="s">
        <v>302</v>
      </c>
      <c r="V200" s="101"/>
      <c r="W200" s="70" t="s">
        <v>302</v>
      </c>
      <c r="X200" s="70"/>
      <c r="Y200" s="65">
        <v>45414</v>
      </c>
      <c r="Z200" s="65">
        <v>45778</v>
      </c>
      <c r="AA200" s="144">
        <v>45778</v>
      </c>
      <c r="AB200" s="64" t="s">
        <v>325</v>
      </c>
      <c r="AC200" s="71"/>
      <c r="AD200" s="70" t="s">
        <v>321</v>
      </c>
      <c r="AE200" s="30">
        <v>0.66</v>
      </c>
      <c r="AF200" s="30">
        <v>0.5</v>
      </c>
      <c r="AG200" s="31">
        <v>555200125</v>
      </c>
      <c r="AH200" s="154"/>
      <c r="AI200" s="56" t="s">
        <v>3540</v>
      </c>
      <c r="AJ200" s="44">
        <v>2024</v>
      </c>
      <c r="AL200" s="2"/>
    </row>
    <row r="201" spans="1:38" ht="43.5" x14ac:dyDescent="0.35">
      <c r="A201" s="43" t="s">
        <v>306</v>
      </c>
      <c r="B201" s="2" t="s">
        <v>333</v>
      </c>
      <c r="C201" s="26" t="s">
        <v>63</v>
      </c>
      <c r="D201" s="27">
        <v>6380</v>
      </c>
      <c r="E201" s="2" t="s">
        <v>300</v>
      </c>
      <c r="F201" s="66" t="s">
        <v>3541</v>
      </c>
      <c r="G201" s="65">
        <v>45414</v>
      </c>
      <c r="H201" s="26" t="s">
        <v>150</v>
      </c>
      <c r="I201" s="67" t="s">
        <v>3499</v>
      </c>
      <c r="J201" s="47" t="s">
        <v>89</v>
      </c>
      <c r="K201" s="68" t="s">
        <v>84</v>
      </c>
      <c r="L201" s="26" t="s">
        <v>3542</v>
      </c>
      <c r="M201" s="2" t="s">
        <v>3543</v>
      </c>
      <c r="N201" s="36">
        <v>119000000</v>
      </c>
      <c r="O201" s="143">
        <v>0</v>
      </c>
      <c r="P201" s="3">
        <v>119000000</v>
      </c>
      <c r="Q201" s="70" t="s">
        <v>302</v>
      </c>
      <c r="R201" s="3"/>
      <c r="S201" s="28">
        <f>+Tabla15133[[#This Row],[VALOR TOTAL DEL CONTRATO
(en pesos)
CON IVA
(inicial)]]+Tabla15133[[#This Row],[VALOR DE LAS ADICIONES
(en pesos)
CON IVA]]</f>
        <v>119000000</v>
      </c>
      <c r="T201" s="37">
        <v>364</v>
      </c>
      <c r="U201" s="70" t="s">
        <v>302</v>
      </c>
      <c r="V201" s="101"/>
      <c r="W201" s="70" t="s">
        <v>302</v>
      </c>
      <c r="X201" s="70"/>
      <c r="Y201" s="65">
        <v>45414</v>
      </c>
      <c r="Z201" s="65">
        <v>45778</v>
      </c>
      <c r="AA201" s="144">
        <v>45778</v>
      </c>
      <c r="AB201" s="64" t="s">
        <v>325</v>
      </c>
      <c r="AC201" s="71"/>
      <c r="AD201" s="70" t="s">
        <v>321</v>
      </c>
      <c r="AE201" s="30">
        <v>0.66</v>
      </c>
      <c r="AF201" s="30">
        <v>0.5</v>
      </c>
      <c r="AG201" s="31">
        <v>20117740</v>
      </c>
      <c r="AH201" s="154"/>
      <c r="AI201" s="56" t="s">
        <v>3544</v>
      </c>
      <c r="AJ201" s="44">
        <v>2024</v>
      </c>
      <c r="AL201" s="2"/>
    </row>
    <row r="202" spans="1:38" ht="43.5" x14ac:dyDescent="0.35">
      <c r="A202" s="43" t="s">
        <v>306</v>
      </c>
      <c r="B202" s="2" t="s">
        <v>333</v>
      </c>
      <c r="C202" s="26" t="s">
        <v>63</v>
      </c>
      <c r="D202" s="27">
        <v>6359</v>
      </c>
      <c r="E202" s="2" t="s">
        <v>300</v>
      </c>
      <c r="F202" s="66" t="s">
        <v>3545</v>
      </c>
      <c r="G202" s="65">
        <v>45414</v>
      </c>
      <c r="H202" s="26" t="s">
        <v>150</v>
      </c>
      <c r="I202" s="67" t="s">
        <v>3499</v>
      </c>
      <c r="J202" s="47" t="s">
        <v>89</v>
      </c>
      <c r="K202" s="68" t="s">
        <v>84</v>
      </c>
      <c r="L202" s="26" t="s">
        <v>1600</v>
      </c>
      <c r="M202" s="2" t="s">
        <v>3546</v>
      </c>
      <c r="N202" s="36">
        <v>476000000</v>
      </c>
      <c r="O202" s="143">
        <v>0</v>
      </c>
      <c r="P202" s="3">
        <v>476000000</v>
      </c>
      <c r="Q202" s="70" t="s">
        <v>302</v>
      </c>
      <c r="R202" s="3"/>
      <c r="S202" s="28">
        <f>+Tabla15133[[#This Row],[VALOR TOTAL DEL CONTRATO
(en pesos)
CON IVA
(inicial)]]+Tabla15133[[#This Row],[VALOR DE LAS ADICIONES
(en pesos)
CON IVA]]</f>
        <v>476000000</v>
      </c>
      <c r="T202" s="37">
        <v>364</v>
      </c>
      <c r="U202" s="70" t="s">
        <v>302</v>
      </c>
      <c r="V202" s="101"/>
      <c r="W202" s="70" t="s">
        <v>302</v>
      </c>
      <c r="X202" s="70"/>
      <c r="Y202" s="65">
        <v>45414</v>
      </c>
      <c r="Z202" s="65">
        <v>45778</v>
      </c>
      <c r="AA202" s="144">
        <v>45778</v>
      </c>
      <c r="AB202" s="64" t="s">
        <v>325</v>
      </c>
      <c r="AC202" s="71"/>
      <c r="AD202" s="70" t="s">
        <v>321</v>
      </c>
      <c r="AE202" s="30">
        <v>0.16589999999999999</v>
      </c>
      <c r="AF202" s="30">
        <v>0.16589999999999999</v>
      </c>
      <c r="AG202" s="31">
        <v>78953579</v>
      </c>
      <c r="AH202" s="154"/>
      <c r="AI202" s="32" t="s">
        <v>3547</v>
      </c>
      <c r="AJ202" s="44">
        <v>2024</v>
      </c>
      <c r="AL202" s="2"/>
    </row>
    <row r="203" spans="1:38" ht="29" x14ac:dyDescent="0.35">
      <c r="A203" s="43" t="s">
        <v>306</v>
      </c>
      <c r="B203" s="2" t="s">
        <v>333</v>
      </c>
      <c r="C203" s="26" t="s">
        <v>63</v>
      </c>
      <c r="D203" s="27">
        <v>6366</v>
      </c>
      <c r="E203" s="2" t="s">
        <v>300</v>
      </c>
      <c r="F203" s="66" t="s">
        <v>3548</v>
      </c>
      <c r="G203" s="65">
        <v>45414</v>
      </c>
      <c r="H203" s="26" t="s">
        <v>150</v>
      </c>
      <c r="I203" s="67" t="s">
        <v>3549</v>
      </c>
      <c r="J203" s="47" t="s">
        <v>89</v>
      </c>
      <c r="K203" s="68" t="s">
        <v>84</v>
      </c>
      <c r="L203" s="26" t="s">
        <v>1543</v>
      </c>
      <c r="M203" s="2" t="s">
        <v>391</v>
      </c>
      <c r="N203" s="36">
        <v>178500000</v>
      </c>
      <c r="O203" s="143">
        <v>0</v>
      </c>
      <c r="P203" s="3">
        <v>178500000</v>
      </c>
      <c r="Q203" s="70" t="s">
        <v>302</v>
      </c>
      <c r="R203" s="3"/>
      <c r="S203" s="28">
        <f>+Tabla15133[[#This Row],[VALOR TOTAL DEL CONTRATO
(en pesos)
CON IVA
(inicial)]]+Tabla15133[[#This Row],[VALOR DE LAS ADICIONES
(en pesos)
CON IVA]]</f>
        <v>178500000</v>
      </c>
      <c r="T203" s="37">
        <v>364</v>
      </c>
      <c r="U203" s="70" t="s">
        <v>302</v>
      </c>
      <c r="V203" s="101"/>
      <c r="W203" s="70" t="s">
        <v>302</v>
      </c>
      <c r="X203" s="70"/>
      <c r="Y203" s="65">
        <v>45414</v>
      </c>
      <c r="Z203" s="65">
        <v>45778</v>
      </c>
      <c r="AA203" s="144">
        <v>45778</v>
      </c>
      <c r="AB203" s="64" t="s">
        <v>325</v>
      </c>
      <c r="AC203" s="71"/>
      <c r="AD203" s="70" t="s">
        <v>321</v>
      </c>
      <c r="AE203" s="30">
        <v>0.98309999999999997</v>
      </c>
      <c r="AF203" s="30">
        <v>0.98309999999999997</v>
      </c>
      <c r="AG203" s="31">
        <v>467950782</v>
      </c>
      <c r="AH203" s="154"/>
      <c r="AI203" s="32" t="s">
        <v>3550</v>
      </c>
      <c r="AJ203" s="44">
        <v>2024</v>
      </c>
      <c r="AL203" s="2"/>
    </row>
    <row r="204" spans="1:38" ht="29" x14ac:dyDescent="0.35">
      <c r="A204" s="43" t="s">
        <v>306</v>
      </c>
      <c r="B204" s="2" t="s">
        <v>333</v>
      </c>
      <c r="C204" s="26" t="s">
        <v>63</v>
      </c>
      <c r="D204" s="27" t="s">
        <v>3551</v>
      </c>
      <c r="E204" s="2" t="s">
        <v>300</v>
      </c>
      <c r="F204" s="66" t="s">
        <v>3552</v>
      </c>
      <c r="G204" s="65">
        <v>45414</v>
      </c>
      <c r="H204" s="26" t="s">
        <v>150</v>
      </c>
      <c r="I204" s="67" t="s">
        <v>3499</v>
      </c>
      <c r="J204" s="47" t="s">
        <v>89</v>
      </c>
      <c r="K204" s="68" t="s">
        <v>84</v>
      </c>
      <c r="L204" s="26" t="s">
        <v>3553</v>
      </c>
      <c r="M204" s="2" t="s">
        <v>3554</v>
      </c>
      <c r="N204" s="36">
        <v>357000000</v>
      </c>
      <c r="O204" s="143">
        <v>0</v>
      </c>
      <c r="P204" s="3">
        <v>357000000</v>
      </c>
      <c r="Q204" s="70" t="s">
        <v>301</v>
      </c>
      <c r="R204" s="3">
        <v>342000000</v>
      </c>
      <c r="S204" s="28">
        <f>+Tabla15133[[#This Row],[VALOR TOTAL DEL CONTRATO
(en pesos)
CON IVA
(inicial)]]+Tabla15133[[#This Row],[VALOR DE LAS ADICIONES
(en pesos)
CON IVA]]</f>
        <v>699000000</v>
      </c>
      <c r="T204" s="37">
        <v>243</v>
      </c>
      <c r="U204" s="70" t="s">
        <v>301</v>
      </c>
      <c r="V204" s="101">
        <v>181</v>
      </c>
      <c r="W204" s="117" t="s">
        <v>302</v>
      </c>
      <c r="X204" s="117"/>
      <c r="Y204" s="65">
        <v>45414</v>
      </c>
      <c r="Z204" s="65">
        <v>45657</v>
      </c>
      <c r="AA204" s="144">
        <v>45838</v>
      </c>
      <c r="AB204" s="64" t="s">
        <v>325</v>
      </c>
      <c r="AC204" s="71"/>
      <c r="AD204" s="70" t="s">
        <v>321</v>
      </c>
      <c r="AE204" s="30">
        <v>0.30349999999999999</v>
      </c>
      <c r="AF204" s="30">
        <v>0.30349999999999999</v>
      </c>
      <c r="AG204" s="31">
        <v>212179653</v>
      </c>
      <c r="AH204" s="154" t="s">
        <v>2938</v>
      </c>
      <c r="AI204" s="32" t="s">
        <v>3555</v>
      </c>
      <c r="AJ204" s="44">
        <v>2024</v>
      </c>
      <c r="AL204" s="2"/>
    </row>
    <row r="205" spans="1:38" ht="29" x14ac:dyDescent="0.35">
      <c r="A205" s="43" t="s">
        <v>306</v>
      </c>
      <c r="B205" s="2" t="s">
        <v>333</v>
      </c>
      <c r="C205" s="26" t="s">
        <v>63</v>
      </c>
      <c r="D205" s="27">
        <v>6379</v>
      </c>
      <c r="E205" s="2" t="s">
        <v>300</v>
      </c>
      <c r="F205" s="66" t="s">
        <v>3556</v>
      </c>
      <c r="G205" s="65">
        <v>45414</v>
      </c>
      <c r="H205" s="26" t="s">
        <v>150</v>
      </c>
      <c r="I205" s="67" t="s">
        <v>3557</v>
      </c>
      <c r="J205" s="47" t="s">
        <v>89</v>
      </c>
      <c r="K205" s="68" t="s">
        <v>84</v>
      </c>
      <c r="L205" s="26" t="s">
        <v>3558</v>
      </c>
      <c r="M205" s="2" t="s">
        <v>3559</v>
      </c>
      <c r="N205" s="36">
        <v>357000000</v>
      </c>
      <c r="O205" s="143">
        <v>0</v>
      </c>
      <c r="P205" s="3">
        <v>357000000</v>
      </c>
      <c r="Q205" s="70" t="s">
        <v>302</v>
      </c>
      <c r="R205" s="3"/>
      <c r="S205" s="28">
        <f>+Tabla15133[[#This Row],[VALOR TOTAL DEL CONTRATO
(en pesos)
CON IVA
(inicial)]]+Tabla15133[[#This Row],[VALOR DE LAS ADICIONES
(en pesos)
CON IVA]]</f>
        <v>357000000</v>
      </c>
      <c r="T205" s="37">
        <v>364</v>
      </c>
      <c r="U205" s="70" t="s">
        <v>302</v>
      </c>
      <c r="V205" s="101"/>
      <c r="W205" s="70" t="s">
        <v>302</v>
      </c>
      <c r="X205" s="70"/>
      <c r="Y205" s="65">
        <v>45414</v>
      </c>
      <c r="Z205" s="65">
        <v>45778</v>
      </c>
      <c r="AA205" s="144">
        <v>45778</v>
      </c>
      <c r="AB205" s="64" t="s">
        <v>325</v>
      </c>
      <c r="AC205" s="71"/>
      <c r="AD205" s="70" t="s">
        <v>321</v>
      </c>
      <c r="AE205" s="30">
        <v>0.13650000000000001</v>
      </c>
      <c r="AF205" s="30">
        <v>0.13650000000000001</v>
      </c>
      <c r="AG205" s="31">
        <v>48722216</v>
      </c>
      <c r="AH205" s="154"/>
      <c r="AI205" s="32" t="s">
        <v>3555</v>
      </c>
      <c r="AJ205" s="44">
        <v>2024</v>
      </c>
      <c r="AL205" s="2"/>
    </row>
    <row r="206" spans="1:38" ht="29" x14ac:dyDescent="0.35">
      <c r="A206" s="43" t="s">
        <v>306</v>
      </c>
      <c r="B206" s="2" t="s">
        <v>333</v>
      </c>
      <c r="C206" s="26" t="s">
        <v>63</v>
      </c>
      <c r="D206" s="27">
        <v>6367</v>
      </c>
      <c r="E206" s="2" t="s">
        <v>300</v>
      </c>
      <c r="F206" s="66" t="s">
        <v>3560</v>
      </c>
      <c r="G206" s="65">
        <v>45414</v>
      </c>
      <c r="H206" s="26" t="s">
        <v>150</v>
      </c>
      <c r="I206" s="67" t="s">
        <v>3549</v>
      </c>
      <c r="J206" s="47" t="s">
        <v>89</v>
      </c>
      <c r="K206" s="68" t="s">
        <v>84</v>
      </c>
      <c r="L206" s="26" t="s">
        <v>1556</v>
      </c>
      <c r="M206" s="2" t="s">
        <v>3561</v>
      </c>
      <c r="N206" s="36">
        <v>178500000</v>
      </c>
      <c r="O206" s="143">
        <v>0</v>
      </c>
      <c r="P206" s="3">
        <v>178500000</v>
      </c>
      <c r="Q206" s="70" t="s">
        <v>302</v>
      </c>
      <c r="R206" s="3"/>
      <c r="S206" s="28">
        <f>+Tabla15133[[#This Row],[VALOR TOTAL DEL CONTRATO
(en pesos)
CON IVA
(inicial)]]+Tabla15133[[#This Row],[VALOR DE LAS ADICIONES
(en pesos)
CON IVA]]</f>
        <v>178500000</v>
      </c>
      <c r="T206" s="37">
        <v>364</v>
      </c>
      <c r="U206" s="70" t="s">
        <v>302</v>
      </c>
      <c r="V206" s="101"/>
      <c r="W206" s="70" t="s">
        <v>302</v>
      </c>
      <c r="X206" s="70"/>
      <c r="Y206" s="65">
        <v>45414</v>
      </c>
      <c r="Z206" s="65">
        <v>45778</v>
      </c>
      <c r="AA206" s="144">
        <v>45778</v>
      </c>
      <c r="AB206" s="64" t="s">
        <v>325</v>
      </c>
      <c r="AC206" s="71"/>
      <c r="AD206" s="71" t="s">
        <v>321</v>
      </c>
      <c r="AE206" s="30">
        <v>1.2446999999999999</v>
      </c>
      <c r="AF206" s="30">
        <v>1.2446999999999999</v>
      </c>
      <c r="AG206" s="31">
        <v>444355108</v>
      </c>
      <c r="AH206" s="154"/>
      <c r="AI206" s="32" t="s">
        <v>3562</v>
      </c>
      <c r="AJ206" s="44">
        <v>2024</v>
      </c>
      <c r="AL206" s="2"/>
    </row>
    <row r="207" spans="1:38" ht="43.5" x14ac:dyDescent="0.35">
      <c r="A207" s="43" t="s">
        <v>306</v>
      </c>
      <c r="B207" s="2" t="s">
        <v>333</v>
      </c>
      <c r="C207" s="26" t="s">
        <v>63</v>
      </c>
      <c r="D207" s="27">
        <v>6368</v>
      </c>
      <c r="E207" s="2" t="s">
        <v>300</v>
      </c>
      <c r="F207" s="66" t="s">
        <v>3563</v>
      </c>
      <c r="G207" s="65">
        <v>45414</v>
      </c>
      <c r="H207" s="26" t="s">
        <v>150</v>
      </c>
      <c r="I207" s="67" t="s">
        <v>3466</v>
      </c>
      <c r="J207" s="47" t="s">
        <v>89</v>
      </c>
      <c r="K207" s="68" t="s">
        <v>84</v>
      </c>
      <c r="L207" s="26" t="s">
        <v>1549</v>
      </c>
      <c r="M207" s="2" t="s">
        <v>3564</v>
      </c>
      <c r="N207" s="36">
        <v>357000000</v>
      </c>
      <c r="O207" s="143">
        <v>0</v>
      </c>
      <c r="P207" s="3">
        <v>357000000</v>
      </c>
      <c r="Q207" s="70" t="s">
        <v>302</v>
      </c>
      <c r="R207" s="3"/>
      <c r="S207" s="28">
        <f>+Tabla15133[[#This Row],[VALOR TOTAL DEL CONTRATO
(en pesos)
CON IVA
(inicial)]]+Tabla15133[[#This Row],[VALOR DE LAS ADICIONES
(en pesos)
CON IVA]]</f>
        <v>357000000</v>
      </c>
      <c r="T207" s="37">
        <v>364</v>
      </c>
      <c r="U207" s="70" t="s">
        <v>302</v>
      </c>
      <c r="V207" s="101"/>
      <c r="W207" s="70" t="s">
        <v>302</v>
      </c>
      <c r="X207" s="70"/>
      <c r="Y207" s="65">
        <v>45414</v>
      </c>
      <c r="Z207" s="65">
        <v>45778</v>
      </c>
      <c r="AA207" s="144">
        <v>45778</v>
      </c>
      <c r="AB207" s="64" t="s">
        <v>325</v>
      </c>
      <c r="AC207" s="71"/>
      <c r="AD207" s="71" t="s">
        <v>321</v>
      </c>
      <c r="AE207" s="30">
        <v>0.38500000000000001</v>
      </c>
      <c r="AF207" s="30">
        <v>0.38500000000000001</v>
      </c>
      <c r="AG207" s="31">
        <v>137427515</v>
      </c>
      <c r="AH207" s="154"/>
      <c r="AI207" s="32" t="s">
        <v>3565</v>
      </c>
      <c r="AJ207" s="44">
        <v>2024</v>
      </c>
      <c r="AL207" s="2"/>
    </row>
    <row r="208" spans="1:38" ht="29" x14ac:dyDescent="0.35">
      <c r="A208" s="43" t="s">
        <v>306</v>
      </c>
      <c r="B208" s="2" t="s">
        <v>333</v>
      </c>
      <c r="C208" s="26" t="s">
        <v>63</v>
      </c>
      <c r="D208" s="27">
        <v>6369</v>
      </c>
      <c r="E208" s="2" t="s">
        <v>300</v>
      </c>
      <c r="F208" s="66" t="s">
        <v>3566</v>
      </c>
      <c r="G208" s="65">
        <v>45414</v>
      </c>
      <c r="H208" s="26" t="s">
        <v>150</v>
      </c>
      <c r="I208" s="67" t="s">
        <v>3466</v>
      </c>
      <c r="J208" s="47" t="s">
        <v>89</v>
      </c>
      <c r="K208" s="68" t="s">
        <v>84</v>
      </c>
      <c r="L208" s="26" t="s">
        <v>3567</v>
      </c>
      <c r="M208" s="2" t="s">
        <v>3568</v>
      </c>
      <c r="N208" s="36">
        <v>357000000</v>
      </c>
      <c r="O208" s="143">
        <v>0</v>
      </c>
      <c r="P208" s="3">
        <v>357000000</v>
      </c>
      <c r="Q208" s="70" t="s">
        <v>302</v>
      </c>
      <c r="R208" s="3"/>
      <c r="S208" s="28">
        <f>+Tabla15133[[#This Row],[VALOR TOTAL DEL CONTRATO
(en pesos)
CON IVA
(inicial)]]+Tabla15133[[#This Row],[VALOR DE LAS ADICIONES
(en pesos)
CON IVA]]</f>
        <v>357000000</v>
      </c>
      <c r="T208" s="37">
        <v>364</v>
      </c>
      <c r="U208" s="70" t="s">
        <v>302</v>
      </c>
      <c r="V208" s="101"/>
      <c r="W208" s="70" t="s">
        <v>302</v>
      </c>
      <c r="X208" s="70"/>
      <c r="Y208" s="65">
        <v>45414</v>
      </c>
      <c r="Z208" s="65">
        <v>45778</v>
      </c>
      <c r="AA208" s="144">
        <v>45778</v>
      </c>
      <c r="AB208" s="64" t="s">
        <v>325</v>
      </c>
      <c r="AC208" s="71"/>
      <c r="AD208" s="71" t="s">
        <v>321</v>
      </c>
      <c r="AE208" s="30">
        <v>4.82E-2</v>
      </c>
      <c r="AF208" s="30">
        <v>4.82E-2</v>
      </c>
      <c r="AG208" s="31">
        <v>17219300</v>
      </c>
      <c r="AH208" s="154"/>
      <c r="AI208" s="32" t="s">
        <v>3569</v>
      </c>
      <c r="AJ208" s="44">
        <v>2024</v>
      </c>
      <c r="AL208" s="2"/>
    </row>
    <row r="209" spans="1:38" ht="29" x14ac:dyDescent="0.35">
      <c r="A209" s="43" t="s">
        <v>306</v>
      </c>
      <c r="B209" s="2" t="s">
        <v>327</v>
      </c>
      <c r="C209" s="26" t="s">
        <v>45</v>
      </c>
      <c r="D209" s="27">
        <v>6306</v>
      </c>
      <c r="E209" s="2" t="s">
        <v>300</v>
      </c>
      <c r="F209" s="66" t="s">
        <v>3570</v>
      </c>
      <c r="G209" s="65">
        <v>45414</v>
      </c>
      <c r="H209" s="26" t="s">
        <v>150</v>
      </c>
      <c r="I209" s="67" t="s">
        <v>3571</v>
      </c>
      <c r="J209" s="47" t="s">
        <v>83</v>
      </c>
      <c r="K209" s="68" t="s">
        <v>96</v>
      </c>
      <c r="L209" s="26" t="s">
        <v>1572</v>
      </c>
      <c r="M209" s="2" t="s">
        <v>351</v>
      </c>
      <c r="N209" s="160">
        <v>19244680</v>
      </c>
      <c r="O209" s="157">
        <v>0</v>
      </c>
      <c r="P209" s="3">
        <v>19244680</v>
      </c>
      <c r="Q209" s="70" t="s">
        <v>302</v>
      </c>
      <c r="R209" s="3"/>
      <c r="S209" s="28">
        <f>+Tabla15133[[#This Row],[VALOR TOTAL DEL CONTRATO
(en pesos)
CON IVA
(inicial)]]+Tabla15133[[#This Row],[VALOR DE LAS ADICIONES
(en pesos)
CON IVA]]</f>
        <v>19244680</v>
      </c>
      <c r="T209" s="37">
        <v>364</v>
      </c>
      <c r="U209" s="70" t="s">
        <v>302</v>
      </c>
      <c r="V209" s="101"/>
      <c r="W209" s="70" t="s">
        <v>302</v>
      </c>
      <c r="X209" s="70"/>
      <c r="Y209" s="65">
        <v>45444</v>
      </c>
      <c r="Z209" s="65">
        <v>45808</v>
      </c>
      <c r="AA209" s="144">
        <v>45808</v>
      </c>
      <c r="AB209" s="64" t="s">
        <v>323</v>
      </c>
      <c r="AC209" s="71">
        <v>45895</v>
      </c>
      <c r="AD209" s="70" t="s">
        <v>321</v>
      </c>
      <c r="AE209" s="30">
        <v>1</v>
      </c>
      <c r="AF209" s="30">
        <v>1</v>
      </c>
      <c r="AG209" s="31">
        <v>19298825</v>
      </c>
      <c r="AH209" s="154"/>
      <c r="AI209" s="32" t="s">
        <v>3572</v>
      </c>
      <c r="AJ209" s="44">
        <v>2024</v>
      </c>
      <c r="AL209" s="2"/>
    </row>
    <row r="210" spans="1:38" ht="43.5" x14ac:dyDescent="0.35">
      <c r="A210" s="43" t="s">
        <v>306</v>
      </c>
      <c r="B210" s="2" t="s">
        <v>333</v>
      </c>
      <c r="C210" s="26" t="s">
        <v>63</v>
      </c>
      <c r="D210" s="27">
        <v>6370</v>
      </c>
      <c r="E210" s="2" t="s">
        <v>300</v>
      </c>
      <c r="F210" s="66" t="s">
        <v>3573</v>
      </c>
      <c r="G210" s="65">
        <v>45414</v>
      </c>
      <c r="H210" s="26" t="s">
        <v>150</v>
      </c>
      <c r="I210" s="67" t="s">
        <v>3466</v>
      </c>
      <c r="J210" s="47" t="s">
        <v>89</v>
      </c>
      <c r="K210" s="68" t="s">
        <v>84</v>
      </c>
      <c r="L210" s="26" t="s">
        <v>1557</v>
      </c>
      <c r="M210" s="2" t="s">
        <v>3574</v>
      </c>
      <c r="N210" s="36">
        <v>178500000</v>
      </c>
      <c r="O210" s="143">
        <v>0</v>
      </c>
      <c r="P210" s="3">
        <v>178500000</v>
      </c>
      <c r="Q210" s="70" t="s">
        <v>302</v>
      </c>
      <c r="R210" s="3"/>
      <c r="S210" s="28">
        <f>+Tabla15133[[#This Row],[VALOR TOTAL DEL CONTRATO
(en pesos)
CON IVA
(inicial)]]+Tabla15133[[#This Row],[VALOR DE LAS ADICIONES
(en pesos)
CON IVA]]</f>
        <v>178500000</v>
      </c>
      <c r="T210" s="37">
        <v>364</v>
      </c>
      <c r="U210" s="70" t="s">
        <v>302</v>
      </c>
      <c r="V210" s="101"/>
      <c r="W210" s="70" t="s">
        <v>302</v>
      </c>
      <c r="X210" s="70"/>
      <c r="Y210" s="65">
        <v>45414</v>
      </c>
      <c r="Z210" s="65">
        <v>45778</v>
      </c>
      <c r="AA210" s="144">
        <v>45778</v>
      </c>
      <c r="AB210" s="64" t="s">
        <v>325</v>
      </c>
      <c r="AC210" s="71"/>
      <c r="AD210" s="71" t="s">
        <v>321</v>
      </c>
      <c r="AE210" s="30">
        <v>0.127</v>
      </c>
      <c r="AF210" s="30">
        <v>0.127</v>
      </c>
      <c r="AG210" s="31">
        <v>22662875</v>
      </c>
      <c r="AH210" s="154"/>
      <c r="AI210" s="32" t="s">
        <v>3575</v>
      </c>
      <c r="AJ210" s="44">
        <v>2024</v>
      </c>
      <c r="AL210" s="2"/>
    </row>
    <row r="211" spans="1:38" ht="39" x14ac:dyDescent="0.35">
      <c r="A211" s="43" t="s">
        <v>306</v>
      </c>
      <c r="B211" s="2" t="s">
        <v>333</v>
      </c>
      <c r="C211" s="26" t="s">
        <v>63</v>
      </c>
      <c r="D211" s="27">
        <v>6372</v>
      </c>
      <c r="E211" s="2" t="s">
        <v>300</v>
      </c>
      <c r="F211" s="66" t="s">
        <v>3576</v>
      </c>
      <c r="G211" s="65">
        <v>45414</v>
      </c>
      <c r="H211" s="26" t="s">
        <v>150</v>
      </c>
      <c r="I211" s="67" t="s">
        <v>3466</v>
      </c>
      <c r="J211" s="47" t="s">
        <v>89</v>
      </c>
      <c r="K211" s="68" t="s">
        <v>84</v>
      </c>
      <c r="L211" s="26" t="s">
        <v>1554</v>
      </c>
      <c r="M211" s="2" t="s">
        <v>3577</v>
      </c>
      <c r="N211" s="36">
        <v>119000000</v>
      </c>
      <c r="O211" s="143">
        <v>0</v>
      </c>
      <c r="P211" s="3">
        <v>119000000</v>
      </c>
      <c r="Q211" s="70" t="s">
        <v>302</v>
      </c>
      <c r="R211" s="3"/>
      <c r="S211" s="28">
        <f>+Tabla15133[[#This Row],[VALOR TOTAL DEL CONTRATO
(en pesos)
CON IVA
(inicial)]]+Tabla15133[[#This Row],[VALOR DE LAS ADICIONES
(en pesos)
CON IVA]]</f>
        <v>119000000</v>
      </c>
      <c r="T211" s="37">
        <v>364</v>
      </c>
      <c r="U211" s="70" t="s">
        <v>302</v>
      </c>
      <c r="V211" s="101"/>
      <c r="W211" s="70" t="s">
        <v>302</v>
      </c>
      <c r="X211" s="70"/>
      <c r="Y211" s="65">
        <v>45414</v>
      </c>
      <c r="Z211" s="65">
        <v>45778</v>
      </c>
      <c r="AA211" s="144">
        <v>45778</v>
      </c>
      <c r="AB211" s="64" t="s">
        <v>325</v>
      </c>
      <c r="AC211" s="71"/>
      <c r="AD211" s="71" t="s">
        <v>321</v>
      </c>
      <c r="AE211" s="30">
        <v>1.4322999999999999</v>
      </c>
      <c r="AF211" s="30">
        <v>1.4322999999999999</v>
      </c>
      <c r="AG211" s="31">
        <v>170449018</v>
      </c>
      <c r="AH211" s="154" t="s">
        <v>1403</v>
      </c>
      <c r="AI211" s="32" t="s">
        <v>3578</v>
      </c>
      <c r="AJ211" s="44">
        <v>2024</v>
      </c>
      <c r="AL211" s="2"/>
    </row>
    <row r="212" spans="1:38" ht="29" x14ac:dyDescent="0.35">
      <c r="A212" s="43" t="s">
        <v>306</v>
      </c>
      <c r="B212" s="2" t="s">
        <v>333</v>
      </c>
      <c r="C212" s="26" t="s">
        <v>63</v>
      </c>
      <c r="D212" s="27">
        <v>6373</v>
      </c>
      <c r="E212" s="2" t="s">
        <v>300</v>
      </c>
      <c r="F212" s="66" t="s">
        <v>3579</v>
      </c>
      <c r="G212" s="65">
        <v>45414</v>
      </c>
      <c r="H212" s="26" t="s">
        <v>150</v>
      </c>
      <c r="I212" s="67" t="s">
        <v>3466</v>
      </c>
      <c r="J212" s="47" t="s">
        <v>89</v>
      </c>
      <c r="K212" s="68" t="s">
        <v>84</v>
      </c>
      <c r="L212" s="26" t="s">
        <v>1550</v>
      </c>
      <c r="M212" s="2" t="s">
        <v>3580</v>
      </c>
      <c r="N212" s="36">
        <v>357000000</v>
      </c>
      <c r="O212" s="143">
        <v>0</v>
      </c>
      <c r="P212" s="3">
        <v>357000000</v>
      </c>
      <c r="Q212" s="70" t="s">
        <v>302</v>
      </c>
      <c r="R212" s="3"/>
      <c r="S212" s="28">
        <f>+Tabla15133[[#This Row],[VALOR TOTAL DEL CONTRATO
(en pesos)
CON IVA
(inicial)]]+Tabla15133[[#This Row],[VALOR DE LAS ADICIONES
(en pesos)
CON IVA]]</f>
        <v>357000000</v>
      </c>
      <c r="T212" s="37">
        <v>364</v>
      </c>
      <c r="U212" s="70" t="s">
        <v>302</v>
      </c>
      <c r="V212" s="101"/>
      <c r="W212" s="70" t="s">
        <v>302</v>
      </c>
      <c r="X212" s="70"/>
      <c r="Y212" s="65">
        <v>45414</v>
      </c>
      <c r="Z212" s="65">
        <v>45778</v>
      </c>
      <c r="AA212" s="144">
        <v>45778</v>
      </c>
      <c r="AB212" s="64" t="s">
        <v>325</v>
      </c>
      <c r="AC212" s="71"/>
      <c r="AD212" s="71" t="s">
        <v>321</v>
      </c>
      <c r="AE212" s="30">
        <v>0.1104</v>
      </c>
      <c r="AF212" s="30">
        <v>0.1104</v>
      </c>
      <c r="AG212" s="31">
        <v>39411363</v>
      </c>
      <c r="AH212" s="154"/>
      <c r="AI212" s="32" t="s">
        <v>3581</v>
      </c>
      <c r="AJ212" s="44">
        <v>2024</v>
      </c>
      <c r="AL212" s="2"/>
    </row>
    <row r="213" spans="1:38" ht="43.5" x14ac:dyDescent="0.35">
      <c r="A213" s="43" t="s">
        <v>306</v>
      </c>
      <c r="B213" s="2" t="s">
        <v>333</v>
      </c>
      <c r="C213" s="26" t="s">
        <v>63</v>
      </c>
      <c r="D213" s="27">
        <v>6371</v>
      </c>
      <c r="E213" s="2" t="s">
        <v>300</v>
      </c>
      <c r="F213" s="66" t="s">
        <v>3582</v>
      </c>
      <c r="G213" s="65">
        <v>45415</v>
      </c>
      <c r="H213" s="26" t="s">
        <v>150</v>
      </c>
      <c r="I213" s="67" t="s">
        <v>3466</v>
      </c>
      <c r="J213" s="47" t="s">
        <v>89</v>
      </c>
      <c r="K213" s="68" t="s">
        <v>84</v>
      </c>
      <c r="L213" s="26" t="s">
        <v>1558</v>
      </c>
      <c r="M213" s="2" t="s">
        <v>3583</v>
      </c>
      <c r="N213" s="36">
        <v>476000000</v>
      </c>
      <c r="O213" s="143">
        <v>0</v>
      </c>
      <c r="P213" s="3">
        <v>476000000</v>
      </c>
      <c r="Q213" s="70" t="s">
        <v>302</v>
      </c>
      <c r="R213" s="3"/>
      <c r="S213" s="28">
        <f>+Tabla15133[[#This Row],[VALOR TOTAL DEL CONTRATO
(en pesos)
CON IVA
(inicial)]]+Tabla15133[[#This Row],[VALOR DE LAS ADICIONES
(en pesos)
CON IVA]]</f>
        <v>476000000</v>
      </c>
      <c r="T213" s="37">
        <v>365</v>
      </c>
      <c r="U213" s="70" t="s">
        <v>302</v>
      </c>
      <c r="V213" s="101"/>
      <c r="W213" s="70" t="s">
        <v>302</v>
      </c>
      <c r="X213" s="70"/>
      <c r="Y213" s="65">
        <v>45415</v>
      </c>
      <c r="Z213" s="65">
        <v>45780</v>
      </c>
      <c r="AA213" s="144">
        <v>45780</v>
      </c>
      <c r="AB213" s="64" t="s">
        <v>325</v>
      </c>
      <c r="AC213" s="71"/>
      <c r="AD213" s="71" t="s">
        <v>321</v>
      </c>
      <c r="AE213" s="30">
        <v>8.2799999999999999E-2</v>
      </c>
      <c r="AF213" s="30">
        <v>8.2799999999999999E-2</v>
      </c>
      <c r="AG213" s="31">
        <v>39411363</v>
      </c>
      <c r="AH213" s="154"/>
      <c r="AI213" s="32" t="s">
        <v>3584</v>
      </c>
      <c r="AJ213" s="44">
        <v>2024</v>
      </c>
      <c r="AL213" s="2"/>
    </row>
    <row r="214" spans="1:38" ht="29" x14ac:dyDescent="0.35">
      <c r="A214" s="43" t="s">
        <v>306</v>
      </c>
      <c r="B214" s="2" t="s">
        <v>333</v>
      </c>
      <c r="C214" s="26" t="s">
        <v>63</v>
      </c>
      <c r="D214" s="27">
        <v>6361</v>
      </c>
      <c r="E214" s="2" t="s">
        <v>300</v>
      </c>
      <c r="F214" s="66" t="s">
        <v>3585</v>
      </c>
      <c r="G214" s="65">
        <v>45414</v>
      </c>
      <c r="H214" s="26" t="s">
        <v>150</v>
      </c>
      <c r="I214" s="67" t="s">
        <v>3466</v>
      </c>
      <c r="J214" s="47" t="s">
        <v>89</v>
      </c>
      <c r="K214" s="68" t="s">
        <v>84</v>
      </c>
      <c r="L214" s="26" t="s">
        <v>1540</v>
      </c>
      <c r="M214" s="2" t="s">
        <v>3586</v>
      </c>
      <c r="N214" s="36">
        <v>357000000</v>
      </c>
      <c r="O214" s="143">
        <v>0</v>
      </c>
      <c r="P214" s="3">
        <v>357000000</v>
      </c>
      <c r="Q214" s="70" t="s">
        <v>302</v>
      </c>
      <c r="R214" s="3"/>
      <c r="S214" s="28">
        <f>+Tabla15133[[#This Row],[VALOR TOTAL DEL CONTRATO
(en pesos)
CON IVA
(inicial)]]+Tabla15133[[#This Row],[VALOR DE LAS ADICIONES
(en pesos)
CON IVA]]</f>
        <v>357000000</v>
      </c>
      <c r="T214" s="37">
        <v>365</v>
      </c>
      <c r="U214" s="70" t="s">
        <v>302</v>
      </c>
      <c r="V214" s="101"/>
      <c r="W214" s="70" t="s">
        <v>302</v>
      </c>
      <c r="X214" s="70"/>
      <c r="Y214" s="65">
        <v>45414</v>
      </c>
      <c r="Z214" s="65">
        <v>45779</v>
      </c>
      <c r="AA214" s="144">
        <v>45779</v>
      </c>
      <c r="AB214" s="64" t="s">
        <v>325</v>
      </c>
      <c r="AC214" s="71"/>
      <c r="AD214" s="71" t="s">
        <v>321</v>
      </c>
      <c r="AE214" s="30">
        <v>0.92859999999999998</v>
      </c>
      <c r="AF214" s="30">
        <v>0.92859999999999998</v>
      </c>
      <c r="AG214" s="31">
        <v>331501160</v>
      </c>
      <c r="AH214" s="154"/>
      <c r="AI214" s="32" t="s">
        <v>3587</v>
      </c>
      <c r="AJ214" s="44">
        <v>2024</v>
      </c>
      <c r="AL214" s="2"/>
    </row>
    <row r="215" spans="1:38" ht="29" x14ac:dyDescent="0.35">
      <c r="A215" s="43" t="s">
        <v>306</v>
      </c>
      <c r="B215" s="2" t="s">
        <v>333</v>
      </c>
      <c r="C215" s="26" t="s">
        <v>63</v>
      </c>
      <c r="D215" s="27" t="s">
        <v>3588</v>
      </c>
      <c r="E215" s="2" t="s">
        <v>300</v>
      </c>
      <c r="F215" s="66" t="s">
        <v>3589</v>
      </c>
      <c r="G215" s="65">
        <v>45414</v>
      </c>
      <c r="H215" s="26" t="s">
        <v>150</v>
      </c>
      <c r="I215" s="67" t="s">
        <v>3466</v>
      </c>
      <c r="J215" s="47" t="s">
        <v>89</v>
      </c>
      <c r="K215" s="68" t="s">
        <v>84</v>
      </c>
      <c r="L215" s="26" t="s">
        <v>3590</v>
      </c>
      <c r="M215" s="2" t="s">
        <v>3591</v>
      </c>
      <c r="N215" s="36">
        <v>400000000</v>
      </c>
      <c r="O215" s="143">
        <v>76000000</v>
      </c>
      <c r="P215" s="3">
        <v>476000000</v>
      </c>
      <c r="Q215" s="70" t="s">
        <v>301</v>
      </c>
      <c r="R215" s="3">
        <v>126000000</v>
      </c>
      <c r="S215" s="28">
        <f>+Tabla15133[[#This Row],[VALOR TOTAL DEL CONTRATO
(en pesos)
CON IVA
(inicial)]]+Tabla15133[[#This Row],[VALOR DE LAS ADICIONES
(en pesos)
CON IVA]]</f>
        <v>602000000</v>
      </c>
      <c r="T215" s="37">
        <f>+Tabla15133[[#This Row],[FECHA TERMINACIÓN DEL CONTRATO
(inicial)]]-Tabla15133[[#This Row],[FECHA INICIO CONTRATO]]</f>
        <v>364</v>
      </c>
      <c r="U215" s="70" t="s">
        <v>301</v>
      </c>
      <c r="V215" s="101">
        <f>+Tabla15133[[#This Row],[FECHA TERMINACIÓN DEL CONTRATO
(inicial + prórroga)]]-Tabla15133[[#This Row],[FECHA TERMINACIÓN DEL CONTRATO
(inicial)]]</f>
        <v>92</v>
      </c>
      <c r="W215" s="70" t="s">
        <v>302</v>
      </c>
      <c r="X215" s="70"/>
      <c r="Y215" s="65">
        <v>45414</v>
      </c>
      <c r="Z215" s="65">
        <v>45778</v>
      </c>
      <c r="AA215" s="144">
        <v>45870</v>
      </c>
      <c r="AB215" s="64" t="s">
        <v>325</v>
      </c>
      <c r="AC215" s="71"/>
      <c r="AD215" s="71" t="s">
        <v>321</v>
      </c>
      <c r="AE215" s="30">
        <v>0.22170000000000001</v>
      </c>
      <c r="AF215" s="30">
        <v>0.22170000000000001</v>
      </c>
      <c r="AG215" s="31">
        <v>133449990</v>
      </c>
      <c r="AH215" s="154" t="s">
        <v>3592</v>
      </c>
      <c r="AI215" s="32" t="s">
        <v>3593</v>
      </c>
      <c r="AJ215" s="44">
        <v>2024</v>
      </c>
      <c r="AL215" s="2"/>
    </row>
    <row r="216" spans="1:38" ht="43.5" x14ac:dyDescent="0.35">
      <c r="A216" s="43" t="s">
        <v>306</v>
      </c>
      <c r="B216" s="2" t="s">
        <v>11</v>
      </c>
      <c r="C216" s="26" t="s">
        <v>19</v>
      </c>
      <c r="D216" s="27">
        <v>6266</v>
      </c>
      <c r="E216" s="2" t="s">
        <v>300</v>
      </c>
      <c r="F216" s="66" t="s">
        <v>3594</v>
      </c>
      <c r="G216" s="65">
        <v>45432</v>
      </c>
      <c r="H216" s="26" t="s">
        <v>142</v>
      </c>
      <c r="I216" s="67" t="s">
        <v>3595</v>
      </c>
      <c r="J216" s="47" t="s">
        <v>89</v>
      </c>
      <c r="K216" s="68" t="s">
        <v>84</v>
      </c>
      <c r="L216" s="26" t="s">
        <v>1574</v>
      </c>
      <c r="M216" s="2" t="s">
        <v>3596</v>
      </c>
      <c r="N216" s="36">
        <v>178500000</v>
      </c>
      <c r="O216" s="143">
        <v>3114653</v>
      </c>
      <c r="P216" s="3">
        <v>181614653</v>
      </c>
      <c r="Q216" s="70" t="s">
        <v>302</v>
      </c>
      <c r="R216" s="3"/>
      <c r="S216" s="28">
        <f>+Tabla15133[[#This Row],[VALOR TOTAL DEL CONTRATO
(en pesos)
CON IVA
(inicial)]]+Tabla15133[[#This Row],[VALOR DE LAS ADICIONES
(en pesos)
CON IVA]]</f>
        <v>181614653</v>
      </c>
      <c r="T216" s="37">
        <v>365</v>
      </c>
      <c r="U216" s="70" t="s">
        <v>302</v>
      </c>
      <c r="V216" s="101"/>
      <c r="W216" s="70" t="s">
        <v>302</v>
      </c>
      <c r="X216" s="70"/>
      <c r="Y216" s="65">
        <v>45432</v>
      </c>
      <c r="Z216" s="65">
        <v>45797</v>
      </c>
      <c r="AA216" s="144">
        <v>45797</v>
      </c>
      <c r="AB216" s="64" t="s">
        <v>323</v>
      </c>
      <c r="AC216" s="71">
        <v>45915</v>
      </c>
      <c r="AD216" s="71" t="s">
        <v>321</v>
      </c>
      <c r="AE216" s="30">
        <v>1</v>
      </c>
      <c r="AF216" s="30">
        <v>1</v>
      </c>
      <c r="AG216" s="31">
        <v>19507540</v>
      </c>
      <c r="AH216" s="154"/>
      <c r="AI216" s="32" t="s">
        <v>3597</v>
      </c>
      <c r="AJ216" s="44">
        <v>2024</v>
      </c>
      <c r="AL216" s="2"/>
    </row>
    <row r="217" spans="1:38" ht="29" x14ac:dyDescent="0.35">
      <c r="A217" s="43" t="s">
        <v>306</v>
      </c>
      <c r="B217" s="2" t="s">
        <v>322</v>
      </c>
      <c r="C217" s="26" t="s">
        <v>66</v>
      </c>
      <c r="D217" s="27">
        <v>6276</v>
      </c>
      <c r="E217" s="2" t="s">
        <v>300</v>
      </c>
      <c r="F217" s="66" t="s">
        <v>3598</v>
      </c>
      <c r="G217" s="65">
        <v>45433</v>
      </c>
      <c r="H217" s="26" t="s">
        <v>150</v>
      </c>
      <c r="I217" s="67" t="s">
        <v>3599</v>
      </c>
      <c r="J217" s="47" t="s">
        <v>89</v>
      </c>
      <c r="K217" s="68" t="s">
        <v>84</v>
      </c>
      <c r="L217" s="26" t="s">
        <v>1504</v>
      </c>
      <c r="M217" s="2" t="s">
        <v>393</v>
      </c>
      <c r="N217" s="28">
        <v>28000000</v>
      </c>
      <c r="O217" s="28">
        <v>5320000</v>
      </c>
      <c r="P217" s="3">
        <v>33320000</v>
      </c>
      <c r="Q217" s="70" t="s">
        <v>302</v>
      </c>
      <c r="R217" s="3"/>
      <c r="S217" s="28">
        <f>+Tabla15133[[#This Row],[VALOR TOTAL DEL CONTRATO
(en pesos)
CON IVA
(inicial)]]+Tabla15133[[#This Row],[VALOR DE LAS ADICIONES
(en pesos)
CON IVA]]</f>
        <v>33320000</v>
      </c>
      <c r="T217" s="37">
        <v>224</v>
      </c>
      <c r="U217" s="70" t="s">
        <v>302</v>
      </c>
      <c r="V217" s="101"/>
      <c r="W217" s="70" t="s">
        <v>302</v>
      </c>
      <c r="X217" s="70"/>
      <c r="Y217" s="65">
        <v>45433</v>
      </c>
      <c r="Z217" s="65">
        <v>45657</v>
      </c>
      <c r="AA217" s="144">
        <v>45657</v>
      </c>
      <c r="AB217" s="64" t="s">
        <v>323</v>
      </c>
      <c r="AC217" s="71">
        <v>45700</v>
      </c>
      <c r="AD217" s="71" t="s">
        <v>321</v>
      </c>
      <c r="AE217" s="30">
        <v>1</v>
      </c>
      <c r="AF217" s="30">
        <v>1</v>
      </c>
      <c r="AG217" s="31">
        <v>33320000</v>
      </c>
      <c r="AH217" s="154"/>
      <c r="AI217" s="32" t="s">
        <v>3600</v>
      </c>
      <c r="AJ217" s="44">
        <v>2024</v>
      </c>
      <c r="AL217" s="2"/>
    </row>
    <row r="218" spans="1:38" ht="43.5" x14ac:dyDescent="0.35">
      <c r="A218" s="43" t="s">
        <v>306</v>
      </c>
      <c r="B218" s="2" t="s">
        <v>322</v>
      </c>
      <c r="C218" s="26" t="s">
        <v>74</v>
      </c>
      <c r="D218" s="27">
        <v>6263</v>
      </c>
      <c r="E218" s="2" t="s">
        <v>300</v>
      </c>
      <c r="F218" s="66" t="s">
        <v>3601</v>
      </c>
      <c r="G218" s="65">
        <v>45420</v>
      </c>
      <c r="H218" s="26" t="s">
        <v>150</v>
      </c>
      <c r="I218" s="67" t="s">
        <v>3602</v>
      </c>
      <c r="J218" s="47" t="s">
        <v>89</v>
      </c>
      <c r="K218" s="68" t="s">
        <v>84</v>
      </c>
      <c r="L218" s="26" t="s">
        <v>1498</v>
      </c>
      <c r="M218" s="2" t="s">
        <v>394</v>
      </c>
      <c r="N218" s="145">
        <v>50000000</v>
      </c>
      <c r="O218" s="143">
        <v>9500000</v>
      </c>
      <c r="P218" s="3">
        <v>59500000</v>
      </c>
      <c r="Q218" s="70" t="s">
        <v>302</v>
      </c>
      <c r="R218" s="3"/>
      <c r="S218" s="28">
        <f>+Tabla15133[[#This Row],[VALOR TOTAL DEL CONTRATO
(en pesos)
CON IVA
(inicial)]]+Tabla15133[[#This Row],[VALOR DE LAS ADICIONES
(en pesos)
CON IVA]]</f>
        <v>59500000</v>
      </c>
      <c r="T218" s="37">
        <v>237</v>
      </c>
      <c r="U218" s="70" t="s">
        <v>302</v>
      </c>
      <c r="V218" s="101"/>
      <c r="W218" s="70" t="s">
        <v>302</v>
      </c>
      <c r="X218" s="70"/>
      <c r="Y218" s="65">
        <v>45420</v>
      </c>
      <c r="Z218" s="65">
        <v>45657</v>
      </c>
      <c r="AA218" s="144">
        <v>45657</v>
      </c>
      <c r="AB218" s="64" t="s">
        <v>323</v>
      </c>
      <c r="AC218" s="71">
        <v>45716</v>
      </c>
      <c r="AD218" s="71" t="s">
        <v>321</v>
      </c>
      <c r="AE218" s="30">
        <v>1</v>
      </c>
      <c r="AF218" s="30">
        <v>0.33539999999999998</v>
      </c>
      <c r="AG218" s="31">
        <v>19953920</v>
      </c>
      <c r="AH218" s="154"/>
      <c r="AI218" s="32" t="s">
        <v>3603</v>
      </c>
      <c r="AJ218" s="44">
        <v>2024</v>
      </c>
      <c r="AL218" s="2"/>
    </row>
    <row r="219" spans="1:38" ht="29" x14ac:dyDescent="0.35">
      <c r="A219" s="43" t="s">
        <v>306</v>
      </c>
      <c r="B219" s="2" t="s">
        <v>333</v>
      </c>
      <c r="C219" s="26" t="s">
        <v>63</v>
      </c>
      <c r="D219" s="27">
        <v>6329</v>
      </c>
      <c r="E219" s="2" t="s">
        <v>300</v>
      </c>
      <c r="F219" s="66" t="s">
        <v>3604</v>
      </c>
      <c r="G219" s="65">
        <v>45420</v>
      </c>
      <c r="H219" s="26" t="s">
        <v>150</v>
      </c>
      <c r="I219" s="67" t="s">
        <v>3473</v>
      </c>
      <c r="J219" s="47" t="s">
        <v>89</v>
      </c>
      <c r="K219" s="68" t="s">
        <v>84</v>
      </c>
      <c r="L219" s="26" t="s">
        <v>1560</v>
      </c>
      <c r="M219" s="2" t="s">
        <v>395</v>
      </c>
      <c r="N219" s="36">
        <v>178500000</v>
      </c>
      <c r="O219" s="143">
        <v>0</v>
      </c>
      <c r="P219" s="3">
        <v>178500000</v>
      </c>
      <c r="Q219" s="70" t="s">
        <v>302</v>
      </c>
      <c r="R219" s="3"/>
      <c r="S219" s="28">
        <f>+Tabla15133[[#This Row],[VALOR TOTAL DEL CONTRATO
(en pesos)
CON IVA
(inicial)]]+Tabla15133[[#This Row],[VALOR DE LAS ADICIONES
(en pesos)
CON IVA]]</f>
        <v>178500000</v>
      </c>
      <c r="T219" s="37">
        <v>364</v>
      </c>
      <c r="U219" s="70" t="s">
        <v>302</v>
      </c>
      <c r="V219" s="101"/>
      <c r="W219" s="70" t="s">
        <v>302</v>
      </c>
      <c r="X219" s="70"/>
      <c r="Y219" s="65">
        <v>45420</v>
      </c>
      <c r="Z219" s="65">
        <v>45784</v>
      </c>
      <c r="AA219" s="144">
        <v>45784</v>
      </c>
      <c r="AB219" s="64" t="s">
        <v>325</v>
      </c>
      <c r="AC219" s="71"/>
      <c r="AD219" s="71" t="s">
        <v>321</v>
      </c>
      <c r="AE219" s="30">
        <v>8.2600000000000007E-2</v>
      </c>
      <c r="AF219" s="30">
        <v>8.2600000000000007E-2</v>
      </c>
      <c r="AG219" s="31">
        <v>49742000</v>
      </c>
      <c r="AH219" s="154"/>
      <c r="AI219" s="32" t="s">
        <v>3605</v>
      </c>
      <c r="AJ219" s="44">
        <v>2024</v>
      </c>
      <c r="AL219" s="2"/>
    </row>
    <row r="220" spans="1:38" ht="29" x14ac:dyDescent="0.35">
      <c r="A220" s="43" t="s">
        <v>306</v>
      </c>
      <c r="B220" s="2" t="s">
        <v>11</v>
      </c>
      <c r="C220" s="26" t="s">
        <v>335</v>
      </c>
      <c r="D220" s="27">
        <v>6356</v>
      </c>
      <c r="E220" s="2" t="s">
        <v>300</v>
      </c>
      <c r="F220" s="66" t="s">
        <v>3606</v>
      </c>
      <c r="G220" s="65">
        <v>45426</v>
      </c>
      <c r="H220" s="26" t="s">
        <v>150</v>
      </c>
      <c r="I220" s="67" t="s">
        <v>3607</v>
      </c>
      <c r="J220" s="47" t="s">
        <v>83</v>
      </c>
      <c r="K220" s="68" t="s">
        <v>96</v>
      </c>
      <c r="L220" s="26" t="s">
        <v>1576</v>
      </c>
      <c r="M220" s="2" t="s">
        <v>3608</v>
      </c>
      <c r="N220" s="160">
        <v>90440000</v>
      </c>
      <c r="O220" s="115">
        <v>0</v>
      </c>
      <c r="P220" s="3">
        <v>90440000</v>
      </c>
      <c r="Q220" s="70" t="s">
        <v>302</v>
      </c>
      <c r="R220" s="3"/>
      <c r="S220" s="28">
        <f>+Tabla15133[[#This Row],[VALOR TOTAL DEL CONTRATO
(en pesos)
CON IVA
(inicial)]]+Tabla15133[[#This Row],[VALOR DE LAS ADICIONES
(en pesos)
CON IVA]]</f>
        <v>90440000</v>
      </c>
      <c r="T220" s="37">
        <v>365</v>
      </c>
      <c r="U220" s="70" t="s">
        <v>302</v>
      </c>
      <c r="V220" s="101"/>
      <c r="W220" s="70" t="s">
        <v>302</v>
      </c>
      <c r="X220" s="70"/>
      <c r="Y220" s="65">
        <v>45429</v>
      </c>
      <c r="Z220" s="65">
        <v>45794</v>
      </c>
      <c r="AA220" s="144">
        <v>45794</v>
      </c>
      <c r="AB220" s="64" t="s">
        <v>323</v>
      </c>
      <c r="AC220" s="71">
        <v>45916</v>
      </c>
      <c r="AD220" s="71" t="s">
        <v>321</v>
      </c>
      <c r="AE220" s="30">
        <v>1</v>
      </c>
      <c r="AF220" s="55">
        <v>1</v>
      </c>
      <c r="AG220" s="31">
        <v>90440000</v>
      </c>
      <c r="AH220" s="154"/>
      <c r="AI220" s="32" t="s">
        <v>3609</v>
      </c>
      <c r="AJ220" s="44">
        <v>2024</v>
      </c>
      <c r="AL220" s="2"/>
    </row>
    <row r="221" spans="1:38" ht="29" x14ac:dyDescent="0.35">
      <c r="A221" s="43" t="s">
        <v>306</v>
      </c>
      <c r="B221" s="2" t="s">
        <v>333</v>
      </c>
      <c r="C221" s="26" t="s">
        <v>63</v>
      </c>
      <c r="D221" s="27">
        <v>6297</v>
      </c>
      <c r="E221" s="2" t="s">
        <v>300</v>
      </c>
      <c r="F221" s="66" t="s">
        <v>3610</v>
      </c>
      <c r="G221" s="65">
        <v>45428</v>
      </c>
      <c r="H221" s="26" t="s">
        <v>150</v>
      </c>
      <c r="I221" s="67" t="s">
        <v>3473</v>
      </c>
      <c r="J221" s="47" t="s">
        <v>89</v>
      </c>
      <c r="K221" s="68" t="s">
        <v>84</v>
      </c>
      <c r="L221" s="26" t="s">
        <v>1561</v>
      </c>
      <c r="M221" s="2" t="s">
        <v>396</v>
      </c>
      <c r="N221" s="36">
        <v>178500000</v>
      </c>
      <c r="O221" s="143">
        <v>0</v>
      </c>
      <c r="P221" s="3">
        <v>178500000</v>
      </c>
      <c r="Q221" s="70" t="s">
        <v>302</v>
      </c>
      <c r="R221" s="3"/>
      <c r="S221" s="28">
        <f>+Tabla15133[[#This Row],[VALOR TOTAL DEL CONTRATO
(en pesos)
CON IVA
(inicial)]]+Tabla15133[[#This Row],[VALOR DE LAS ADICIONES
(en pesos)
CON IVA]]</f>
        <v>178500000</v>
      </c>
      <c r="T221" s="37">
        <v>365</v>
      </c>
      <c r="U221" s="70" t="s">
        <v>302</v>
      </c>
      <c r="V221" s="101"/>
      <c r="W221" s="70" t="s">
        <v>302</v>
      </c>
      <c r="X221" s="70"/>
      <c r="Y221" s="65">
        <v>45428</v>
      </c>
      <c r="Z221" s="65">
        <v>45793</v>
      </c>
      <c r="AA221" s="144">
        <v>45793</v>
      </c>
      <c r="AB221" s="64" t="s">
        <v>325</v>
      </c>
      <c r="AC221" s="71"/>
      <c r="AD221" s="71" t="s">
        <v>321</v>
      </c>
      <c r="AE221" s="30">
        <v>7.1199999999999999E-2</v>
      </c>
      <c r="AF221" s="30">
        <v>7.1199999999999999E-2</v>
      </c>
      <c r="AG221" s="31">
        <v>42846894</v>
      </c>
      <c r="AH221" s="154"/>
      <c r="AI221" s="32" t="s">
        <v>3611</v>
      </c>
      <c r="AJ221" s="44">
        <v>2024</v>
      </c>
      <c r="AL221" s="2"/>
    </row>
    <row r="222" spans="1:38" ht="29" x14ac:dyDescent="0.35">
      <c r="A222" s="43" t="s">
        <v>306</v>
      </c>
      <c r="B222" s="2" t="s">
        <v>11</v>
      </c>
      <c r="C222" s="26" t="s">
        <v>12</v>
      </c>
      <c r="D222" s="27">
        <v>6389</v>
      </c>
      <c r="E222" s="2" t="s">
        <v>300</v>
      </c>
      <c r="F222" s="66" t="s">
        <v>3612</v>
      </c>
      <c r="G222" s="65">
        <v>45432</v>
      </c>
      <c r="H222" s="26" t="s">
        <v>150</v>
      </c>
      <c r="I222" s="67" t="s">
        <v>3613</v>
      </c>
      <c r="J222" s="47" t="s">
        <v>83</v>
      </c>
      <c r="K222" s="68" t="s">
        <v>96</v>
      </c>
      <c r="L222" s="26" t="s">
        <v>3614</v>
      </c>
      <c r="M222" s="2" t="s">
        <v>3615</v>
      </c>
      <c r="N222" s="160">
        <v>12180000</v>
      </c>
      <c r="O222" s="157">
        <v>0</v>
      </c>
      <c r="P222" s="3">
        <v>12180000</v>
      </c>
      <c r="Q222" s="70" t="s">
        <v>302</v>
      </c>
      <c r="R222" s="3"/>
      <c r="S222" s="28">
        <f>+Tabla15133[[#This Row],[VALOR TOTAL DEL CONTRATO
(en pesos)
CON IVA
(inicial)]]+Tabla15133[[#This Row],[VALOR DE LAS ADICIONES
(en pesos)
CON IVA]]</f>
        <v>12180000</v>
      </c>
      <c r="T222" s="37">
        <v>184</v>
      </c>
      <c r="U222" s="70" t="s">
        <v>302</v>
      </c>
      <c r="V222" s="101"/>
      <c r="W222" s="70" t="s">
        <v>302</v>
      </c>
      <c r="X222" s="70"/>
      <c r="Y222" s="65">
        <v>45432</v>
      </c>
      <c r="Z222" s="65">
        <v>45616</v>
      </c>
      <c r="AA222" s="144">
        <v>45616</v>
      </c>
      <c r="AB222" s="64" t="s">
        <v>323</v>
      </c>
      <c r="AC222" s="71">
        <v>45731</v>
      </c>
      <c r="AD222" s="71" t="s">
        <v>321</v>
      </c>
      <c r="AE222" s="30">
        <v>1</v>
      </c>
      <c r="AF222" s="30">
        <v>0.99</v>
      </c>
      <c r="AG222" s="31">
        <v>12065000</v>
      </c>
      <c r="AH222" s="154"/>
      <c r="AI222" s="32" t="s">
        <v>3616</v>
      </c>
      <c r="AJ222" s="44">
        <v>2024</v>
      </c>
      <c r="AL222" s="2"/>
    </row>
    <row r="223" spans="1:38" ht="104" x14ac:dyDescent="0.35">
      <c r="A223" s="43" t="s">
        <v>306</v>
      </c>
      <c r="B223" s="2" t="s">
        <v>322</v>
      </c>
      <c r="C223" s="26" t="s">
        <v>68</v>
      </c>
      <c r="D223" s="27">
        <v>6164</v>
      </c>
      <c r="E223" s="2" t="s">
        <v>324</v>
      </c>
      <c r="F223" s="66" t="s">
        <v>3617</v>
      </c>
      <c r="G223" s="65">
        <v>45432</v>
      </c>
      <c r="H223" s="26" t="s">
        <v>150</v>
      </c>
      <c r="I223" s="67" t="s">
        <v>3618</v>
      </c>
      <c r="J223" s="47" t="s">
        <v>95</v>
      </c>
      <c r="K223" s="68" t="s">
        <v>84</v>
      </c>
      <c r="L223" s="26" t="s">
        <v>3619</v>
      </c>
      <c r="M223" s="2" t="s">
        <v>3620</v>
      </c>
      <c r="N223" s="145">
        <v>61891460462</v>
      </c>
      <c r="O223" s="143">
        <v>11759377487</v>
      </c>
      <c r="P223" s="3">
        <v>73650837949</v>
      </c>
      <c r="Q223" s="70" t="s">
        <v>302</v>
      </c>
      <c r="R223" s="3"/>
      <c r="S223" s="28">
        <f>+Tabla15133[[#This Row],[VALOR TOTAL DEL CONTRATO
(en pesos)
CON IVA
(inicial)]]+Tabla15133[[#This Row],[VALOR DE LAS ADICIONES
(en pesos)
CON IVA]]</f>
        <v>73650837949</v>
      </c>
      <c r="T223" s="37">
        <v>729</v>
      </c>
      <c r="U223" s="70" t="s">
        <v>302</v>
      </c>
      <c r="V223" s="101"/>
      <c r="W223" s="70" t="s">
        <v>302</v>
      </c>
      <c r="X223" s="70"/>
      <c r="Y223" s="65">
        <v>45444</v>
      </c>
      <c r="Z223" s="65">
        <v>46173</v>
      </c>
      <c r="AA223" s="144">
        <v>46173</v>
      </c>
      <c r="AB223" s="64" t="s">
        <v>303</v>
      </c>
      <c r="AC223" s="71"/>
      <c r="AD223" s="70"/>
      <c r="AE223" s="30" t="s">
        <v>3621</v>
      </c>
      <c r="AF223" s="30" t="s">
        <v>3622</v>
      </c>
      <c r="AG223" s="31">
        <v>48026955313</v>
      </c>
      <c r="AH223" s="154" t="s">
        <v>3623</v>
      </c>
      <c r="AI223" s="32" t="s">
        <v>3624</v>
      </c>
      <c r="AJ223" s="44">
        <v>2024</v>
      </c>
      <c r="AL223" s="2"/>
    </row>
    <row r="224" spans="1:38" ht="29" x14ac:dyDescent="0.35">
      <c r="A224" s="43" t="s">
        <v>306</v>
      </c>
      <c r="B224" s="2" t="s">
        <v>333</v>
      </c>
      <c r="C224" s="26" t="s">
        <v>63</v>
      </c>
      <c r="D224" s="27">
        <v>6412</v>
      </c>
      <c r="E224" s="2" t="s">
        <v>300</v>
      </c>
      <c r="F224" s="66" t="s">
        <v>3625</v>
      </c>
      <c r="G224" s="65">
        <v>45433</v>
      </c>
      <c r="H224" s="26" t="s">
        <v>150</v>
      </c>
      <c r="I224" s="67" t="s">
        <v>3626</v>
      </c>
      <c r="J224" s="47" t="s">
        <v>89</v>
      </c>
      <c r="K224" s="68" t="s">
        <v>84</v>
      </c>
      <c r="L224" s="26" t="s">
        <v>3627</v>
      </c>
      <c r="M224" s="2" t="s">
        <v>3628</v>
      </c>
      <c r="N224" s="36">
        <v>178500000</v>
      </c>
      <c r="O224" s="143">
        <v>0</v>
      </c>
      <c r="P224" s="3">
        <v>178500000</v>
      </c>
      <c r="Q224" s="70" t="s">
        <v>302</v>
      </c>
      <c r="R224" s="3"/>
      <c r="S224" s="28">
        <f>+Tabla15133[[#This Row],[VALOR TOTAL DEL CONTRATO
(en pesos)
CON IVA
(inicial)]]+Tabla15133[[#This Row],[VALOR DE LAS ADICIONES
(en pesos)
CON IVA]]</f>
        <v>178500000</v>
      </c>
      <c r="T224" s="37">
        <v>364</v>
      </c>
      <c r="U224" s="70" t="s">
        <v>302</v>
      </c>
      <c r="V224" s="101"/>
      <c r="W224" s="70" t="s">
        <v>302</v>
      </c>
      <c r="X224" s="70"/>
      <c r="Y224" s="65">
        <v>45433</v>
      </c>
      <c r="Z224" s="65">
        <v>45797</v>
      </c>
      <c r="AA224" s="144">
        <v>45797</v>
      </c>
      <c r="AB224" s="64" t="s">
        <v>325</v>
      </c>
      <c r="AC224" s="71"/>
      <c r="AD224" s="71" t="s">
        <v>321</v>
      </c>
      <c r="AE224" s="30">
        <v>8.5000000000000006E-3</v>
      </c>
      <c r="AF224" s="30">
        <v>8.5000000000000006E-3</v>
      </c>
      <c r="AG224" s="31">
        <v>1523000</v>
      </c>
      <c r="AH224" s="154"/>
      <c r="AI224" s="32" t="s">
        <v>3629</v>
      </c>
      <c r="AJ224" s="44">
        <v>2024</v>
      </c>
      <c r="AL224" s="2"/>
    </row>
    <row r="225" spans="1:38" ht="29" x14ac:dyDescent="0.35">
      <c r="A225" s="43" t="s">
        <v>306</v>
      </c>
      <c r="B225" s="2" t="s">
        <v>333</v>
      </c>
      <c r="C225" s="26" t="s">
        <v>63</v>
      </c>
      <c r="D225" s="27">
        <v>6410</v>
      </c>
      <c r="E225" s="2" t="s">
        <v>300</v>
      </c>
      <c r="F225" s="66" t="s">
        <v>3630</v>
      </c>
      <c r="G225" s="65">
        <v>45433</v>
      </c>
      <c r="H225" s="26" t="s">
        <v>150</v>
      </c>
      <c r="I225" s="67" t="s">
        <v>3473</v>
      </c>
      <c r="J225" s="47" t="s">
        <v>89</v>
      </c>
      <c r="K225" s="68" t="s">
        <v>84</v>
      </c>
      <c r="L225" s="26" t="s">
        <v>1542</v>
      </c>
      <c r="M225" s="2" t="s">
        <v>398</v>
      </c>
      <c r="N225" s="36">
        <v>178500000</v>
      </c>
      <c r="O225" s="143">
        <v>0</v>
      </c>
      <c r="P225" s="3">
        <v>178500000</v>
      </c>
      <c r="Q225" s="70" t="s">
        <v>302</v>
      </c>
      <c r="R225" s="3"/>
      <c r="S225" s="28">
        <f>+Tabla15133[[#This Row],[VALOR TOTAL DEL CONTRATO
(en pesos)
CON IVA
(inicial)]]+Tabla15133[[#This Row],[VALOR DE LAS ADICIONES
(en pesos)
CON IVA]]</f>
        <v>178500000</v>
      </c>
      <c r="T225" s="37">
        <v>364</v>
      </c>
      <c r="U225" s="70" t="s">
        <v>302</v>
      </c>
      <c r="V225" s="101"/>
      <c r="W225" s="70" t="s">
        <v>302</v>
      </c>
      <c r="X225" s="70"/>
      <c r="Y225" s="65">
        <v>45433</v>
      </c>
      <c r="Z225" s="65">
        <v>45797</v>
      </c>
      <c r="AA225" s="144">
        <v>45797</v>
      </c>
      <c r="AB225" s="64" t="s">
        <v>325</v>
      </c>
      <c r="AC225" s="71"/>
      <c r="AD225" s="71" t="s">
        <v>321</v>
      </c>
      <c r="AE225" s="30">
        <v>0.3523</v>
      </c>
      <c r="AF225" s="30">
        <v>0.3523</v>
      </c>
      <c r="AG225" s="31">
        <v>62892733</v>
      </c>
      <c r="AH225" s="154"/>
      <c r="AI225" s="32" t="s">
        <v>3631</v>
      </c>
      <c r="AJ225" s="44">
        <v>2024</v>
      </c>
      <c r="AL225" s="2"/>
    </row>
    <row r="226" spans="1:38" ht="29" x14ac:dyDescent="0.35">
      <c r="A226" s="43" t="s">
        <v>306</v>
      </c>
      <c r="B226" s="2" t="s">
        <v>11</v>
      </c>
      <c r="C226" s="26" t="s">
        <v>12</v>
      </c>
      <c r="D226" s="27" t="s">
        <v>3632</v>
      </c>
      <c r="E226" s="2" t="s">
        <v>324</v>
      </c>
      <c r="F226" s="66" t="s">
        <v>3633</v>
      </c>
      <c r="G226" s="65">
        <v>45443</v>
      </c>
      <c r="H226" s="26" t="s">
        <v>150</v>
      </c>
      <c r="I226" s="67" t="s">
        <v>3634</v>
      </c>
      <c r="J226" s="47" t="s">
        <v>89</v>
      </c>
      <c r="K226" s="68" t="s">
        <v>84</v>
      </c>
      <c r="L226" s="26" t="s">
        <v>3635</v>
      </c>
      <c r="M226" s="2" t="s">
        <v>3636</v>
      </c>
      <c r="N226" s="145">
        <v>9234023203</v>
      </c>
      <c r="O226" s="143">
        <v>175446441</v>
      </c>
      <c r="P226" s="3">
        <v>9409469644</v>
      </c>
      <c r="Q226" s="70" t="s">
        <v>301</v>
      </c>
      <c r="R226" s="3">
        <v>9619039353</v>
      </c>
      <c r="S226" s="28">
        <f>+Tabla15133[[#This Row],[VALOR TOTAL DEL CONTRATO
(en pesos)
CON IVA
(inicial)]]+Tabla15133[[#This Row],[VALOR DE LAS ADICIONES
(en pesos)
CON IVA]]</f>
        <v>19028508997</v>
      </c>
      <c r="T226" s="37">
        <v>360</v>
      </c>
      <c r="U226" s="70" t="s">
        <v>301</v>
      </c>
      <c r="V226" s="101">
        <f>+Tabla15133[[#This Row],[FECHA TERMINACIÓN DEL CONTRATO
(inicial + prórroga)]]-Tabla15133[[#This Row],[FECHA TERMINACIÓN DEL CONTRATO
(inicial)]]</f>
        <v>366</v>
      </c>
      <c r="W226" s="70" t="s">
        <v>302</v>
      </c>
      <c r="X226" s="70"/>
      <c r="Y226" s="65">
        <v>45447</v>
      </c>
      <c r="Z226" s="65">
        <v>45807</v>
      </c>
      <c r="AA226" s="144">
        <v>46173</v>
      </c>
      <c r="AB226" s="64" t="s">
        <v>303</v>
      </c>
      <c r="AC226" s="71"/>
      <c r="AD226" s="70"/>
      <c r="AE226" s="30">
        <v>0.58330000000000004</v>
      </c>
      <c r="AF226" s="30">
        <v>0.61899999999999999</v>
      </c>
      <c r="AG226" s="31">
        <v>5824715314</v>
      </c>
      <c r="AH226" s="154" t="s">
        <v>3637</v>
      </c>
      <c r="AI226" s="32" t="s">
        <v>3638</v>
      </c>
      <c r="AJ226" s="44">
        <v>2024</v>
      </c>
      <c r="AL226" s="2"/>
    </row>
    <row r="227" spans="1:38" ht="29" x14ac:dyDescent="0.35">
      <c r="A227" s="43" t="s">
        <v>306</v>
      </c>
      <c r="B227" s="2" t="s">
        <v>322</v>
      </c>
      <c r="C227" s="26" t="s">
        <v>73</v>
      </c>
      <c r="D227" s="27" t="s">
        <v>3639</v>
      </c>
      <c r="E227" s="2" t="s">
        <v>300</v>
      </c>
      <c r="F227" s="66" t="s">
        <v>3640</v>
      </c>
      <c r="G227" s="65">
        <v>45455</v>
      </c>
      <c r="H227" s="26" t="s">
        <v>150</v>
      </c>
      <c r="I227" s="67" t="s">
        <v>3641</v>
      </c>
      <c r="J227" s="47" t="s">
        <v>89</v>
      </c>
      <c r="K227" s="68" t="s">
        <v>84</v>
      </c>
      <c r="L227" s="26" t="s">
        <v>3642</v>
      </c>
      <c r="M227" s="2" t="s">
        <v>3643</v>
      </c>
      <c r="N227" s="28">
        <v>71512605</v>
      </c>
      <c r="O227" s="28">
        <v>13587395</v>
      </c>
      <c r="P227" s="3">
        <v>85100000</v>
      </c>
      <c r="Q227" s="70" t="s">
        <v>302</v>
      </c>
      <c r="R227" s="3"/>
      <c r="S227" s="28">
        <f>+Tabla15133[[#This Row],[VALOR TOTAL DEL CONTRATO
(en pesos)
CON IVA
(inicial)]]+Tabla15133[[#This Row],[VALOR DE LAS ADICIONES
(en pesos)
CON IVA]]</f>
        <v>85100000</v>
      </c>
      <c r="T227" s="37">
        <v>541</v>
      </c>
      <c r="U227" s="70" t="s">
        <v>301</v>
      </c>
      <c r="V227" s="101">
        <f>+Tabla15133[[#This Row],[FECHA TERMINACIÓN DEL CONTRATO
(inicial + prórroga)]]-Tabla15133[[#This Row],[FECHA TERMINACIÓN DEL CONTRATO
(inicial)]]</f>
        <v>365</v>
      </c>
      <c r="W227" s="70" t="s">
        <v>302</v>
      </c>
      <c r="X227" s="70"/>
      <c r="Y227" s="65">
        <v>45481</v>
      </c>
      <c r="Z227" s="65">
        <v>46022</v>
      </c>
      <c r="AA227" s="144">
        <v>46387</v>
      </c>
      <c r="AB227" s="64" t="s">
        <v>303</v>
      </c>
      <c r="AC227" s="71"/>
      <c r="AD227" s="70"/>
      <c r="AE227" s="61">
        <v>0.51100000000000001</v>
      </c>
      <c r="AF227" s="61">
        <v>0.51100000000000001</v>
      </c>
      <c r="AG227" s="62">
        <v>43506400</v>
      </c>
      <c r="AH227" s="154" t="s">
        <v>3644</v>
      </c>
      <c r="AI227" s="32" t="s">
        <v>3645</v>
      </c>
      <c r="AJ227" s="44">
        <v>2024</v>
      </c>
      <c r="AL227" s="2"/>
    </row>
    <row r="228" spans="1:38" ht="43.5" x14ac:dyDescent="0.35">
      <c r="A228" s="43" t="s">
        <v>306</v>
      </c>
      <c r="B228" s="2" t="s">
        <v>31</v>
      </c>
      <c r="C228" s="26" t="s">
        <v>33</v>
      </c>
      <c r="D228" s="27">
        <v>6425</v>
      </c>
      <c r="E228" s="2" t="s">
        <v>300</v>
      </c>
      <c r="F228" s="74" t="s">
        <v>3646</v>
      </c>
      <c r="G228" s="65">
        <v>45455</v>
      </c>
      <c r="H228" s="26" t="s">
        <v>150</v>
      </c>
      <c r="I228" s="67" t="s">
        <v>3647</v>
      </c>
      <c r="J228" s="47" t="s">
        <v>89</v>
      </c>
      <c r="K228" s="68" t="s">
        <v>84</v>
      </c>
      <c r="L228" s="26" t="s">
        <v>1587</v>
      </c>
      <c r="M228" s="2" t="s">
        <v>400</v>
      </c>
      <c r="N228" s="145">
        <v>54621848.739495799</v>
      </c>
      <c r="O228" s="143">
        <v>10378151.260504201</v>
      </c>
      <c r="P228" s="3">
        <v>65000000</v>
      </c>
      <c r="Q228" s="70" t="s">
        <v>302</v>
      </c>
      <c r="R228" s="3"/>
      <c r="S228" s="28">
        <f>+Tabla15133[[#This Row],[VALOR TOTAL DEL CONTRATO
(en pesos)
CON IVA
(inicial)]]+Tabla15133[[#This Row],[VALOR DE LAS ADICIONES
(en pesos)
CON IVA]]</f>
        <v>65000000</v>
      </c>
      <c r="T228" s="37">
        <v>325</v>
      </c>
      <c r="U228" s="70" t="s">
        <v>302</v>
      </c>
      <c r="V228" s="101"/>
      <c r="W228" s="70" t="s">
        <v>302</v>
      </c>
      <c r="X228" s="70"/>
      <c r="Y228" s="65">
        <v>45483</v>
      </c>
      <c r="Z228" s="65">
        <v>45808</v>
      </c>
      <c r="AA228" s="144">
        <v>45808</v>
      </c>
      <c r="AB228" s="64" t="s">
        <v>323</v>
      </c>
      <c r="AC228" s="71">
        <v>45863</v>
      </c>
      <c r="AD228" s="71" t="s">
        <v>321</v>
      </c>
      <c r="AE228" s="30">
        <v>0.98</v>
      </c>
      <c r="AF228" s="30">
        <v>1</v>
      </c>
      <c r="AG228" s="31">
        <v>65000000</v>
      </c>
      <c r="AH228" s="154"/>
      <c r="AI228" s="32" t="s">
        <v>3648</v>
      </c>
      <c r="AJ228" s="44">
        <v>2024</v>
      </c>
      <c r="AL228" s="2"/>
    </row>
    <row r="229" spans="1:38" ht="29" x14ac:dyDescent="0.35">
      <c r="A229" s="43" t="s">
        <v>306</v>
      </c>
      <c r="B229" s="2" t="s">
        <v>333</v>
      </c>
      <c r="C229" s="26" t="s">
        <v>63</v>
      </c>
      <c r="D229" s="27">
        <v>6445</v>
      </c>
      <c r="E229" s="2" t="s">
        <v>300</v>
      </c>
      <c r="F229" s="66" t="s">
        <v>3649</v>
      </c>
      <c r="G229" s="65">
        <v>45468</v>
      </c>
      <c r="H229" s="26" t="s">
        <v>150</v>
      </c>
      <c r="I229" s="67" t="s">
        <v>3473</v>
      </c>
      <c r="J229" s="47" t="s">
        <v>89</v>
      </c>
      <c r="K229" s="68" t="s">
        <v>84</v>
      </c>
      <c r="L229" s="26" t="s">
        <v>1625</v>
      </c>
      <c r="M229" s="2" t="s">
        <v>402</v>
      </c>
      <c r="N229" s="36">
        <v>476000000</v>
      </c>
      <c r="O229" s="143">
        <v>0</v>
      </c>
      <c r="P229" s="3">
        <v>476000000</v>
      </c>
      <c r="Q229" s="70" t="s">
        <v>302</v>
      </c>
      <c r="R229" s="3"/>
      <c r="S229" s="28">
        <f>+Tabla15133[[#This Row],[VALOR TOTAL DEL CONTRATO
(en pesos)
CON IVA
(inicial)]]+Tabla15133[[#This Row],[VALOR DE LAS ADICIONES
(en pesos)
CON IVA]]</f>
        <v>476000000</v>
      </c>
      <c r="T229" s="37">
        <v>365</v>
      </c>
      <c r="U229" s="70" t="s">
        <v>302</v>
      </c>
      <c r="V229" s="101"/>
      <c r="W229" s="70" t="s">
        <v>302</v>
      </c>
      <c r="X229" s="70"/>
      <c r="Y229" s="65">
        <v>45468</v>
      </c>
      <c r="Z229" s="65">
        <v>45833</v>
      </c>
      <c r="AA229" s="144">
        <v>45833</v>
      </c>
      <c r="AB229" s="64" t="s">
        <v>325</v>
      </c>
      <c r="AC229" s="71"/>
      <c r="AD229" s="71" t="s">
        <v>321</v>
      </c>
      <c r="AE229" s="30">
        <v>0</v>
      </c>
      <c r="AF229" s="30">
        <v>0</v>
      </c>
      <c r="AG229" s="31">
        <v>0</v>
      </c>
      <c r="AH229" s="154"/>
      <c r="AI229" s="32" t="s">
        <v>3650</v>
      </c>
      <c r="AJ229" s="44">
        <v>2024</v>
      </c>
      <c r="AL229" s="2"/>
    </row>
    <row r="230" spans="1:38" ht="29" x14ac:dyDescent="0.35">
      <c r="A230" s="43" t="s">
        <v>306</v>
      </c>
      <c r="B230" s="2" t="s">
        <v>333</v>
      </c>
      <c r="C230" s="26" t="s">
        <v>63</v>
      </c>
      <c r="D230" s="27">
        <v>6471</v>
      </c>
      <c r="E230" s="2" t="s">
        <v>300</v>
      </c>
      <c r="F230" s="66" t="s">
        <v>3651</v>
      </c>
      <c r="G230" s="65">
        <v>45468</v>
      </c>
      <c r="H230" s="26" t="s">
        <v>150</v>
      </c>
      <c r="I230" s="67" t="s">
        <v>3473</v>
      </c>
      <c r="J230" s="47" t="s">
        <v>89</v>
      </c>
      <c r="K230" s="68" t="s">
        <v>84</v>
      </c>
      <c r="L230" s="26" t="s">
        <v>1593</v>
      </c>
      <c r="M230" s="2" t="s">
        <v>403</v>
      </c>
      <c r="N230" s="36">
        <v>178500000</v>
      </c>
      <c r="O230" s="143">
        <v>0</v>
      </c>
      <c r="P230" s="3">
        <v>178500000</v>
      </c>
      <c r="Q230" s="70" t="s">
        <v>302</v>
      </c>
      <c r="R230" s="3"/>
      <c r="S230" s="28">
        <f>+Tabla15133[[#This Row],[VALOR TOTAL DEL CONTRATO
(en pesos)
CON IVA
(inicial)]]+Tabla15133[[#This Row],[VALOR DE LAS ADICIONES
(en pesos)
CON IVA]]</f>
        <v>178500000</v>
      </c>
      <c r="T230" s="37">
        <v>364</v>
      </c>
      <c r="U230" s="70" t="s">
        <v>302</v>
      </c>
      <c r="V230" s="101"/>
      <c r="W230" s="70" t="s">
        <v>302</v>
      </c>
      <c r="X230" s="70"/>
      <c r="Y230" s="65">
        <v>45468</v>
      </c>
      <c r="Z230" s="65">
        <v>45832</v>
      </c>
      <c r="AA230" s="144">
        <v>45832</v>
      </c>
      <c r="AB230" s="64" t="s">
        <v>325</v>
      </c>
      <c r="AC230" s="71"/>
      <c r="AD230" s="71" t="s">
        <v>321</v>
      </c>
      <c r="AE230" s="30">
        <v>0.66</v>
      </c>
      <c r="AF230" s="30">
        <v>0.5</v>
      </c>
      <c r="AG230" s="31">
        <v>65334112</v>
      </c>
      <c r="AH230" s="154"/>
      <c r="AI230" s="32" t="s">
        <v>3652</v>
      </c>
      <c r="AJ230" s="44">
        <v>2024</v>
      </c>
      <c r="AL230" s="2"/>
    </row>
    <row r="231" spans="1:38" ht="29" x14ac:dyDescent="0.35">
      <c r="A231" s="43" t="s">
        <v>306</v>
      </c>
      <c r="B231" s="2" t="s">
        <v>333</v>
      </c>
      <c r="C231" s="26" t="s">
        <v>63</v>
      </c>
      <c r="D231" s="27">
        <v>6475</v>
      </c>
      <c r="E231" s="2" t="s">
        <v>300</v>
      </c>
      <c r="F231" s="66" t="s">
        <v>3653</v>
      </c>
      <c r="G231" s="65">
        <v>45470</v>
      </c>
      <c r="H231" s="26" t="s">
        <v>150</v>
      </c>
      <c r="I231" s="67" t="s">
        <v>3473</v>
      </c>
      <c r="J231" s="47" t="s">
        <v>89</v>
      </c>
      <c r="K231" s="68" t="s">
        <v>84</v>
      </c>
      <c r="L231" s="26" t="s">
        <v>1597</v>
      </c>
      <c r="M231" s="2" t="s">
        <v>404</v>
      </c>
      <c r="N231" s="36">
        <v>476000000</v>
      </c>
      <c r="O231" s="143">
        <v>0</v>
      </c>
      <c r="P231" s="3">
        <v>476000000</v>
      </c>
      <c r="Q231" s="70" t="s">
        <v>302</v>
      </c>
      <c r="R231" s="3"/>
      <c r="S231" s="28">
        <f>+Tabla15133[[#This Row],[VALOR TOTAL DEL CONTRATO
(en pesos)
CON IVA
(inicial)]]+Tabla15133[[#This Row],[VALOR DE LAS ADICIONES
(en pesos)
CON IVA]]</f>
        <v>476000000</v>
      </c>
      <c r="T231" s="37">
        <v>365</v>
      </c>
      <c r="U231" s="70" t="s">
        <v>302</v>
      </c>
      <c r="V231" s="101"/>
      <c r="W231" s="70" t="s">
        <v>302</v>
      </c>
      <c r="X231" s="70"/>
      <c r="Y231" s="65">
        <v>45470</v>
      </c>
      <c r="Z231" s="65">
        <v>45835</v>
      </c>
      <c r="AA231" s="144">
        <v>45835</v>
      </c>
      <c r="AB231" s="64" t="s">
        <v>325</v>
      </c>
      <c r="AC231" s="71"/>
      <c r="AD231" s="71" t="s">
        <v>321</v>
      </c>
      <c r="AE231" s="30">
        <v>0.16400000000000001</v>
      </c>
      <c r="AF231" s="30">
        <v>0.16400000000000001</v>
      </c>
      <c r="AG231" s="31">
        <v>78063689</v>
      </c>
      <c r="AH231" s="154"/>
      <c r="AI231" s="32" t="s">
        <v>3654</v>
      </c>
      <c r="AJ231" s="44">
        <v>2024</v>
      </c>
      <c r="AL231" s="2"/>
    </row>
    <row r="232" spans="1:38" s="1" customFormat="1" ht="39" x14ac:dyDescent="0.35">
      <c r="A232" s="124" t="s">
        <v>306</v>
      </c>
      <c r="B232" s="1" t="s">
        <v>322</v>
      </c>
      <c r="C232" s="26" t="s">
        <v>66</v>
      </c>
      <c r="D232" s="140" t="s">
        <v>3655</v>
      </c>
      <c r="E232" s="2" t="s">
        <v>300</v>
      </c>
      <c r="F232" s="161" t="s">
        <v>3656</v>
      </c>
      <c r="G232" s="149">
        <v>45470</v>
      </c>
      <c r="H232" s="26" t="s">
        <v>150</v>
      </c>
      <c r="I232" s="67" t="s">
        <v>3657</v>
      </c>
      <c r="J232" s="47" t="s">
        <v>89</v>
      </c>
      <c r="K232" s="68" t="s">
        <v>84</v>
      </c>
      <c r="L232" s="81" t="s">
        <v>3658</v>
      </c>
      <c r="M232" s="2" t="s">
        <v>3659</v>
      </c>
      <c r="N232" s="36">
        <v>2191320000</v>
      </c>
      <c r="O232" s="162">
        <v>0</v>
      </c>
      <c r="P232" s="3">
        <v>2191320000</v>
      </c>
      <c r="Q232" s="128" t="s">
        <v>302</v>
      </c>
      <c r="R232" s="127"/>
      <c r="S232" s="28">
        <f>+Tabla15133[[#This Row],[VALOR TOTAL DEL CONTRATO
(en pesos)
CON IVA
(inicial)]]+Tabla15133[[#This Row],[VALOR DE LAS ADICIONES
(en pesos)
CON IVA]]</f>
        <v>2191320000</v>
      </c>
      <c r="T232" s="150">
        <v>1095</v>
      </c>
      <c r="U232" s="128" t="s">
        <v>302</v>
      </c>
      <c r="V232" s="141"/>
      <c r="W232" s="70" t="s">
        <v>302</v>
      </c>
      <c r="X232" s="70"/>
      <c r="Y232" s="149">
        <v>45474</v>
      </c>
      <c r="Z232" s="149">
        <v>46568</v>
      </c>
      <c r="AA232" s="151">
        <v>46568</v>
      </c>
      <c r="AB232" s="152" t="s">
        <v>303</v>
      </c>
      <c r="AC232" s="126"/>
      <c r="AD232" s="70"/>
      <c r="AE232" s="132">
        <v>0.5</v>
      </c>
      <c r="AF232" s="132">
        <v>0.66</v>
      </c>
      <c r="AG232" s="133">
        <v>1466829000</v>
      </c>
      <c r="AH232" s="154" t="s">
        <v>3660</v>
      </c>
      <c r="AI232" s="119" t="s">
        <v>3661</v>
      </c>
      <c r="AJ232" s="134">
        <v>2024</v>
      </c>
    </row>
    <row r="233" spans="1:38" ht="43.5" x14ac:dyDescent="0.35">
      <c r="A233" s="43" t="s">
        <v>306</v>
      </c>
      <c r="B233" s="2" t="s">
        <v>333</v>
      </c>
      <c r="C233" s="26" t="s">
        <v>63</v>
      </c>
      <c r="D233" s="27">
        <v>6444</v>
      </c>
      <c r="E233" s="2" t="s">
        <v>300</v>
      </c>
      <c r="F233" s="66" t="s">
        <v>3662</v>
      </c>
      <c r="G233" s="65">
        <v>45475</v>
      </c>
      <c r="H233" s="26" t="s">
        <v>150</v>
      </c>
      <c r="I233" s="67" t="s">
        <v>3626</v>
      </c>
      <c r="J233" s="47" t="s">
        <v>89</v>
      </c>
      <c r="K233" s="68" t="s">
        <v>84</v>
      </c>
      <c r="L233" s="26" t="s">
        <v>1623</v>
      </c>
      <c r="M233" s="2" t="s">
        <v>3663</v>
      </c>
      <c r="N233" s="36">
        <v>476000000</v>
      </c>
      <c r="O233" s="143">
        <v>0</v>
      </c>
      <c r="P233" s="3">
        <v>476000000</v>
      </c>
      <c r="Q233" s="70" t="s">
        <v>302</v>
      </c>
      <c r="R233" s="3"/>
      <c r="S233" s="28">
        <f>+Tabla15133[[#This Row],[VALOR TOTAL DEL CONTRATO
(en pesos)
CON IVA
(inicial)]]+Tabla15133[[#This Row],[VALOR DE LAS ADICIONES
(en pesos)
CON IVA]]</f>
        <v>476000000</v>
      </c>
      <c r="T233" s="37">
        <v>365</v>
      </c>
      <c r="U233" s="70" t="s">
        <v>302</v>
      </c>
      <c r="V233" s="101"/>
      <c r="W233" s="70" t="s">
        <v>302</v>
      </c>
      <c r="X233" s="70"/>
      <c r="Y233" s="65">
        <v>45475</v>
      </c>
      <c r="Z233" s="65">
        <v>45840</v>
      </c>
      <c r="AA233" s="144">
        <v>45840</v>
      </c>
      <c r="AB233" s="64" t="s">
        <v>325</v>
      </c>
      <c r="AC233" s="71"/>
      <c r="AD233" s="71" t="s">
        <v>321</v>
      </c>
      <c r="AE233" s="30">
        <v>0.28499999999999998</v>
      </c>
      <c r="AF233" s="30">
        <v>0.28499999999999998</v>
      </c>
      <c r="AG233" s="31">
        <v>133660000</v>
      </c>
      <c r="AH233" s="154"/>
      <c r="AI233" s="32" t="s">
        <v>3664</v>
      </c>
      <c r="AJ233" s="44">
        <v>2024</v>
      </c>
      <c r="AL233" s="2"/>
    </row>
    <row r="234" spans="1:38" ht="43.5" x14ac:dyDescent="0.35">
      <c r="A234" s="43" t="s">
        <v>306</v>
      </c>
      <c r="B234" s="2" t="s">
        <v>11</v>
      </c>
      <c r="C234" s="26" t="s">
        <v>19</v>
      </c>
      <c r="D234" s="27">
        <v>6431</v>
      </c>
      <c r="E234" s="2" t="s">
        <v>324</v>
      </c>
      <c r="F234" s="66" t="s">
        <v>3665</v>
      </c>
      <c r="G234" s="65">
        <v>45477</v>
      </c>
      <c r="H234" s="26" t="s">
        <v>3666</v>
      </c>
      <c r="I234" s="67" t="s">
        <v>3667</v>
      </c>
      <c r="J234" s="47" t="s">
        <v>89</v>
      </c>
      <c r="K234" s="68" t="s">
        <v>84</v>
      </c>
      <c r="L234" s="26" t="s">
        <v>3668</v>
      </c>
      <c r="M234" s="2" t="s">
        <v>3669</v>
      </c>
      <c r="N234" s="28">
        <v>6416157432</v>
      </c>
      <c r="O234" s="28">
        <v>110824528</v>
      </c>
      <c r="P234" s="3">
        <v>6526981960</v>
      </c>
      <c r="Q234" s="70" t="s">
        <v>302</v>
      </c>
      <c r="R234" s="3"/>
      <c r="S234" s="28">
        <f>+Tabla15133[[#This Row],[VALOR TOTAL DEL CONTRATO
(en pesos)
CON IVA
(inicial)]]+Tabla15133[[#This Row],[VALOR DE LAS ADICIONES
(en pesos)
CON IVA]]</f>
        <v>6526981960</v>
      </c>
      <c r="T234" s="37">
        <v>1094</v>
      </c>
      <c r="U234" s="70" t="s">
        <v>302</v>
      </c>
      <c r="V234" s="101"/>
      <c r="W234" s="70" t="s">
        <v>302</v>
      </c>
      <c r="X234" s="70"/>
      <c r="Y234" s="65">
        <v>45478</v>
      </c>
      <c r="Z234" s="65">
        <v>46572</v>
      </c>
      <c r="AA234" s="144">
        <v>46572</v>
      </c>
      <c r="AB234" s="64" t="s">
        <v>303</v>
      </c>
      <c r="AC234" s="71"/>
      <c r="AD234" s="70"/>
      <c r="AE234" s="30">
        <v>0.4667</v>
      </c>
      <c r="AF234" s="30">
        <v>0.49730000000000002</v>
      </c>
      <c r="AG234" s="31">
        <v>3046111955.2800002</v>
      </c>
      <c r="AH234" s="154"/>
      <c r="AI234" s="32" t="s">
        <v>3670</v>
      </c>
      <c r="AJ234" s="44">
        <v>2024</v>
      </c>
      <c r="AL234" s="2"/>
    </row>
    <row r="235" spans="1:38" ht="29" x14ac:dyDescent="0.35">
      <c r="A235" s="43" t="s">
        <v>306</v>
      </c>
      <c r="B235" s="2" t="s">
        <v>333</v>
      </c>
      <c r="C235" s="26" t="s">
        <v>63</v>
      </c>
      <c r="D235" s="27">
        <v>6446</v>
      </c>
      <c r="E235" s="2" t="s">
        <v>300</v>
      </c>
      <c r="F235" s="66" t="s">
        <v>3671</v>
      </c>
      <c r="G235" s="65">
        <v>45481</v>
      </c>
      <c r="H235" s="26" t="s">
        <v>150</v>
      </c>
      <c r="I235" s="67" t="s">
        <v>3626</v>
      </c>
      <c r="J235" s="47" t="s">
        <v>89</v>
      </c>
      <c r="K235" s="68" t="s">
        <v>84</v>
      </c>
      <c r="L235" s="26" t="s">
        <v>1615</v>
      </c>
      <c r="M235" s="2" t="s">
        <v>3672</v>
      </c>
      <c r="N235" s="36">
        <v>178500000</v>
      </c>
      <c r="O235" s="143">
        <v>0</v>
      </c>
      <c r="P235" s="3">
        <v>178500000</v>
      </c>
      <c r="Q235" s="70" t="s">
        <v>302</v>
      </c>
      <c r="R235" s="3"/>
      <c r="S235" s="28">
        <f>+Tabla15133[[#This Row],[VALOR TOTAL DEL CONTRATO
(en pesos)
CON IVA
(inicial)]]+Tabla15133[[#This Row],[VALOR DE LAS ADICIONES
(en pesos)
CON IVA]]</f>
        <v>178500000</v>
      </c>
      <c r="T235" s="37">
        <v>365</v>
      </c>
      <c r="U235" s="70" t="s">
        <v>302</v>
      </c>
      <c r="V235" s="101"/>
      <c r="W235" s="70" t="s">
        <v>302</v>
      </c>
      <c r="X235" s="70"/>
      <c r="Y235" s="65">
        <v>45481</v>
      </c>
      <c r="Z235" s="65">
        <v>45846</v>
      </c>
      <c r="AA235" s="144">
        <v>45846</v>
      </c>
      <c r="AB235" s="64" t="s">
        <v>325</v>
      </c>
      <c r="AC235" s="71"/>
      <c r="AD235" s="71" t="s">
        <v>321</v>
      </c>
      <c r="AE235" s="30">
        <v>0.60519999999999996</v>
      </c>
      <c r="AF235" s="30">
        <v>0.60519999999999996</v>
      </c>
      <c r="AG235" s="31">
        <v>108020407</v>
      </c>
      <c r="AH235" s="154"/>
      <c r="AI235" s="32" t="s">
        <v>3673</v>
      </c>
      <c r="AJ235" s="44">
        <v>2024</v>
      </c>
      <c r="AL235" s="2"/>
    </row>
    <row r="236" spans="1:38" ht="58" x14ac:dyDescent="0.35">
      <c r="A236" s="43" t="s">
        <v>306</v>
      </c>
      <c r="B236" s="2" t="s">
        <v>333</v>
      </c>
      <c r="C236" s="26" t="s">
        <v>3674</v>
      </c>
      <c r="D236" s="27" t="s">
        <v>3675</v>
      </c>
      <c r="E236" s="2" t="s">
        <v>300</v>
      </c>
      <c r="F236" s="74" t="s">
        <v>3676</v>
      </c>
      <c r="G236" s="65">
        <v>45560</v>
      </c>
      <c r="H236" s="26" t="s">
        <v>150</v>
      </c>
      <c r="I236" s="67" t="s">
        <v>3677</v>
      </c>
      <c r="J236" s="47" t="s">
        <v>89</v>
      </c>
      <c r="K236" s="68" t="s">
        <v>84</v>
      </c>
      <c r="L236" s="26" t="s">
        <v>3678</v>
      </c>
      <c r="M236" s="2" t="s">
        <v>3679</v>
      </c>
      <c r="N236" s="145">
        <v>313470000</v>
      </c>
      <c r="O236" s="143">
        <v>58609300</v>
      </c>
      <c r="P236" s="3">
        <v>372079300</v>
      </c>
      <c r="Q236" s="70" t="s">
        <v>301</v>
      </c>
      <c r="R236" s="3">
        <v>196687200</v>
      </c>
      <c r="S236" s="28">
        <f>+Tabla15133[[#This Row],[VALOR TOTAL DEL CONTRATO
(en pesos)
CON IVA
(inicial)]]+Tabla15133[[#This Row],[VALOR DE LAS ADICIONES
(en pesos)
CON IVA]]</f>
        <v>568766500</v>
      </c>
      <c r="T236" s="37">
        <v>172</v>
      </c>
      <c r="U236" s="70" t="s">
        <v>301</v>
      </c>
      <c r="V236" s="101">
        <f>+Tabla15133[[#This Row],[FECHA TERMINACIÓN DEL CONTRATO
(inicial + prórroga)]]-Tabla15133[[#This Row],[FECHA TERMINACIÓN DEL CONTRATO
(inicial)]]</f>
        <v>730</v>
      </c>
      <c r="W236" s="117" t="s">
        <v>302</v>
      </c>
      <c r="X236" s="117"/>
      <c r="Y236" s="65">
        <v>45597</v>
      </c>
      <c r="Z236" s="65">
        <v>45657</v>
      </c>
      <c r="AA236" s="144">
        <v>46387</v>
      </c>
      <c r="AB236" s="64" t="s">
        <v>303</v>
      </c>
      <c r="AC236" s="71"/>
      <c r="AD236" s="70"/>
      <c r="AE236" s="30">
        <v>1</v>
      </c>
      <c r="AF236" s="30">
        <v>2.64E-2</v>
      </c>
      <c r="AG236" s="31">
        <v>9365300</v>
      </c>
      <c r="AH236" s="154" t="s">
        <v>3680</v>
      </c>
      <c r="AI236" s="32" t="s">
        <v>3681</v>
      </c>
      <c r="AJ236" s="44">
        <v>2024</v>
      </c>
      <c r="AL236" s="2"/>
    </row>
    <row r="237" spans="1:38" ht="58" x14ac:dyDescent="0.35">
      <c r="A237" s="43" t="s">
        <v>306</v>
      </c>
      <c r="B237" s="2" t="s">
        <v>329</v>
      </c>
      <c r="C237" s="26" t="s">
        <v>51</v>
      </c>
      <c r="D237" s="27">
        <v>6498</v>
      </c>
      <c r="E237" s="2" t="s">
        <v>300</v>
      </c>
      <c r="F237" s="66" t="s">
        <v>3682</v>
      </c>
      <c r="G237" s="65">
        <v>45492</v>
      </c>
      <c r="H237" s="26" t="s">
        <v>150</v>
      </c>
      <c r="I237" s="67" t="s">
        <v>3683</v>
      </c>
      <c r="J237" s="47" t="s">
        <v>89</v>
      </c>
      <c r="K237" s="68" t="s">
        <v>84</v>
      </c>
      <c r="L237" s="26" t="s">
        <v>2727</v>
      </c>
      <c r="M237" s="2" t="s">
        <v>3684</v>
      </c>
      <c r="N237" s="145">
        <v>54621847.89915967</v>
      </c>
      <c r="O237" s="143">
        <v>10378151.100840338</v>
      </c>
      <c r="P237" s="29">
        <v>64999999.000000007</v>
      </c>
      <c r="Q237" s="70" t="s">
        <v>302</v>
      </c>
      <c r="R237" s="3"/>
      <c r="S237" s="28">
        <f>+Tabla15133[[#This Row],[VALOR TOTAL DEL CONTRATO
(en pesos)
CON IVA
(inicial)]]+Tabla15133[[#This Row],[VALOR DE LAS ADICIONES
(en pesos)
CON IVA]]</f>
        <v>64999999.000000007</v>
      </c>
      <c r="T237" s="37">
        <v>32</v>
      </c>
      <c r="U237" s="70" t="s">
        <v>302</v>
      </c>
      <c r="V237" s="101"/>
      <c r="W237" s="70" t="s">
        <v>302</v>
      </c>
      <c r="X237" s="70"/>
      <c r="Y237" s="65">
        <v>45492</v>
      </c>
      <c r="Z237" s="65">
        <v>45524</v>
      </c>
      <c r="AA237" s="144">
        <v>45524</v>
      </c>
      <c r="AB237" s="64" t="s">
        <v>323</v>
      </c>
      <c r="AC237" s="71">
        <v>45712</v>
      </c>
      <c r="AD237" s="71" t="s">
        <v>321</v>
      </c>
      <c r="AE237" s="30">
        <v>1</v>
      </c>
      <c r="AF237" s="30">
        <v>0.99990000000000001</v>
      </c>
      <c r="AG237" s="31">
        <v>64991778.600000001</v>
      </c>
      <c r="AH237" s="154"/>
      <c r="AI237" s="32" t="s">
        <v>3685</v>
      </c>
      <c r="AJ237" s="44">
        <v>2024</v>
      </c>
      <c r="AL237" s="2"/>
    </row>
    <row r="238" spans="1:38" ht="43.5" x14ac:dyDescent="0.35">
      <c r="A238" s="43" t="s">
        <v>306</v>
      </c>
      <c r="B238" s="2" t="s">
        <v>31</v>
      </c>
      <c r="C238" s="26" t="s">
        <v>36</v>
      </c>
      <c r="D238" s="27">
        <v>6430</v>
      </c>
      <c r="E238" s="2" t="s">
        <v>312</v>
      </c>
      <c r="F238" s="74" t="s">
        <v>3686</v>
      </c>
      <c r="G238" s="65">
        <v>45505</v>
      </c>
      <c r="H238" s="26" t="s">
        <v>150</v>
      </c>
      <c r="I238" s="67" t="s">
        <v>3687</v>
      </c>
      <c r="J238" s="47" t="s">
        <v>89</v>
      </c>
      <c r="K238" s="68" t="s">
        <v>84</v>
      </c>
      <c r="L238" s="26" t="s">
        <v>3236</v>
      </c>
      <c r="M238" s="2" t="s">
        <v>3688</v>
      </c>
      <c r="N238" s="28">
        <v>276180000</v>
      </c>
      <c r="O238" s="28">
        <v>52474200</v>
      </c>
      <c r="P238" s="36">
        <v>328654200</v>
      </c>
      <c r="Q238" s="70" t="s">
        <v>302</v>
      </c>
      <c r="R238" s="3"/>
      <c r="S238" s="28">
        <f>+Tabla15133[[#This Row],[VALOR TOTAL DEL CONTRATO
(en pesos)
CON IVA
(inicial)]]+Tabla15133[[#This Row],[VALOR DE LAS ADICIONES
(en pesos)
CON IVA]]</f>
        <v>328654200</v>
      </c>
      <c r="T238" s="37">
        <v>730</v>
      </c>
      <c r="U238" s="70" t="s">
        <v>302</v>
      </c>
      <c r="V238" s="101"/>
      <c r="W238" s="70" t="s">
        <v>302</v>
      </c>
      <c r="X238" s="70"/>
      <c r="Y238" s="65">
        <v>45506</v>
      </c>
      <c r="Z238" s="65">
        <v>46236</v>
      </c>
      <c r="AA238" s="144">
        <v>46236</v>
      </c>
      <c r="AB238" s="64" t="s">
        <v>303</v>
      </c>
      <c r="AC238" s="71"/>
      <c r="AD238" s="70"/>
      <c r="AE238" s="30">
        <v>0.66669999999999996</v>
      </c>
      <c r="AF238" s="30">
        <v>0.66669999999999996</v>
      </c>
      <c r="AG238" s="31">
        <v>219102800</v>
      </c>
      <c r="AH238" s="154"/>
      <c r="AI238" s="32" t="s">
        <v>3689</v>
      </c>
      <c r="AJ238" s="44">
        <v>2024</v>
      </c>
      <c r="AL238" s="2"/>
    </row>
    <row r="239" spans="1:38" ht="29" x14ac:dyDescent="0.35">
      <c r="A239" s="43" t="s">
        <v>306</v>
      </c>
      <c r="B239" s="2" t="s">
        <v>327</v>
      </c>
      <c r="C239" s="26" t="s">
        <v>45</v>
      </c>
      <c r="D239" s="27">
        <v>6480</v>
      </c>
      <c r="E239" s="2" t="s">
        <v>365</v>
      </c>
      <c r="F239" s="66" t="s">
        <v>3690</v>
      </c>
      <c r="G239" s="65">
        <v>45498</v>
      </c>
      <c r="H239" s="26" t="s">
        <v>150</v>
      </c>
      <c r="I239" s="67" t="s">
        <v>3691</v>
      </c>
      <c r="J239" s="47" t="s">
        <v>83</v>
      </c>
      <c r="K239" s="68" t="s">
        <v>96</v>
      </c>
      <c r="L239" s="26" t="s">
        <v>1572</v>
      </c>
      <c r="M239" s="2" t="s">
        <v>351</v>
      </c>
      <c r="N239" s="158">
        <v>1480000</v>
      </c>
      <c r="O239" s="157">
        <v>281200</v>
      </c>
      <c r="P239" s="29">
        <v>1761200</v>
      </c>
      <c r="Q239" s="70" t="s">
        <v>302</v>
      </c>
      <c r="R239" s="3"/>
      <c r="S239" s="28">
        <f>+Tabla15133[[#This Row],[VALOR TOTAL DEL CONTRATO
(en pesos)
CON IVA
(inicial)]]+Tabla15133[[#This Row],[VALOR DE LAS ADICIONES
(en pesos)
CON IVA]]</f>
        <v>1761200</v>
      </c>
      <c r="T239" s="37">
        <v>310</v>
      </c>
      <c r="U239" s="70" t="s">
        <v>302</v>
      </c>
      <c r="V239" s="101"/>
      <c r="W239" s="70" t="s">
        <v>302</v>
      </c>
      <c r="X239" s="70"/>
      <c r="Y239" s="65">
        <v>45498</v>
      </c>
      <c r="Z239" s="65">
        <v>45808</v>
      </c>
      <c r="AA239" s="144">
        <v>45808</v>
      </c>
      <c r="AB239" s="64" t="s">
        <v>320</v>
      </c>
      <c r="AC239" s="71"/>
      <c r="AD239" s="70" t="s">
        <v>321</v>
      </c>
      <c r="AE239" s="30">
        <v>0.42</v>
      </c>
      <c r="AF239" s="30">
        <v>0.96</v>
      </c>
      <c r="AG239" s="31">
        <v>1697376</v>
      </c>
      <c r="AH239" s="154"/>
      <c r="AI239" s="32" t="s">
        <v>3692</v>
      </c>
      <c r="AJ239" s="44">
        <v>2024</v>
      </c>
      <c r="AL239" s="2"/>
    </row>
    <row r="240" spans="1:38" ht="29" x14ac:dyDescent="0.35">
      <c r="A240" s="43" t="s">
        <v>306</v>
      </c>
      <c r="B240" s="2" t="s">
        <v>333</v>
      </c>
      <c r="C240" s="26" t="s">
        <v>63</v>
      </c>
      <c r="D240" s="27">
        <v>6512</v>
      </c>
      <c r="E240" s="2" t="s">
        <v>300</v>
      </c>
      <c r="F240" s="66" t="s">
        <v>3693</v>
      </c>
      <c r="G240" s="65">
        <v>45499</v>
      </c>
      <c r="H240" s="26" t="s">
        <v>150</v>
      </c>
      <c r="I240" s="67" t="s">
        <v>3694</v>
      </c>
      <c r="J240" s="47" t="s">
        <v>89</v>
      </c>
      <c r="K240" s="68" t="s">
        <v>84</v>
      </c>
      <c r="L240" s="26" t="s">
        <v>1610</v>
      </c>
      <c r="M240" s="2" t="s">
        <v>3695</v>
      </c>
      <c r="N240" s="36">
        <v>221894064</v>
      </c>
      <c r="O240" s="143">
        <v>0</v>
      </c>
      <c r="P240" s="36">
        <v>221894064</v>
      </c>
      <c r="Q240" s="70" t="s">
        <v>302</v>
      </c>
      <c r="R240" s="3"/>
      <c r="S240" s="28">
        <f>+Tabla15133[[#This Row],[VALOR TOTAL DEL CONTRATO
(en pesos)
CON IVA
(inicial)]]+Tabla15133[[#This Row],[VALOR DE LAS ADICIONES
(en pesos)
CON IVA]]</f>
        <v>221894064</v>
      </c>
      <c r="T240" s="37">
        <v>364</v>
      </c>
      <c r="U240" s="70" t="s">
        <v>302</v>
      </c>
      <c r="V240" s="101"/>
      <c r="W240" s="70" t="s">
        <v>302</v>
      </c>
      <c r="X240" s="70"/>
      <c r="Y240" s="65">
        <v>45499</v>
      </c>
      <c r="Z240" s="65">
        <v>45863</v>
      </c>
      <c r="AA240" s="144">
        <v>45863</v>
      </c>
      <c r="AB240" s="64" t="s">
        <v>325</v>
      </c>
      <c r="AC240" s="71"/>
      <c r="AD240" s="71" t="s">
        <v>321</v>
      </c>
      <c r="AE240" s="30">
        <v>0.24909999999999999</v>
      </c>
      <c r="AF240" s="30">
        <v>0.24909999999999999</v>
      </c>
      <c r="AG240" s="31">
        <v>55268360</v>
      </c>
      <c r="AH240" s="154"/>
      <c r="AI240" s="32" t="s">
        <v>3696</v>
      </c>
      <c r="AJ240" s="44">
        <v>2024</v>
      </c>
      <c r="AL240" s="2"/>
    </row>
    <row r="241" spans="1:38" ht="29" x14ac:dyDescent="0.35">
      <c r="A241" s="43" t="s">
        <v>306</v>
      </c>
      <c r="B241" s="2" t="s">
        <v>11</v>
      </c>
      <c r="C241" s="26" t="s">
        <v>335</v>
      </c>
      <c r="D241" s="27">
        <v>6492</v>
      </c>
      <c r="E241" s="2" t="s">
        <v>300</v>
      </c>
      <c r="F241" s="66" t="s">
        <v>3697</v>
      </c>
      <c r="G241" s="65">
        <v>45502</v>
      </c>
      <c r="H241" s="26" t="s">
        <v>150</v>
      </c>
      <c r="I241" s="67" t="s">
        <v>3698</v>
      </c>
      <c r="J241" s="47" t="s">
        <v>89</v>
      </c>
      <c r="K241" s="68" t="s">
        <v>84</v>
      </c>
      <c r="L241" s="26" t="s">
        <v>3699</v>
      </c>
      <c r="M241" s="2" t="s">
        <v>3700</v>
      </c>
      <c r="N241" s="28">
        <v>800000000</v>
      </c>
      <c r="O241" s="28">
        <v>152000000</v>
      </c>
      <c r="P241" s="36">
        <v>952000000</v>
      </c>
      <c r="Q241" s="70" t="s">
        <v>302</v>
      </c>
      <c r="R241" s="3"/>
      <c r="S241" s="28">
        <f>+Tabla15133[[#This Row],[VALOR TOTAL DEL CONTRATO
(en pesos)
CON IVA
(inicial)]]+Tabla15133[[#This Row],[VALOR DE LAS ADICIONES
(en pesos)
CON IVA]]</f>
        <v>952000000</v>
      </c>
      <c r="T241" s="37">
        <v>729</v>
      </c>
      <c r="U241" s="70" t="s">
        <v>302</v>
      </c>
      <c r="V241" s="101"/>
      <c r="W241" s="70" t="s">
        <v>302</v>
      </c>
      <c r="X241" s="70"/>
      <c r="Y241" s="65">
        <v>45509</v>
      </c>
      <c r="Z241" s="65">
        <v>46238</v>
      </c>
      <c r="AA241" s="144">
        <v>46238</v>
      </c>
      <c r="AB241" s="64" t="s">
        <v>303</v>
      </c>
      <c r="AC241" s="71"/>
      <c r="AD241" s="70"/>
      <c r="AE241" s="30">
        <v>0.20300000000000001</v>
      </c>
      <c r="AF241" s="30">
        <v>0.20830000000000001</v>
      </c>
      <c r="AG241" s="31">
        <v>198333330</v>
      </c>
      <c r="AH241" s="154"/>
      <c r="AI241" s="32" t="s">
        <v>3701</v>
      </c>
      <c r="AJ241" s="44">
        <v>2024</v>
      </c>
      <c r="AL241" s="2"/>
    </row>
    <row r="242" spans="1:38" ht="29" x14ac:dyDescent="0.35">
      <c r="A242" s="43" t="s">
        <v>306</v>
      </c>
      <c r="B242" s="2" t="s">
        <v>31</v>
      </c>
      <c r="C242" s="26" t="s">
        <v>34</v>
      </c>
      <c r="D242" s="27" t="s">
        <v>3702</v>
      </c>
      <c r="E242" s="2" t="s">
        <v>312</v>
      </c>
      <c r="F242" s="74" t="s">
        <v>3703</v>
      </c>
      <c r="G242" s="65">
        <v>45505</v>
      </c>
      <c r="H242" s="26" t="s">
        <v>119</v>
      </c>
      <c r="I242" s="67" t="s">
        <v>3704</v>
      </c>
      <c r="J242" s="47" t="s">
        <v>89</v>
      </c>
      <c r="K242" s="68" t="s">
        <v>84</v>
      </c>
      <c r="L242" s="26" t="s">
        <v>3705</v>
      </c>
      <c r="M242" s="2" t="s">
        <v>3706</v>
      </c>
      <c r="N242" s="143">
        <v>185800000</v>
      </c>
      <c r="O242" s="143">
        <v>35302000</v>
      </c>
      <c r="P242" s="36">
        <v>221102000</v>
      </c>
      <c r="Q242" s="70" t="s">
        <v>302</v>
      </c>
      <c r="R242" s="3"/>
      <c r="S242" s="28">
        <f>+Tabla15133[[#This Row],[VALOR TOTAL DEL CONTRATO
(en pesos)
CON IVA
(inicial)]]+Tabla15133[[#This Row],[VALOR DE LAS ADICIONES
(en pesos)
CON IVA]]</f>
        <v>221102000</v>
      </c>
      <c r="T242" s="37">
        <v>153</v>
      </c>
      <c r="U242" s="70" t="s">
        <v>301</v>
      </c>
      <c r="V242" s="101">
        <v>89</v>
      </c>
      <c r="W242" s="117" t="s">
        <v>302</v>
      </c>
      <c r="X242" s="117"/>
      <c r="Y242" s="65">
        <v>45505</v>
      </c>
      <c r="Z242" s="65">
        <v>45658</v>
      </c>
      <c r="AA242" s="144">
        <v>45747</v>
      </c>
      <c r="AB242" s="64" t="s">
        <v>323</v>
      </c>
      <c r="AC242" s="71">
        <v>45856</v>
      </c>
      <c r="AD242" s="71" t="s">
        <v>321</v>
      </c>
      <c r="AE242" s="30">
        <v>1</v>
      </c>
      <c r="AF242" s="30">
        <v>1</v>
      </c>
      <c r="AG242" s="31">
        <v>221102000</v>
      </c>
      <c r="AH242" s="154" t="s">
        <v>3707</v>
      </c>
      <c r="AI242" s="32" t="s">
        <v>3708</v>
      </c>
      <c r="AJ242" s="44">
        <v>2024</v>
      </c>
      <c r="AL242" s="2"/>
    </row>
    <row r="243" spans="1:38" ht="43.5" x14ac:dyDescent="0.35">
      <c r="A243" s="43" t="s">
        <v>306</v>
      </c>
      <c r="B243" s="2" t="s">
        <v>11</v>
      </c>
      <c r="C243" s="26" t="s">
        <v>20</v>
      </c>
      <c r="D243" s="27">
        <v>6517</v>
      </c>
      <c r="E243" s="2" t="s">
        <v>300</v>
      </c>
      <c r="F243" s="66" t="s">
        <v>3709</v>
      </c>
      <c r="G243" s="65">
        <v>45513</v>
      </c>
      <c r="H243" s="26" t="s">
        <v>150</v>
      </c>
      <c r="I243" s="67" t="s">
        <v>3710</v>
      </c>
      <c r="J243" s="47" t="s">
        <v>89</v>
      </c>
      <c r="K243" s="68" t="s">
        <v>84</v>
      </c>
      <c r="L243" s="26" t="s">
        <v>3711</v>
      </c>
      <c r="M243" s="2" t="s">
        <v>3712</v>
      </c>
      <c r="N243" s="28">
        <v>48827847</v>
      </c>
      <c r="O243" s="143">
        <v>0</v>
      </c>
      <c r="P243" s="36">
        <v>48827847</v>
      </c>
      <c r="Q243" s="70" t="s">
        <v>302</v>
      </c>
      <c r="R243" s="3"/>
      <c r="S243" s="28">
        <f>+Tabla15133[[#This Row],[VALOR TOTAL DEL CONTRATO
(en pesos)
CON IVA
(inicial)]]+Tabla15133[[#This Row],[VALOR DE LAS ADICIONES
(en pesos)
CON IVA]]</f>
        <v>48827847</v>
      </c>
      <c r="T243" s="37">
        <v>261</v>
      </c>
      <c r="U243" s="70" t="s">
        <v>302</v>
      </c>
      <c r="V243" s="101"/>
      <c r="W243" s="70" t="s">
        <v>302</v>
      </c>
      <c r="X243" s="70"/>
      <c r="Y243" s="65">
        <v>45516</v>
      </c>
      <c r="Z243" s="65">
        <v>45777</v>
      </c>
      <c r="AA243" s="144">
        <v>45777</v>
      </c>
      <c r="AB243" s="64" t="s">
        <v>323</v>
      </c>
      <c r="AC243" s="71">
        <v>45838</v>
      </c>
      <c r="AD243" s="71" t="s">
        <v>321</v>
      </c>
      <c r="AE243" s="30">
        <v>1</v>
      </c>
      <c r="AF243" s="30">
        <v>0.92</v>
      </c>
      <c r="AG243" s="31">
        <v>44687847</v>
      </c>
      <c r="AH243" s="154"/>
      <c r="AI243" s="32" t="s">
        <v>3713</v>
      </c>
      <c r="AJ243" s="44">
        <v>2024</v>
      </c>
      <c r="AL243" s="2"/>
    </row>
    <row r="244" spans="1:38" ht="29" x14ac:dyDescent="0.35">
      <c r="A244" s="43" t="s">
        <v>306</v>
      </c>
      <c r="B244" s="2" t="s">
        <v>11</v>
      </c>
      <c r="C244" s="26" t="s">
        <v>19</v>
      </c>
      <c r="D244" s="27">
        <v>6506</v>
      </c>
      <c r="E244" s="2" t="s">
        <v>300</v>
      </c>
      <c r="F244" s="66" t="s">
        <v>3714</v>
      </c>
      <c r="G244" s="65">
        <v>45516</v>
      </c>
      <c r="H244" s="26" t="s">
        <v>113</v>
      </c>
      <c r="I244" s="67" t="s">
        <v>3715</v>
      </c>
      <c r="J244" s="47" t="s">
        <v>83</v>
      </c>
      <c r="K244" s="68" t="s">
        <v>96</v>
      </c>
      <c r="L244" s="26" t="s">
        <v>3716</v>
      </c>
      <c r="M244" s="2" t="s">
        <v>3717</v>
      </c>
      <c r="N244" s="145">
        <v>54621849</v>
      </c>
      <c r="O244" s="143">
        <v>10378151</v>
      </c>
      <c r="P244" s="29">
        <v>65000000</v>
      </c>
      <c r="Q244" s="70" t="s">
        <v>302</v>
      </c>
      <c r="R244" s="3"/>
      <c r="S244" s="28">
        <f>+Tabla15133[[#This Row],[VALOR TOTAL DEL CONTRATO
(en pesos)
CON IVA
(inicial)]]+Tabla15133[[#This Row],[VALOR DE LAS ADICIONES
(en pesos)
CON IVA]]</f>
        <v>65000000</v>
      </c>
      <c r="T244" s="37">
        <v>152</v>
      </c>
      <c r="U244" s="70" t="s">
        <v>302</v>
      </c>
      <c r="V244" s="101"/>
      <c r="W244" s="70" t="s">
        <v>302</v>
      </c>
      <c r="X244" s="70"/>
      <c r="Y244" s="65">
        <v>45517</v>
      </c>
      <c r="Z244" s="65">
        <v>45669</v>
      </c>
      <c r="AA244" s="144">
        <v>45669</v>
      </c>
      <c r="AB244" s="64" t="s">
        <v>323</v>
      </c>
      <c r="AC244" s="71">
        <v>45744</v>
      </c>
      <c r="AD244" s="71" t="s">
        <v>321</v>
      </c>
      <c r="AE244" s="30">
        <v>1</v>
      </c>
      <c r="AF244" s="30">
        <v>1</v>
      </c>
      <c r="AG244" s="31">
        <v>64999970</v>
      </c>
      <c r="AH244" s="154"/>
      <c r="AI244" s="32" t="s">
        <v>3718</v>
      </c>
      <c r="AJ244" s="44">
        <v>2024</v>
      </c>
      <c r="AL244" s="2"/>
    </row>
    <row r="245" spans="1:38" ht="65" x14ac:dyDescent="0.35">
      <c r="A245" s="43" t="s">
        <v>306</v>
      </c>
      <c r="B245" s="2" t="s">
        <v>298</v>
      </c>
      <c r="C245" s="26" t="s">
        <v>416</v>
      </c>
      <c r="D245" s="27" t="s">
        <v>3719</v>
      </c>
      <c r="E245" s="2" t="s">
        <v>324</v>
      </c>
      <c r="F245" s="66" t="s">
        <v>3720</v>
      </c>
      <c r="G245" s="65">
        <v>45519</v>
      </c>
      <c r="H245" s="26" t="s">
        <v>150</v>
      </c>
      <c r="I245" s="67" t="s">
        <v>3721</v>
      </c>
      <c r="J245" s="47" t="s">
        <v>89</v>
      </c>
      <c r="K245" s="68" t="s">
        <v>84</v>
      </c>
      <c r="L245" s="26" t="s">
        <v>3722</v>
      </c>
      <c r="M245" s="2" t="s">
        <v>3723</v>
      </c>
      <c r="N245" s="145">
        <v>2699020800</v>
      </c>
      <c r="O245" s="143">
        <v>0</v>
      </c>
      <c r="P245" s="29">
        <v>2699020800</v>
      </c>
      <c r="Q245" s="70" t="s">
        <v>302</v>
      </c>
      <c r="R245" s="3"/>
      <c r="S245" s="28">
        <f>+Tabla15133[[#This Row],[VALOR TOTAL DEL CONTRATO
(en pesos)
CON IVA
(inicial)]]+Tabla15133[[#This Row],[VALOR DE LAS ADICIONES
(en pesos)
CON IVA]]</f>
        <v>2699020800</v>
      </c>
      <c r="T245" s="37">
        <v>550</v>
      </c>
      <c r="U245" s="70" t="s">
        <v>302</v>
      </c>
      <c r="V245" s="101"/>
      <c r="W245" s="70" t="s">
        <v>302</v>
      </c>
      <c r="X245" s="70"/>
      <c r="Y245" s="65">
        <v>45520</v>
      </c>
      <c r="Z245" s="65">
        <v>46249</v>
      </c>
      <c r="AA245" s="65">
        <v>46249</v>
      </c>
      <c r="AB245" s="64" t="s">
        <v>303</v>
      </c>
      <c r="AC245" s="71"/>
      <c r="AD245" s="70"/>
      <c r="AE245" s="61">
        <v>0.66600000000000004</v>
      </c>
      <c r="AF245" s="61">
        <v>0.94710000000000005</v>
      </c>
      <c r="AG245" s="163">
        <v>2556283723.8699999</v>
      </c>
      <c r="AH245" s="154" t="s">
        <v>3724</v>
      </c>
      <c r="AI245" s="32" t="s">
        <v>3725</v>
      </c>
      <c r="AJ245" s="44">
        <v>2024</v>
      </c>
      <c r="AL245" s="2"/>
    </row>
    <row r="246" spans="1:38" ht="58" x14ac:dyDescent="0.35">
      <c r="A246" s="43" t="s">
        <v>306</v>
      </c>
      <c r="B246" s="2" t="s">
        <v>329</v>
      </c>
      <c r="C246" s="26" t="s">
        <v>51</v>
      </c>
      <c r="D246" s="27">
        <v>6497</v>
      </c>
      <c r="E246" s="2" t="s">
        <v>324</v>
      </c>
      <c r="F246" s="66" t="s">
        <v>3726</v>
      </c>
      <c r="G246" s="65">
        <v>45524</v>
      </c>
      <c r="H246" s="26" t="s">
        <v>150</v>
      </c>
      <c r="I246" s="67" t="s">
        <v>3727</v>
      </c>
      <c r="J246" s="47" t="s">
        <v>89</v>
      </c>
      <c r="K246" s="68" t="s">
        <v>84</v>
      </c>
      <c r="L246" s="26" t="s">
        <v>2727</v>
      </c>
      <c r="M246" s="2" t="s">
        <v>3684</v>
      </c>
      <c r="N246" s="145">
        <v>5530538732.7731094</v>
      </c>
      <c r="O246" s="143">
        <v>1050802359.2268908</v>
      </c>
      <c r="P246" s="29">
        <v>6581341092</v>
      </c>
      <c r="Q246" s="70" t="s">
        <v>302</v>
      </c>
      <c r="R246" s="3"/>
      <c r="S246" s="28">
        <f>+Tabla15133[[#This Row],[VALOR TOTAL DEL CONTRATO
(en pesos)
CON IVA
(inicial)]]+Tabla15133[[#This Row],[VALOR DE LAS ADICIONES
(en pesos)
CON IVA]]</f>
        <v>6581341092</v>
      </c>
      <c r="T246" s="37">
        <v>1095</v>
      </c>
      <c r="U246" s="70" t="s">
        <v>302</v>
      </c>
      <c r="V246" s="101"/>
      <c r="W246" s="70" t="s">
        <v>302</v>
      </c>
      <c r="X246" s="70"/>
      <c r="Y246" s="65">
        <v>45524</v>
      </c>
      <c r="Z246" s="65">
        <v>46618</v>
      </c>
      <c r="AA246" s="65">
        <v>46618</v>
      </c>
      <c r="AB246" s="64" t="s">
        <v>303</v>
      </c>
      <c r="AC246" s="71"/>
      <c r="AD246" s="70"/>
      <c r="AE246" s="30">
        <v>0.45479999999999998</v>
      </c>
      <c r="AF246" s="30">
        <v>0.33150000000000002</v>
      </c>
      <c r="AG246" s="31">
        <v>2181615854.0197001</v>
      </c>
      <c r="AH246" s="154"/>
      <c r="AI246" s="32" t="s">
        <v>3728</v>
      </c>
      <c r="AJ246" s="44">
        <v>2024</v>
      </c>
      <c r="AL246" s="2"/>
    </row>
    <row r="247" spans="1:38" ht="43.5" x14ac:dyDescent="0.35">
      <c r="A247" s="43" t="s">
        <v>306</v>
      </c>
      <c r="B247" s="2" t="s">
        <v>31</v>
      </c>
      <c r="C247" s="26" t="s">
        <v>38</v>
      </c>
      <c r="D247" s="27">
        <v>6521</v>
      </c>
      <c r="E247" s="2" t="s">
        <v>300</v>
      </c>
      <c r="F247" s="74" t="s">
        <v>3729</v>
      </c>
      <c r="G247" s="65">
        <v>45526</v>
      </c>
      <c r="H247" s="26" t="s">
        <v>150</v>
      </c>
      <c r="I247" s="67" t="s">
        <v>3730</v>
      </c>
      <c r="J247" s="47" t="s">
        <v>89</v>
      </c>
      <c r="K247" s="68" t="s">
        <v>84</v>
      </c>
      <c r="L247" s="26" t="s">
        <v>1639</v>
      </c>
      <c r="M247" s="2" t="s">
        <v>3731</v>
      </c>
      <c r="N247" s="145">
        <v>35332668.067226894</v>
      </c>
      <c r="O247" s="143">
        <v>6713206.9327731095</v>
      </c>
      <c r="P247" s="29">
        <v>42045875</v>
      </c>
      <c r="Q247" s="70" t="s">
        <v>302</v>
      </c>
      <c r="R247" s="3"/>
      <c r="S247" s="28">
        <f>+Tabla15133[[#This Row],[VALOR TOTAL DEL CONTRATO
(en pesos)
CON IVA
(inicial)]]+Tabla15133[[#This Row],[VALOR DE LAS ADICIONES
(en pesos)
CON IVA]]</f>
        <v>42045875</v>
      </c>
      <c r="T247" s="37">
        <v>364</v>
      </c>
      <c r="U247" s="70" t="s">
        <v>302</v>
      </c>
      <c r="V247" s="101"/>
      <c r="W247" s="70" t="s">
        <v>302</v>
      </c>
      <c r="X247" s="70"/>
      <c r="Y247" s="65">
        <v>45563</v>
      </c>
      <c r="Z247" s="65">
        <v>45927</v>
      </c>
      <c r="AA247" s="144">
        <v>45927</v>
      </c>
      <c r="AB247" s="64" t="s">
        <v>323</v>
      </c>
      <c r="AC247" s="71">
        <v>45967</v>
      </c>
      <c r="AD247" s="70" t="s">
        <v>321</v>
      </c>
      <c r="AE247" s="30">
        <v>1</v>
      </c>
      <c r="AF247" s="55">
        <v>0.74</v>
      </c>
      <c r="AG247" s="31">
        <v>30967811</v>
      </c>
      <c r="AH247" s="154"/>
      <c r="AI247" s="32" t="s">
        <v>3732</v>
      </c>
      <c r="AJ247" s="44">
        <v>2024</v>
      </c>
      <c r="AL247" s="2"/>
    </row>
    <row r="248" spans="1:38" ht="58" x14ac:dyDescent="0.35">
      <c r="A248" s="43" t="s">
        <v>306</v>
      </c>
      <c r="B248" s="2" t="s">
        <v>327</v>
      </c>
      <c r="C248" s="26" t="s">
        <v>46</v>
      </c>
      <c r="D248" s="27">
        <v>6528</v>
      </c>
      <c r="E248" s="2" t="s">
        <v>300</v>
      </c>
      <c r="F248" s="74" t="s">
        <v>3733</v>
      </c>
      <c r="G248" s="65">
        <v>45539</v>
      </c>
      <c r="H248" s="26" t="s">
        <v>150</v>
      </c>
      <c r="I248" s="67" t="s">
        <v>3734</v>
      </c>
      <c r="J248" s="47" t="s">
        <v>89</v>
      </c>
      <c r="K248" s="68" t="s">
        <v>84</v>
      </c>
      <c r="L248" s="26" t="s">
        <v>1634</v>
      </c>
      <c r="M248" s="2" t="s">
        <v>3735</v>
      </c>
      <c r="N248" s="145">
        <v>45000000</v>
      </c>
      <c r="O248" s="143">
        <v>8550000</v>
      </c>
      <c r="P248" s="29">
        <v>53550000</v>
      </c>
      <c r="Q248" s="70" t="s">
        <v>302</v>
      </c>
      <c r="R248" s="3"/>
      <c r="S248" s="28">
        <f>+Tabla15133[[#This Row],[VALOR TOTAL DEL CONTRATO
(en pesos)
CON IVA
(inicial)]]+Tabla15133[[#This Row],[VALOR DE LAS ADICIONES
(en pesos)
CON IVA]]</f>
        <v>53550000</v>
      </c>
      <c r="T248" s="37">
        <v>118</v>
      </c>
      <c r="U248" s="70" t="s">
        <v>302</v>
      </c>
      <c r="V248" s="101"/>
      <c r="W248" s="70" t="s">
        <v>302</v>
      </c>
      <c r="X248" s="70"/>
      <c r="Y248" s="65">
        <v>45539</v>
      </c>
      <c r="Z248" s="65">
        <v>45657</v>
      </c>
      <c r="AA248" s="144">
        <v>45657</v>
      </c>
      <c r="AB248" s="64" t="s">
        <v>323</v>
      </c>
      <c r="AC248" s="71">
        <v>45692</v>
      </c>
      <c r="AD248" s="71" t="s">
        <v>321</v>
      </c>
      <c r="AE248" s="30">
        <v>0.74590000000000001</v>
      </c>
      <c r="AF248" s="30">
        <v>0.5</v>
      </c>
      <c r="AG248" s="31">
        <v>16448685</v>
      </c>
      <c r="AH248" s="154"/>
      <c r="AI248" s="32" t="s">
        <v>3736</v>
      </c>
      <c r="AJ248" s="44">
        <v>2024</v>
      </c>
      <c r="AL248" s="2"/>
    </row>
    <row r="249" spans="1:38" ht="29" x14ac:dyDescent="0.35">
      <c r="A249" s="43" t="s">
        <v>306</v>
      </c>
      <c r="B249" s="2" t="s">
        <v>31</v>
      </c>
      <c r="C249" s="26" t="s">
        <v>32</v>
      </c>
      <c r="D249" s="27" t="s">
        <v>3737</v>
      </c>
      <c r="E249" s="2" t="s">
        <v>300</v>
      </c>
      <c r="F249" s="74" t="s">
        <v>3738</v>
      </c>
      <c r="G249" s="65">
        <v>45527</v>
      </c>
      <c r="H249" s="26" t="s">
        <v>150</v>
      </c>
      <c r="I249" s="67" t="s">
        <v>3739</v>
      </c>
      <c r="J249" s="47" t="s">
        <v>89</v>
      </c>
      <c r="K249" s="68" t="s">
        <v>84</v>
      </c>
      <c r="L249" s="26" t="s">
        <v>3740</v>
      </c>
      <c r="M249" s="2" t="s">
        <v>3741</v>
      </c>
      <c r="N249" s="28">
        <v>103543920.16806723</v>
      </c>
      <c r="O249" s="28">
        <v>19673344.831932776</v>
      </c>
      <c r="P249" s="36">
        <v>123217265</v>
      </c>
      <c r="Q249" s="70" t="s">
        <v>301</v>
      </c>
      <c r="R249" s="3">
        <v>54091648</v>
      </c>
      <c r="S249" s="28">
        <f>+Tabla15133[[#This Row],[VALOR TOTAL DEL CONTRATO
(en pesos)
CON IVA
(inicial)]]+Tabla15133[[#This Row],[VALOR DE LAS ADICIONES
(en pesos)
CON IVA]]</f>
        <v>177308913</v>
      </c>
      <c r="T249" s="37">
        <v>364</v>
      </c>
      <c r="U249" s="70" t="s">
        <v>301</v>
      </c>
      <c r="V249" s="101">
        <f>+Tabla15133[[#This Row],[FECHA TERMINACIÓN DEL CONTRATO
(inicial + prórroga)]]-Tabla15133[[#This Row],[FECHA TERMINACIÓN DEL CONTRATO
(inicial)]]</f>
        <v>181</v>
      </c>
      <c r="W249" s="70" t="s">
        <v>302</v>
      </c>
      <c r="X249" s="70"/>
      <c r="Y249" s="65">
        <v>45566</v>
      </c>
      <c r="Z249" s="65">
        <v>45930</v>
      </c>
      <c r="AA249" s="144">
        <v>46111</v>
      </c>
      <c r="AB249" s="64" t="s">
        <v>303</v>
      </c>
      <c r="AC249" s="71"/>
      <c r="AD249" s="70"/>
      <c r="AE249" s="30">
        <v>0.77780000000000005</v>
      </c>
      <c r="AF249" s="30">
        <v>0.66220000000000001</v>
      </c>
      <c r="AG249" s="31">
        <v>123217265</v>
      </c>
      <c r="AH249" s="154" t="s">
        <v>3742</v>
      </c>
      <c r="AI249" s="32" t="s">
        <v>3743</v>
      </c>
      <c r="AJ249" s="44">
        <v>2024</v>
      </c>
      <c r="AL249" s="2"/>
    </row>
    <row r="250" spans="1:38" ht="43.5" x14ac:dyDescent="0.35">
      <c r="A250" s="43" t="s">
        <v>306</v>
      </c>
      <c r="B250" s="2" t="s">
        <v>31</v>
      </c>
      <c r="C250" s="26" t="s">
        <v>33</v>
      </c>
      <c r="D250" s="27">
        <v>6540</v>
      </c>
      <c r="E250" s="2" t="s">
        <v>300</v>
      </c>
      <c r="F250" s="74" t="s">
        <v>3744</v>
      </c>
      <c r="G250" s="65">
        <v>45533</v>
      </c>
      <c r="H250" s="26" t="s">
        <v>150</v>
      </c>
      <c r="I250" s="67" t="s">
        <v>3745</v>
      </c>
      <c r="J250" s="47" t="s">
        <v>89</v>
      </c>
      <c r="K250" s="68" t="s">
        <v>84</v>
      </c>
      <c r="L250" s="26" t="s">
        <v>3746</v>
      </c>
      <c r="M250" s="2" t="s">
        <v>3747</v>
      </c>
      <c r="N250" s="145">
        <v>54600000</v>
      </c>
      <c r="O250" s="143">
        <v>10374000</v>
      </c>
      <c r="P250" s="29">
        <v>64974000</v>
      </c>
      <c r="Q250" s="70" t="s">
        <v>302</v>
      </c>
      <c r="R250" s="3"/>
      <c r="S250" s="28">
        <f>+Tabla15133[[#This Row],[VALOR TOTAL DEL CONTRATO
(en pesos)
CON IVA
(inicial)]]+Tabla15133[[#This Row],[VALOR DE LAS ADICIONES
(en pesos)
CON IVA]]</f>
        <v>64974000</v>
      </c>
      <c r="T250" s="37">
        <v>123</v>
      </c>
      <c r="U250" s="70" t="s">
        <v>302</v>
      </c>
      <c r="V250" s="101"/>
      <c r="W250" s="70" t="s">
        <v>302</v>
      </c>
      <c r="X250" s="70"/>
      <c r="Y250" s="65">
        <v>45534</v>
      </c>
      <c r="Z250" s="65">
        <v>45657</v>
      </c>
      <c r="AA250" s="144">
        <v>45657</v>
      </c>
      <c r="AB250" s="64" t="s">
        <v>323</v>
      </c>
      <c r="AC250" s="71">
        <v>45671</v>
      </c>
      <c r="AD250" s="71" t="s">
        <v>321</v>
      </c>
      <c r="AE250" s="30">
        <v>1</v>
      </c>
      <c r="AF250" s="30">
        <v>1</v>
      </c>
      <c r="AG250" s="31">
        <v>64974000</v>
      </c>
      <c r="AH250" s="154"/>
      <c r="AI250" s="32" t="s">
        <v>3748</v>
      </c>
      <c r="AJ250" s="44">
        <v>2024</v>
      </c>
      <c r="AL250" s="2"/>
    </row>
    <row r="251" spans="1:38" ht="58" x14ac:dyDescent="0.35">
      <c r="A251" s="43" t="s">
        <v>306</v>
      </c>
      <c r="B251" s="2" t="s">
        <v>31</v>
      </c>
      <c r="C251" s="26" t="s">
        <v>37</v>
      </c>
      <c r="D251" s="27">
        <v>6537</v>
      </c>
      <c r="E251" s="2" t="s">
        <v>300</v>
      </c>
      <c r="F251" s="74" t="s">
        <v>3749</v>
      </c>
      <c r="G251" s="65">
        <v>45534</v>
      </c>
      <c r="H251" s="26" t="s">
        <v>150</v>
      </c>
      <c r="I251" s="67" t="s">
        <v>3750</v>
      </c>
      <c r="J251" s="47" t="s">
        <v>89</v>
      </c>
      <c r="K251" s="68" t="s">
        <v>84</v>
      </c>
      <c r="L251" s="26" t="s">
        <v>1602</v>
      </c>
      <c r="M251" s="2" t="s">
        <v>354</v>
      </c>
      <c r="N251" s="28">
        <v>40200000</v>
      </c>
      <c r="O251" s="28">
        <v>7638000</v>
      </c>
      <c r="P251" s="36">
        <v>47838000</v>
      </c>
      <c r="Q251" s="70" t="s">
        <v>302</v>
      </c>
      <c r="R251" s="3"/>
      <c r="S251" s="28">
        <f>+Tabla15133[[#This Row],[VALOR TOTAL DEL CONTRATO
(en pesos)
CON IVA
(inicial)]]+Tabla15133[[#This Row],[VALOR DE LAS ADICIONES
(en pesos)
CON IVA]]</f>
        <v>47838000</v>
      </c>
      <c r="T251" s="37">
        <v>364</v>
      </c>
      <c r="U251" s="70" t="s">
        <v>302</v>
      </c>
      <c r="V251" s="101"/>
      <c r="W251" s="70" t="s">
        <v>302</v>
      </c>
      <c r="X251" s="70"/>
      <c r="Y251" s="65">
        <v>45537</v>
      </c>
      <c r="Z251" s="65">
        <v>45901</v>
      </c>
      <c r="AA251" s="144">
        <v>45901</v>
      </c>
      <c r="AB251" s="64" t="s">
        <v>342</v>
      </c>
      <c r="AC251" s="71"/>
      <c r="AD251" s="70" t="s">
        <v>321</v>
      </c>
      <c r="AE251" s="30">
        <v>1</v>
      </c>
      <c r="AF251" s="30">
        <v>1</v>
      </c>
      <c r="AG251" s="31">
        <v>47838000</v>
      </c>
      <c r="AH251" s="154"/>
      <c r="AI251" s="32" t="s">
        <v>3751</v>
      </c>
      <c r="AJ251" s="44">
        <v>2024</v>
      </c>
      <c r="AL251" s="2"/>
    </row>
    <row r="252" spans="1:38" ht="29" x14ac:dyDescent="0.35">
      <c r="A252" s="43" t="s">
        <v>306</v>
      </c>
      <c r="B252" s="2" t="s">
        <v>327</v>
      </c>
      <c r="C252" s="26" t="s">
        <v>44</v>
      </c>
      <c r="D252" s="27">
        <v>6543</v>
      </c>
      <c r="E252" s="2" t="s">
        <v>300</v>
      </c>
      <c r="F252" s="66" t="s">
        <v>3752</v>
      </c>
      <c r="G252" s="65">
        <v>45534</v>
      </c>
      <c r="H252" s="26" t="s">
        <v>150</v>
      </c>
      <c r="I252" s="67" t="s">
        <v>3753</v>
      </c>
      <c r="J252" s="47" t="s">
        <v>89</v>
      </c>
      <c r="K252" s="68" t="s">
        <v>84</v>
      </c>
      <c r="L252" s="26" t="s">
        <v>3754</v>
      </c>
      <c r="M252" s="2" t="s">
        <v>3755</v>
      </c>
      <c r="N252" s="143">
        <v>1186400000</v>
      </c>
      <c r="O252" s="143">
        <v>225416000</v>
      </c>
      <c r="P252" s="36">
        <v>1411816000</v>
      </c>
      <c r="Q252" s="70" t="s">
        <v>302</v>
      </c>
      <c r="R252" s="3"/>
      <c r="S252" s="28">
        <f>+Tabla15133[[#This Row],[VALOR TOTAL DEL CONTRATO
(en pesos)
CON IVA
(inicial)]]+Tabla15133[[#This Row],[VALOR DE LAS ADICIONES
(en pesos)
CON IVA]]</f>
        <v>1411816000</v>
      </c>
      <c r="T252" s="37">
        <v>1095</v>
      </c>
      <c r="U252" s="70" t="s">
        <v>302</v>
      </c>
      <c r="V252" s="101"/>
      <c r="W252" s="70" t="s">
        <v>302</v>
      </c>
      <c r="X252" s="70"/>
      <c r="Y252" s="65">
        <v>45539</v>
      </c>
      <c r="Z252" s="65">
        <v>46634</v>
      </c>
      <c r="AA252" s="65">
        <v>46634</v>
      </c>
      <c r="AB252" s="64" t="s">
        <v>303</v>
      </c>
      <c r="AC252" s="71"/>
      <c r="AD252" s="70"/>
      <c r="AE252" s="61">
        <v>0.41670000000000001</v>
      </c>
      <c r="AF252" s="61">
        <v>0.2137</v>
      </c>
      <c r="AG252" s="62">
        <v>301710783.26999998</v>
      </c>
      <c r="AH252" s="154"/>
      <c r="AI252" s="32" t="s">
        <v>3756</v>
      </c>
      <c r="AJ252" s="44">
        <v>2024</v>
      </c>
      <c r="AL252" s="2"/>
    </row>
    <row r="253" spans="1:38" ht="43.5" x14ac:dyDescent="0.35">
      <c r="A253" s="43" t="s">
        <v>306</v>
      </c>
      <c r="B253" s="2" t="s">
        <v>11</v>
      </c>
      <c r="C253" s="26" t="s">
        <v>19</v>
      </c>
      <c r="D253" s="27">
        <v>6548</v>
      </c>
      <c r="E253" s="2" t="s">
        <v>365</v>
      </c>
      <c r="F253" s="74" t="s">
        <v>3757</v>
      </c>
      <c r="G253" s="65">
        <v>45537</v>
      </c>
      <c r="H253" s="26" t="s">
        <v>150</v>
      </c>
      <c r="I253" s="67" t="s">
        <v>3758</v>
      </c>
      <c r="J253" s="47" t="s">
        <v>89</v>
      </c>
      <c r="K253" s="68" t="s">
        <v>84</v>
      </c>
      <c r="L253" s="26" t="s">
        <v>1641</v>
      </c>
      <c r="M253" s="2" t="s">
        <v>3759</v>
      </c>
      <c r="N253" s="145">
        <v>1490000</v>
      </c>
      <c r="O253" s="143">
        <v>283100</v>
      </c>
      <c r="P253" s="29">
        <v>1773100</v>
      </c>
      <c r="Q253" s="70" t="s">
        <v>302</v>
      </c>
      <c r="R253" s="3"/>
      <c r="S253" s="28">
        <f>+Tabla15133[[#This Row],[VALOR TOTAL DEL CONTRATO
(en pesos)
CON IVA
(inicial)]]+Tabla15133[[#This Row],[VALOR DE LAS ADICIONES
(en pesos)
CON IVA]]</f>
        <v>1773100</v>
      </c>
      <c r="T253" s="37">
        <v>365</v>
      </c>
      <c r="U253" s="70" t="s">
        <v>302</v>
      </c>
      <c r="V253" s="101"/>
      <c r="W253" s="70" t="s">
        <v>302</v>
      </c>
      <c r="X253" s="70"/>
      <c r="Y253" s="65">
        <v>45537</v>
      </c>
      <c r="Z253" s="65">
        <v>45902</v>
      </c>
      <c r="AA253" s="144">
        <v>45902</v>
      </c>
      <c r="AB253" s="64" t="s">
        <v>325</v>
      </c>
      <c r="AC253" s="71"/>
      <c r="AD253" s="70" t="s">
        <v>321</v>
      </c>
      <c r="AE253" s="30">
        <v>1</v>
      </c>
      <c r="AF253" s="30">
        <v>1</v>
      </c>
      <c r="AG253" s="31">
        <v>1773100</v>
      </c>
      <c r="AH253" s="154"/>
      <c r="AI253" s="32" t="s">
        <v>3760</v>
      </c>
      <c r="AJ253" s="44">
        <v>2024</v>
      </c>
      <c r="AL253" s="2"/>
    </row>
    <row r="254" spans="1:38" ht="72.5" x14ac:dyDescent="0.35">
      <c r="A254" s="43" t="s">
        <v>306</v>
      </c>
      <c r="B254" s="2" t="s">
        <v>31</v>
      </c>
      <c r="C254" s="26" t="s">
        <v>3761</v>
      </c>
      <c r="D254" s="27">
        <v>6532</v>
      </c>
      <c r="E254" s="2" t="s">
        <v>300</v>
      </c>
      <c r="F254" s="74" t="s">
        <v>3762</v>
      </c>
      <c r="G254" s="65">
        <v>45537</v>
      </c>
      <c r="H254" s="26" t="s">
        <v>150</v>
      </c>
      <c r="I254" s="67" t="s">
        <v>3763</v>
      </c>
      <c r="J254" s="47" t="s">
        <v>89</v>
      </c>
      <c r="K254" s="68" t="s">
        <v>84</v>
      </c>
      <c r="L254" s="26" t="s">
        <v>3113</v>
      </c>
      <c r="M254" s="2" t="s">
        <v>3764</v>
      </c>
      <c r="N254" s="145">
        <v>56057886</v>
      </c>
      <c r="O254" s="143">
        <v>8735892</v>
      </c>
      <c r="P254" s="29">
        <v>64793778</v>
      </c>
      <c r="Q254" s="70" t="s">
        <v>302</v>
      </c>
      <c r="R254" s="3"/>
      <c r="S254" s="28">
        <f>+Tabla15133[[#This Row],[VALOR TOTAL DEL CONTRATO
(en pesos)
CON IVA
(inicial)]]+Tabla15133[[#This Row],[VALOR DE LAS ADICIONES
(en pesos)
CON IVA]]</f>
        <v>64793778</v>
      </c>
      <c r="T254" s="37">
        <v>364</v>
      </c>
      <c r="U254" s="70" t="s">
        <v>302</v>
      </c>
      <c r="V254" s="101"/>
      <c r="W254" s="70" t="s">
        <v>302</v>
      </c>
      <c r="X254" s="70"/>
      <c r="Y254" s="65">
        <v>45563</v>
      </c>
      <c r="Z254" s="65">
        <v>45927</v>
      </c>
      <c r="AA254" s="144">
        <v>45927</v>
      </c>
      <c r="AB254" s="64" t="s">
        <v>323</v>
      </c>
      <c r="AC254" s="71">
        <v>45945</v>
      </c>
      <c r="AD254" s="70" t="s">
        <v>321</v>
      </c>
      <c r="AE254" s="77">
        <v>1</v>
      </c>
      <c r="AF254" s="77">
        <v>0.25700000000000001</v>
      </c>
      <c r="AG254" s="78">
        <v>16669009</v>
      </c>
      <c r="AH254" s="154"/>
      <c r="AI254" s="32" t="s">
        <v>3765</v>
      </c>
      <c r="AJ254" s="44">
        <v>2024</v>
      </c>
      <c r="AL254" s="2"/>
    </row>
    <row r="255" spans="1:38" ht="43.5" x14ac:dyDescent="0.35">
      <c r="A255" s="43" t="s">
        <v>306</v>
      </c>
      <c r="B255" s="2" t="s">
        <v>31</v>
      </c>
      <c r="C255" s="26" t="s">
        <v>36</v>
      </c>
      <c r="D255" s="27">
        <v>6490</v>
      </c>
      <c r="E255" s="2" t="s">
        <v>324</v>
      </c>
      <c r="F255" s="74" t="s">
        <v>3766</v>
      </c>
      <c r="G255" s="65">
        <v>45560</v>
      </c>
      <c r="H255" s="26" t="s">
        <v>150</v>
      </c>
      <c r="I255" s="67" t="s">
        <v>3767</v>
      </c>
      <c r="J255" s="47" t="s">
        <v>89</v>
      </c>
      <c r="K255" s="68" t="s">
        <v>84</v>
      </c>
      <c r="L255" s="26" t="s">
        <v>2742</v>
      </c>
      <c r="M255" s="2" t="s">
        <v>2743</v>
      </c>
      <c r="N255" s="28">
        <v>1175625613</v>
      </c>
      <c r="O255" s="28">
        <v>223368867</v>
      </c>
      <c r="P255" s="36">
        <v>1398994480</v>
      </c>
      <c r="Q255" s="70" t="s">
        <v>302</v>
      </c>
      <c r="R255" s="3"/>
      <c r="S255" s="28">
        <f>+Tabla15133[[#This Row],[VALOR TOTAL DEL CONTRATO
(en pesos)
CON IVA
(inicial)]]+Tabla15133[[#This Row],[VALOR DE LAS ADICIONES
(en pesos)
CON IVA]]</f>
        <v>1398994480</v>
      </c>
      <c r="T255" s="37">
        <v>1460</v>
      </c>
      <c r="U255" s="70" t="s">
        <v>302</v>
      </c>
      <c r="V255" s="101"/>
      <c r="W255" s="70" t="s">
        <v>302</v>
      </c>
      <c r="X255" s="70"/>
      <c r="Y255" s="65">
        <v>45562</v>
      </c>
      <c r="Z255" s="65">
        <v>47022</v>
      </c>
      <c r="AA255" s="144">
        <v>47022</v>
      </c>
      <c r="AB255" s="64" t="s">
        <v>303</v>
      </c>
      <c r="AC255" s="71"/>
      <c r="AD255" s="70"/>
      <c r="AE255" s="30">
        <v>0.29199999999999998</v>
      </c>
      <c r="AF255" s="30">
        <v>0.27100000000000002</v>
      </c>
      <c r="AG255" s="31">
        <v>378873390</v>
      </c>
      <c r="AH255" s="154"/>
      <c r="AI255" s="32" t="s">
        <v>3768</v>
      </c>
      <c r="AJ255" s="44">
        <v>2024</v>
      </c>
      <c r="AL255" s="2"/>
    </row>
    <row r="256" spans="1:38" ht="29" x14ac:dyDescent="0.35">
      <c r="A256" s="43" t="s">
        <v>306</v>
      </c>
      <c r="B256" s="2" t="s">
        <v>4</v>
      </c>
      <c r="C256" s="26" t="s">
        <v>352</v>
      </c>
      <c r="D256" s="27">
        <v>6552</v>
      </c>
      <c r="E256" s="2" t="s">
        <v>300</v>
      </c>
      <c r="F256" s="74" t="s">
        <v>3769</v>
      </c>
      <c r="G256" s="65">
        <v>45565</v>
      </c>
      <c r="H256" s="26" t="s">
        <v>150</v>
      </c>
      <c r="I256" s="67" t="s">
        <v>3770</v>
      </c>
      <c r="J256" s="47" t="s">
        <v>89</v>
      </c>
      <c r="K256" s="68" t="s">
        <v>84</v>
      </c>
      <c r="L256" s="26" t="s">
        <v>3771</v>
      </c>
      <c r="M256" s="2" t="s">
        <v>3772</v>
      </c>
      <c r="N256" s="28">
        <v>54621749</v>
      </c>
      <c r="O256" s="28">
        <v>10378132.310000001</v>
      </c>
      <c r="P256" s="36">
        <v>64999881</v>
      </c>
      <c r="Q256" s="70" t="s">
        <v>302</v>
      </c>
      <c r="R256" s="3"/>
      <c r="S256" s="28">
        <f>+Tabla15133[[#This Row],[VALOR TOTAL DEL CONTRATO
(en pesos)
CON IVA
(inicial)]]+Tabla15133[[#This Row],[VALOR DE LAS ADICIONES
(en pesos)
CON IVA]]</f>
        <v>64999881</v>
      </c>
      <c r="T256" s="37">
        <v>365</v>
      </c>
      <c r="U256" s="70" t="s">
        <v>302</v>
      </c>
      <c r="V256" s="101"/>
      <c r="W256" s="70" t="s">
        <v>302</v>
      </c>
      <c r="X256" s="70"/>
      <c r="Y256" s="65">
        <v>45566</v>
      </c>
      <c r="Z256" s="65">
        <v>45931</v>
      </c>
      <c r="AA256" s="144">
        <v>45931</v>
      </c>
      <c r="AB256" s="64" t="s">
        <v>325</v>
      </c>
      <c r="AC256" s="71"/>
      <c r="AD256" s="70" t="s">
        <v>321</v>
      </c>
      <c r="AE256" s="30">
        <v>1</v>
      </c>
      <c r="AF256" s="30">
        <v>1</v>
      </c>
      <c r="AG256" s="31">
        <v>64999881.310000002</v>
      </c>
      <c r="AH256" s="154"/>
      <c r="AI256" s="32" t="s">
        <v>3773</v>
      </c>
      <c r="AJ256" s="44">
        <v>2024</v>
      </c>
      <c r="AL256" s="2"/>
    </row>
    <row r="257" spans="1:38" ht="29" x14ac:dyDescent="0.35">
      <c r="A257" s="43" t="s">
        <v>306</v>
      </c>
      <c r="B257" s="2" t="s">
        <v>31</v>
      </c>
      <c r="C257" s="26" t="s">
        <v>34</v>
      </c>
      <c r="D257" s="27">
        <v>6586</v>
      </c>
      <c r="E257" s="2" t="s">
        <v>300</v>
      </c>
      <c r="F257" s="74" t="s">
        <v>3774</v>
      </c>
      <c r="G257" s="65">
        <v>45569</v>
      </c>
      <c r="H257" s="26" t="s">
        <v>150</v>
      </c>
      <c r="I257" s="67" t="s">
        <v>3775</v>
      </c>
      <c r="J257" s="47" t="s">
        <v>89</v>
      </c>
      <c r="K257" s="68" t="s">
        <v>84</v>
      </c>
      <c r="L257" s="26" t="s">
        <v>1677</v>
      </c>
      <c r="M257" s="2" t="s">
        <v>337</v>
      </c>
      <c r="N257" s="143">
        <v>45300000</v>
      </c>
      <c r="O257" s="143">
        <v>8607000</v>
      </c>
      <c r="P257" s="36">
        <v>53907000</v>
      </c>
      <c r="Q257" s="27" t="s">
        <v>302</v>
      </c>
      <c r="R257" s="3"/>
      <c r="S257" s="28">
        <f>+Tabla15133[[#This Row],[VALOR TOTAL DEL CONTRATO
(en pesos)
CON IVA
(inicial)]]+Tabla15133[[#This Row],[VALOR DE LAS ADICIONES
(en pesos)
CON IVA]]</f>
        <v>53907000</v>
      </c>
      <c r="T257" s="37">
        <v>730</v>
      </c>
      <c r="U257" s="89" t="s">
        <v>302</v>
      </c>
      <c r="V257" s="107"/>
      <c r="W257" s="70" t="s">
        <v>302</v>
      </c>
      <c r="X257" s="70"/>
      <c r="Y257" s="65">
        <v>45573</v>
      </c>
      <c r="Z257" s="65">
        <v>46303</v>
      </c>
      <c r="AA257" s="65">
        <v>46303</v>
      </c>
      <c r="AB257" s="64" t="s">
        <v>303</v>
      </c>
      <c r="AC257" s="71"/>
      <c r="AD257" s="70"/>
      <c r="AE257" s="30">
        <v>0.57999999999999996</v>
      </c>
      <c r="AF257" s="30">
        <v>1</v>
      </c>
      <c r="AG257" s="31">
        <v>45300000</v>
      </c>
      <c r="AH257" s="154"/>
      <c r="AI257" s="32" t="s">
        <v>3776</v>
      </c>
      <c r="AJ257" s="44">
        <v>2024</v>
      </c>
      <c r="AL257" s="2"/>
    </row>
    <row r="258" spans="1:38" ht="29" x14ac:dyDescent="0.35">
      <c r="A258" s="43" t="s">
        <v>306</v>
      </c>
      <c r="B258" s="2" t="s">
        <v>31</v>
      </c>
      <c r="C258" s="26" t="s">
        <v>34</v>
      </c>
      <c r="D258" s="27">
        <v>6595</v>
      </c>
      <c r="E258" s="2" t="s">
        <v>300</v>
      </c>
      <c r="F258" s="74" t="s">
        <v>3777</v>
      </c>
      <c r="G258" s="65">
        <v>45569</v>
      </c>
      <c r="H258" s="2" t="s">
        <v>119</v>
      </c>
      <c r="I258" s="67" t="s">
        <v>3778</v>
      </c>
      <c r="J258" s="47" t="s">
        <v>89</v>
      </c>
      <c r="K258" s="68" t="s">
        <v>84</v>
      </c>
      <c r="L258" s="26" t="s">
        <v>1648</v>
      </c>
      <c r="M258" s="2" t="s">
        <v>420</v>
      </c>
      <c r="N258" s="143">
        <v>48700000</v>
      </c>
      <c r="O258" s="143">
        <v>9253000</v>
      </c>
      <c r="P258" s="36">
        <v>57953000</v>
      </c>
      <c r="Q258" s="27" t="s">
        <v>302</v>
      </c>
      <c r="R258" s="3"/>
      <c r="S258" s="28">
        <f>+Tabla15133[[#This Row],[VALOR TOTAL DEL CONTRATO
(en pesos)
CON IVA
(inicial)]]+Tabla15133[[#This Row],[VALOR DE LAS ADICIONES
(en pesos)
CON IVA]]</f>
        <v>57953000</v>
      </c>
      <c r="T258" s="37">
        <v>63</v>
      </c>
      <c r="U258" s="89" t="s">
        <v>302</v>
      </c>
      <c r="V258" s="107"/>
      <c r="W258" s="70" t="s">
        <v>302</v>
      </c>
      <c r="X258" s="70"/>
      <c r="Y258" s="65">
        <v>45569</v>
      </c>
      <c r="Z258" s="65">
        <v>45632</v>
      </c>
      <c r="AA258" s="65">
        <v>45632</v>
      </c>
      <c r="AB258" s="64" t="s">
        <v>323</v>
      </c>
      <c r="AC258" s="71">
        <v>45856</v>
      </c>
      <c r="AD258" s="71" t="s">
        <v>321</v>
      </c>
      <c r="AE258" s="30">
        <v>1</v>
      </c>
      <c r="AF258" s="30">
        <v>1</v>
      </c>
      <c r="AG258" s="31">
        <v>57953000</v>
      </c>
      <c r="AH258" s="154"/>
      <c r="AI258" s="32" t="s">
        <v>3779</v>
      </c>
      <c r="AJ258" s="44">
        <v>2024</v>
      </c>
      <c r="AL258" s="2"/>
    </row>
    <row r="259" spans="1:38" ht="43.5" x14ac:dyDescent="0.35">
      <c r="A259" s="43" t="s">
        <v>306</v>
      </c>
      <c r="B259" s="2" t="s">
        <v>298</v>
      </c>
      <c r="C259" s="26" t="s">
        <v>416</v>
      </c>
      <c r="D259" s="27">
        <v>6535</v>
      </c>
      <c r="E259" s="2" t="s">
        <v>324</v>
      </c>
      <c r="F259" s="74" t="s">
        <v>3780</v>
      </c>
      <c r="G259" s="65">
        <v>45575</v>
      </c>
      <c r="H259" s="26" t="s">
        <v>150</v>
      </c>
      <c r="I259" s="164" t="s">
        <v>3781</v>
      </c>
      <c r="J259" s="47" t="s">
        <v>89</v>
      </c>
      <c r="K259" s="68" t="s">
        <v>84</v>
      </c>
      <c r="L259" s="26" t="s">
        <v>3782</v>
      </c>
      <c r="M259" s="2" t="s">
        <v>3783</v>
      </c>
      <c r="N259" s="165">
        <v>815813424</v>
      </c>
      <c r="O259" s="165">
        <v>155004551</v>
      </c>
      <c r="P259" s="29">
        <v>970817975</v>
      </c>
      <c r="Q259" s="27" t="s">
        <v>302</v>
      </c>
      <c r="R259" s="3"/>
      <c r="S259" s="28">
        <f>+Tabla15133[[#This Row],[VALOR TOTAL DEL CONTRATO
(en pesos)
CON IVA
(inicial)]]+Tabla15133[[#This Row],[VALOR DE LAS ADICIONES
(en pesos)
CON IVA]]</f>
        <v>970817975</v>
      </c>
      <c r="T259" s="37">
        <v>730</v>
      </c>
      <c r="U259" s="89" t="s">
        <v>302</v>
      </c>
      <c r="V259" s="107"/>
      <c r="W259" s="70" t="s">
        <v>302</v>
      </c>
      <c r="X259" s="70"/>
      <c r="Y259" s="65">
        <v>45575</v>
      </c>
      <c r="Z259" s="65">
        <v>46305</v>
      </c>
      <c r="AA259" s="65">
        <v>46305</v>
      </c>
      <c r="AB259" s="64" t="s">
        <v>303</v>
      </c>
      <c r="AC259" s="71"/>
      <c r="AD259" s="70"/>
      <c r="AE259" s="61">
        <v>0.58399999999999996</v>
      </c>
      <c r="AF259" s="61">
        <v>0.54200000000000004</v>
      </c>
      <c r="AG259" s="62">
        <v>525859736.21999997</v>
      </c>
      <c r="AH259" s="154"/>
      <c r="AI259" s="32" t="s">
        <v>3784</v>
      </c>
      <c r="AJ259" s="44">
        <v>2024</v>
      </c>
      <c r="AL259" s="2"/>
    </row>
    <row r="260" spans="1:38" ht="43.5" x14ac:dyDescent="0.35">
      <c r="A260" s="43" t="s">
        <v>306</v>
      </c>
      <c r="B260" s="2" t="s">
        <v>11</v>
      </c>
      <c r="C260" s="26" t="s">
        <v>12</v>
      </c>
      <c r="D260" s="27">
        <v>6505</v>
      </c>
      <c r="E260" s="2" t="s">
        <v>324</v>
      </c>
      <c r="F260" s="166" t="s">
        <v>3785</v>
      </c>
      <c r="G260" s="167">
        <v>45575</v>
      </c>
      <c r="H260" s="26" t="s">
        <v>3786</v>
      </c>
      <c r="I260" s="67" t="s">
        <v>3787</v>
      </c>
      <c r="J260" s="47" t="s">
        <v>89</v>
      </c>
      <c r="K260" s="68" t="s">
        <v>84</v>
      </c>
      <c r="L260" s="26" t="s">
        <v>3788</v>
      </c>
      <c r="M260" s="2" t="s">
        <v>3789</v>
      </c>
      <c r="N260" s="168">
        <v>2541727902</v>
      </c>
      <c r="O260" s="84">
        <v>482928301</v>
      </c>
      <c r="P260" s="29">
        <v>3024656203</v>
      </c>
      <c r="Q260" s="70" t="s">
        <v>302</v>
      </c>
      <c r="R260" s="3"/>
      <c r="S260" s="28">
        <f>+Tabla15133[[#This Row],[VALOR TOTAL DEL CONTRATO
(en pesos)
CON IVA
(inicial)]]+Tabla15133[[#This Row],[VALOR DE LAS ADICIONES
(en pesos)
CON IVA]]</f>
        <v>3024656203</v>
      </c>
      <c r="T260" s="37">
        <v>963</v>
      </c>
      <c r="U260" s="70" t="s">
        <v>302</v>
      </c>
      <c r="V260" s="101"/>
      <c r="W260" s="70" t="s">
        <v>302</v>
      </c>
      <c r="X260" s="70"/>
      <c r="Y260" s="65">
        <v>45575</v>
      </c>
      <c r="Z260" s="65">
        <v>46538</v>
      </c>
      <c r="AA260" s="65">
        <v>46538</v>
      </c>
      <c r="AB260" s="64" t="s">
        <v>303</v>
      </c>
      <c r="AC260" s="71"/>
      <c r="AD260" s="70"/>
      <c r="AE260" s="30">
        <v>6.3E-2</v>
      </c>
      <c r="AF260" s="30">
        <v>9.5500000000000002E-2</v>
      </c>
      <c r="AG260" s="31">
        <v>197166828</v>
      </c>
      <c r="AH260" s="154"/>
      <c r="AI260" s="32" t="s">
        <v>3790</v>
      </c>
      <c r="AJ260" s="44">
        <v>2024</v>
      </c>
      <c r="AL260" s="2"/>
    </row>
    <row r="261" spans="1:38" ht="29" x14ac:dyDescent="0.35">
      <c r="A261" s="43" t="s">
        <v>306</v>
      </c>
      <c r="B261" s="2" t="s">
        <v>11</v>
      </c>
      <c r="C261" s="26" t="s">
        <v>19</v>
      </c>
      <c r="D261" s="27" t="s">
        <v>3791</v>
      </c>
      <c r="E261" s="2" t="s">
        <v>312</v>
      </c>
      <c r="F261" s="166" t="s">
        <v>3792</v>
      </c>
      <c r="G261" s="167">
        <v>45576</v>
      </c>
      <c r="H261" s="26" t="s">
        <v>150</v>
      </c>
      <c r="I261" s="169" t="s">
        <v>3793</v>
      </c>
      <c r="J261" s="47" t="s">
        <v>89</v>
      </c>
      <c r="K261" s="68" t="s">
        <v>84</v>
      </c>
      <c r="L261" s="26" t="s">
        <v>3794</v>
      </c>
      <c r="M261" s="2" t="s">
        <v>3795</v>
      </c>
      <c r="N261" s="28">
        <v>1155325369</v>
      </c>
      <c r="O261" s="28">
        <v>6619629</v>
      </c>
      <c r="P261" s="36">
        <v>1161944998</v>
      </c>
      <c r="Q261" s="70" t="s">
        <v>302</v>
      </c>
      <c r="R261" s="3"/>
      <c r="S261" s="28">
        <f>+Tabla15133[[#This Row],[VALOR TOTAL DEL CONTRATO
(en pesos)
CON IVA
(inicial)]]+Tabla15133[[#This Row],[VALOR DE LAS ADICIONES
(en pesos)
CON IVA]]</f>
        <v>1161944998</v>
      </c>
      <c r="T261" s="37">
        <v>123</v>
      </c>
      <c r="U261" s="70" t="s">
        <v>301</v>
      </c>
      <c r="V261" s="101">
        <f>+Tabla15133[[#This Row],[FECHA TERMINACIÓN DEL CONTRATO
(inicial + prórroga)]]-Tabla15133[[#This Row],[FECHA TERMINACIÓN DEL CONTRATO
(inicial)]]</f>
        <v>45</v>
      </c>
      <c r="W261" s="70" t="s">
        <v>302</v>
      </c>
      <c r="X261" s="70"/>
      <c r="Y261" s="65">
        <v>45596</v>
      </c>
      <c r="Z261" s="65">
        <v>45716</v>
      </c>
      <c r="AA261" s="65">
        <v>45761</v>
      </c>
      <c r="AB261" s="64" t="s">
        <v>325</v>
      </c>
      <c r="AC261" s="71"/>
      <c r="AD261" s="71" t="s">
        <v>321</v>
      </c>
      <c r="AE261" s="30">
        <v>0.5083333333333333</v>
      </c>
      <c r="AF261" s="30">
        <v>0.3256</v>
      </c>
      <c r="AG261" s="31">
        <v>378325536</v>
      </c>
      <c r="AH261" s="154" t="s">
        <v>3796</v>
      </c>
      <c r="AI261" s="119" t="s">
        <v>3797</v>
      </c>
      <c r="AJ261" s="44">
        <v>2024</v>
      </c>
      <c r="AL261" s="2"/>
    </row>
    <row r="262" spans="1:38" ht="29" x14ac:dyDescent="0.35">
      <c r="A262" s="43" t="s">
        <v>306</v>
      </c>
      <c r="B262" s="2" t="s">
        <v>11</v>
      </c>
      <c r="C262" s="26" t="s">
        <v>19</v>
      </c>
      <c r="D262" s="27" t="s">
        <v>3798</v>
      </c>
      <c r="E262" s="2" t="s">
        <v>300</v>
      </c>
      <c r="F262" s="66" t="s">
        <v>3799</v>
      </c>
      <c r="G262" s="167">
        <v>45581</v>
      </c>
      <c r="H262" s="26" t="s">
        <v>150</v>
      </c>
      <c r="I262" s="170" t="s">
        <v>3800</v>
      </c>
      <c r="J262" s="47" t="s">
        <v>89</v>
      </c>
      <c r="K262" s="68" t="s">
        <v>84</v>
      </c>
      <c r="L262" s="26" t="s">
        <v>3172</v>
      </c>
      <c r="M262" s="2" t="s">
        <v>3801</v>
      </c>
      <c r="N262" s="168">
        <v>135840000</v>
      </c>
      <c r="O262" s="168">
        <v>25809600</v>
      </c>
      <c r="P262" s="29">
        <v>161649600</v>
      </c>
      <c r="Q262" s="27" t="s">
        <v>302</v>
      </c>
      <c r="R262" s="3"/>
      <c r="S262" s="28">
        <f>+Tabla15133[[#This Row],[VALOR TOTAL DEL CONTRATO
(en pesos)
CON IVA
(inicial)]]+Tabla15133[[#This Row],[VALOR DE LAS ADICIONES
(en pesos)
CON IVA]]</f>
        <v>161649600</v>
      </c>
      <c r="T262" s="37">
        <v>365</v>
      </c>
      <c r="U262" s="89" t="s">
        <v>301</v>
      </c>
      <c r="V262" s="107">
        <f>+Tabla15133[[#This Row],[FECHA TERMINACIÓN DEL CONTRATO
(inicial + prórroga)]]-Tabla15133[[#This Row],[FECHA TERMINACIÓN DEL CONTRATO
(inicial)]]</f>
        <v>234</v>
      </c>
      <c r="W262" s="70" t="s">
        <v>302</v>
      </c>
      <c r="X262" s="70"/>
      <c r="Y262" s="65">
        <v>45604</v>
      </c>
      <c r="Z262" s="65">
        <v>45969</v>
      </c>
      <c r="AA262" s="65">
        <v>46203</v>
      </c>
      <c r="AB262" s="64" t="s">
        <v>303</v>
      </c>
      <c r="AC262" s="71"/>
      <c r="AD262" s="70"/>
      <c r="AE262" s="30">
        <v>0.69</v>
      </c>
      <c r="AF262" s="30">
        <v>0.35</v>
      </c>
      <c r="AG262" s="31">
        <v>56891115</v>
      </c>
      <c r="AH262" s="154" t="s">
        <v>3802</v>
      </c>
      <c r="AI262" s="32" t="s">
        <v>3803</v>
      </c>
      <c r="AJ262" s="44">
        <v>2024</v>
      </c>
      <c r="AL262" s="2"/>
    </row>
    <row r="263" spans="1:38" ht="39" x14ac:dyDescent="0.35">
      <c r="A263" s="43" t="s">
        <v>306</v>
      </c>
      <c r="B263" s="2" t="s">
        <v>333</v>
      </c>
      <c r="C263" s="26" t="s">
        <v>63</v>
      </c>
      <c r="D263" s="27">
        <v>6646</v>
      </c>
      <c r="E263" s="2" t="s">
        <v>300</v>
      </c>
      <c r="F263" s="66" t="s">
        <v>3804</v>
      </c>
      <c r="G263" s="167">
        <v>45589</v>
      </c>
      <c r="H263" s="26" t="s">
        <v>150</v>
      </c>
      <c r="I263" s="67" t="s">
        <v>3805</v>
      </c>
      <c r="J263" s="47" t="s">
        <v>89</v>
      </c>
      <c r="K263" s="68" t="s">
        <v>84</v>
      </c>
      <c r="L263" s="26" t="s">
        <v>3806</v>
      </c>
      <c r="M263" s="2" t="s">
        <v>3807</v>
      </c>
      <c r="N263" s="36">
        <v>178500000</v>
      </c>
      <c r="O263" s="143">
        <v>0</v>
      </c>
      <c r="P263" s="36">
        <v>178500000</v>
      </c>
      <c r="Q263" s="27" t="s">
        <v>302</v>
      </c>
      <c r="R263" s="3"/>
      <c r="S263" s="28">
        <f>+Tabla15133[[#This Row],[VALOR TOTAL DEL CONTRATO
(en pesos)
CON IVA
(inicial)]]+Tabla15133[[#This Row],[VALOR DE LAS ADICIONES
(en pesos)
CON IVA]]</f>
        <v>178500000</v>
      </c>
      <c r="T263" s="37">
        <v>365</v>
      </c>
      <c r="U263" s="89" t="s">
        <v>302</v>
      </c>
      <c r="V263" s="107"/>
      <c r="W263" s="70" t="s">
        <v>302</v>
      </c>
      <c r="X263" s="70"/>
      <c r="Y263" s="65">
        <v>45589</v>
      </c>
      <c r="Z263" s="65">
        <v>45954</v>
      </c>
      <c r="AA263" s="65">
        <v>45954</v>
      </c>
      <c r="AB263" s="64" t="s">
        <v>325</v>
      </c>
      <c r="AC263" s="71"/>
      <c r="AD263" s="70" t="s">
        <v>321</v>
      </c>
      <c r="AE263" s="30">
        <v>1.0308999999999999</v>
      </c>
      <c r="AF263" s="30">
        <v>1.0308999999999999</v>
      </c>
      <c r="AG263" s="31">
        <v>184010748</v>
      </c>
      <c r="AH263" s="154" t="s">
        <v>1403</v>
      </c>
      <c r="AI263" s="32" t="s">
        <v>3808</v>
      </c>
      <c r="AJ263" s="44">
        <v>2024</v>
      </c>
      <c r="AL263" s="2"/>
    </row>
    <row r="264" spans="1:38" ht="43.5" x14ac:dyDescent="0.35">
      <c r="A264" s="43" t="s">
        <v>306</v>
      </c>
      <c r="B264" s="2" t="s">
        <v>327</v>
      </c>
      <c r="C264" s="26" t="s">
        <v>45</v>
      </c>
      <c r="D264" s="27">
        <v>6561</v>
      </c>
      <c r="E264" s="2" t="s">
        <v>300</v>
      </c>
      <c r="F264" s="166" t="s">
        <v>3809</v>
      </c>
      <c r="G264" s="167">
        <v>45590</v>
      </c>
      <c r="H264" s="26" t="s">
        <v>150</v>
      </c>
      <c r="I264" s="67" t="s">
        <v>3810</v>
      </c>
      <c r="J264" s="47" t="s">
        <v>89</v>
      </c>
      <c r="K264" s="68" t="s">
        <v>84</v>
      </c>
      <c r="L264" s="26" t="s">
        <v>2791</v>
      </c>
      <c r="M264" s="2" t="s">
        <v>3811</v>
      </c>
      <c r="N264" s="145">
        <v>2171575150</v>
      </c>
      <c r="O264" s="143">
        <v>412599278</v>
      </c>
      <c r="P264" s="29">
        <v>2584174428</v>
      </c>
      <c r="Q264" s="70" t="s">
        <v>302</v>
      </c>
      <c r="R264" s="3"/>
      <c r="S264" s="28">
        <f>+Tabla15133[[#This Row],[VALOR TOTAL DEL CONTRATO
(en pesos)
CON IVA
(inicial)]]+Tabla15133[[#This Row],[VALOR DE LAS ADICIONES
(en pesos)
CON IVA]]</f>
        <v>2584174428</v>
      </c>
      <c r="T264" s="37">
        <v>1095</v>
      </c>
      <c r="U264" s="70" t="s">
        <v>302</v>
      </c>
      <c r="V264" s="101"/>
      <c r="W264" s="70" t="s">
        <v>302</v>
      </c>
      <c r="X264" s="70"/>
      <c r="Y264" s="65">
        <v>45590</v>
      </c>
      <c r="Z264" s="65">
        <v>46685</v>
      </c>
      <c r="AA264" s="65">
        <v>46685</v>
      </c>
      <c r="AB264" s="64" t="s">
        <v>303</v>
      </c>
      <c r="AC264" s="71"/>
      <c r="AD264" s="70"/>
      <c r="AE264" s="61">
        <v>0.33329999999999999</v>
      </c>
      <c r="AF264" s="61">
        <v>0.21</v>
      </c>
      <c r="AG264" s="62">
        <v>541532528.80999994</v>
      </c>
      <c r="AH264" s="154"/>
      <c r="AI264" s="32" t="s">
        <v>3812</v>
      </c>
      <c r="AJ264" s="44">
        <v>2024</v>
      </c>
      <c r="AL264" s="2"/>
    </row>
    <row r="265" spans="1:38" ht="39" x14ac:dyDescent="0.35">
      <c r="A265" s="43" t="s">
        <v>306</v>
      </c>
      <c r="B265" s="2" t="s">
        <v>333</v>
      </c>
      <c r="C265" s="26" t="s">
        <v>63</v>
      </c>
      <c r="D265" s="27">
        <v>6647</v>
      </c>
      <c r="E265" s="2" t="s">
        <v>300</v>
      </c>
      <c r="F265" s="66" t="s">
        <v>3813</v>
      </c>
      <c r="G265" s="167">
        <v>45593</v>
      </c>
      <c r="H265" s="26" t="s">
        <v>150</v>
      </c>
      <c r="I265" s="67" t="s">
        <v>3814</v>
      </c>
      <c r="J265" s="47" t="s">
        <v>89</v>
      </c>
      <c r="K265" s="68" t="s">
        <v>84</v>
      </c>
      <c r="L265" s="26" t="s">
        <v>1655</v>
      </c>
      <c r="M265" s="2" t="s">
        <v>421</v>
      </c>
      <c r="N265" s="36">
        <v>178500000</v>
      </c>
      <c r="O265" s="143">
        <v>0</v>
      </c>
      <c r="P265" s="36">
        <v>178500000</v>
      </c>
      <c r="Q265" s="27" t="s">
        <v>302</v>
      </c>
      <c r="R265" s="3"/>
      <c r="S265" s="28">
        <f>+Tabla15133[[#This Row],[VALOR TOTAL DEL CONTRATO
(en pesos)
CON IVA
(inicial)]]+Tabla15133[[#This Row],[VALOR DE LAS ADICIONES
(en pesos)
CON IVA]]</f>
        <v>178500000</v>
      </c>
      <c r="T265" s="37">
        <v>365</v>
      </c>
      <c r="U265" s="89" t="s">
        <v>302</v>
      </c>
      <c r="V265" s="107"/>
      <c r="W265" s="70" t="s">
        <v>302</v>
      </c>
      <c r="X265" s="70"/>
      <c r="Y265" s="65">
        <v>45593</v>
      </c>
      <c r="Z265" s="65">
        <v>45957</v>
      </c>
      <c r="AA265" s="65">
        <v>45957</v>
      </c>
      <c r="AB265" s="64" t="s">
        <v>325</v>
      </c>
      <c r="AC265" s="71"/>
      <c r="AD265" s="70" t="s">
        <v>321</v>
      </c>
      <c r="AE265" s="30">
        <v>2.3812000000000002</v>
      </c>
      <c r="AF265" s="30">
        <v>2.3812000000000002</v>
      </c>
      <c r="AG265" s="31">
        <v>425044200</v>
      </c>
      <c r="AH265" s="154" t="s">
        <v>1403</v>
      </c>
      <c r="AI265" s="32" t="s">
        <v>3815</v>
      </c>
      <c r="AJ265" s="44">
        <v>2024</v>
      </c>
      <c r="AL265" s="2"/>
    </row>
    <row r="266" spans="1:38" ht="78" x14ac:dyDescent="0.35">
      <c r="A266" s="43" t="s">
        <v>306</v>
      </c>
      <c r="B266" s="2" t="s">
        <v>4</v>
      </c>
      <c r="C266" s="26" t="s">
        <v>352</v>
      </c>
      <c r="D266" s="27">
        <v>6638</v>
      </c>
      <c r="E266" s="2" t="s">
        <v>300</v>
      </c>
      <c r="F266" s="66" t="s">
        <v>3816</v>
      </c>
      <c r="G266" s="167">
        <v>45586</v>
      </c>
      <c r="H266" s="26" t="s">
        <v>150</v>
      </c>
      <c r="I266" s="67" t="s">
        <v>3817</v>
      </c>
      <c r="J266" s="47" t="s">
        <v>89</v>
      </c>
      <c r="K266" s="68" t="s">
        <v>84</v>
      </c>
      <c r="L266" s="26" t="s">
        <v>1660</v>
      </c>
      <c r="M266" s="2" t="s">
        <v>3818</v>
      </c>
      <c r="N266" s="28">
        <v>26943221.848739497</v>
      </c>
      <c r="O266" s="28">
        <v>5119212.1512605045</v>
      </c>
      <c r="P266" s="36">
        <v>32062434</v>
      </c>
      <c r="Q266" s="27" t="s">
        <v>302</v>
      </c>
      <c r="R266" s="3"/>
      <c r="S266" s="28">
        <f>+Tabla15133[[#This Row],[VALOR TOTAL DEL CONTRATO
(en pesos)
CON IVA
(inicial)]]+Tabla15133[[#This Row],[VALOR DE LAS ADICIONES
(en pesos)
CON IVA]]</f>
        <v>32062434</v>
      </c>
      <c r="T266" s="37">
        <v>365</v>
      </c>
      <c r="U266" s="89" t="s">
        <v>302</v>
      </c>
      <c r="V266" s="107"/>
      <c r="W266" s="70" t="s">
        <v>302</v>
      </c>
      <c r="X266" s="70"/>
      <c r="Y266" s="65">
        <v>45590</v>
      </c>
      <c r="Z266" s="65">
        <v>45955</v>
      </c>
      <c r="AA266" s="65">
        <v>45955</v>
      </c>
      <c r="AB266" s="64" t="s">
        <v>325</v>
      </c>
      <c r="AC266" s="71"/>
      <c r="AD266" s="70" t="s">
        <v>321</v>
      </c>
      <c r="AE266" s="61">
        <v>1</v>
      </c>
      <c r="AF266" s="61">
        <v>0.66</v>
      </c>
      <c r="AG266" s="62">
        <v>21299588.66</v>
      </c>
      <c r="AH266" s="159" t="s">
        <v>3819</v>
      </c>
      <c r="AI266" s="32" t="s">
        <v>3820</v>
      </c>
      <c r="AJ266" s="44">
        <v>2024</v>
      </c>
      <c r="AL266" s="2"/>
    </row>
    <row r="267" spans="1:38" ht="43.5" x14ac:dyDescent="0.35">
      <c r="A267" s="43" t="s">
        <v>306</v>
      </c>
      <c r="B267" s="2" t="s">
        <v>298</v>
      </c>
      <c r="C267" s="26" t="s">
        <v>416</v>
      </c>
      <c r="D267" s="27">
        <v>6564</v>
      </c>
      <c r="E267" s="2" t="s">
        <v>312</v>
      </c>
      <c r="F267" s="166" t="s">
        <v>3821</v>
      </c>
      <c r="G267" s="167">
        <v>45590</v>
      </c>
      <c r="H267" s="26" t="s">
        <v>150</v>
      </c>
      <c r="I267" s="67" t="s">
        <v>3822</v>
      </c>
      <c r="J267" s="47" t="s">
        <v>89</v>
      </c>
      <c r="K267" s="68" t="s">
        <v>84</v>
      </c>
      <c r="L267" s="2" t="s">
        <v>3823</v>
      </c>
      <c r="M267" s="2" t="s">
        <v>3824</v>
      </c>
      <c r="N267" s="145">
        <v>359843171</v>
      </c>
      <c r="O267" s="143">
        <v>68370203</v>
      </c>
      <c r="P267" s="29">
        <v>428213374</v>
      </c>
      <c r="Q267" s="70" t="s">
        <v>302</v>
      </c>
      <c r="R267" s="3"/>
      <c r="S267" s="28">
        <f>+Tabla15133[[#This Row],[VALOR TOTAL DEL CONTRATO
(en pesos)
CON IVA
(inicial)]]+Tabla15133[[#This Row],[VALOR DE LAS ADICIONES
(en pesos)
CON IVA]]</f>
        <v>428213374</v>
      </c>
      <c r="T267" s="37">
        <v>730</v>
      </c>
      <c r="U267" s="70" t="s">
        <v>302</v>
      </c>
      <c r="V267" s="101"/>
      <c r="W267" s="70" t="s">
        <v>302</v>
      </c>
      <c r="X267" s="70"/>
      <c r="Y267" s="65">
        <v>45604</v>
      </c>
      <c r="Z267" s="65">
        <v>46334</v>
      </c>
      <c r="AA267" s="65">
        <v>46334</v>
      </c>
      <c r="AB267" s="64" t="s">
        <v>303</v>
      </c>
      <c r="AC267" s="71"/>
      <c r="AD267" s="70"/>
      <c r="AE267" s="61">
        <v>0.57120000000000004</v>
      </c>
      <c r="AF267" s="61">
        <v>0.42970000000000003</v>
      </c>
      <c r="AG267" s="62">
        <v>248124958</v>
      </c>
      <c r="AH267" s="154"/>
      <c r="AI267" s="32" t="s">
        <v>3825</v>
      </c>
      <c r="AJ267" s="44">
        <v>2024</v>
      </c>
      <c r="AL267" s="2"/>
    </row>
    <row r="268" spans="1:38" ht="43.5" x14ac:dyDescent="0.35">
      <c r="A268" s="43" t="s">
        <v>306</v>
      </c>
      <c r="B268" s="2" t="s">
        <v>11</v>
      </c>
      <c r="C268" s="26" t="s">
        <v>19</v>
      </c>
      <c r="D268" s="27">
        <v>6644</v>
      </c>
      <c r="E268" s="2" t="s">
        <v>300</v>
      </c>
      <c r="F268" s="74" t="s">
        <v>3826</v>
      </c>
      <c r="G268" s="167">
        <v>45596</v>
      </c>
      <c r="H268" s="26" t="s">
        <v>88</v>
      </c>
      <c r="I268" s="67" t="s">
        <v>3827</v>
      </c>
      <c r="J268" s="47" t="s">
        <v>83</v>
      </c>
      <c r="K268" s="68" t="s">
        <v>96</v>
      </c>
      <c r="L268" s="26" t="s">
        <v>3828</v>
      </c>
      <c r="M268" s="2" t="s">
        <v>3829</v>
      </c>
      <c r="N268" s="28">
        <v>21000000</v>
      </c>
      <c r="O268" s="143">
        <v>0</v>
      </c>
      <c r="P268" s="36">
        <v>21000000</v>
      </c>
      <c r="Q268" s="70" t="s">
        <v>302</v>
      </c>
      <c r="R268" s="3"/>
      <c r="S268" s="28">
        <f>+Tabla15133[[#This Row],[VALOR TOTAL DEL CONTRATO
(en pesos)
CON IVA
(inicial)]]+Tabla15133[[#This Row],[VALOR DE LAS ADICIONES
(en pesos)
CON IVA]]</f>
        <v>21000000</v>
      </c>
      <c r="T268" s="37">
        <v>426</v>
      </c>
      <c r="U268" s="70" t="s">
        <v>302</v>
      </c>
      <c r="V268" s="101"/>
      <c r="W268" s="70" t="s">
        <v>302</v>
      </c>
      <c r="X268" s="70"/>
      <c r="Y268" s="65">
        <v>45603</v>
      </c>
      <c r="Z268" s="65">
        <v>46029</v>
      </c>
      <c r="AA268" s="65">
        <v>46029</v>
      </c>
      <c r="AB268" s="64" t="s">
        <v>303</v>
      </c>
      <c r="AC268" s="71"/>
      <c r="AD268" s="70"/>
      <c r="AE268" s="30">
        <v>1</v>
      </c>
      <c r="AF268" s="30">
        <v>1</v>
      </c>
      <c r="AG268" s="31">
        <v>21000000</v>
      </c>
      <c r="AH268" s="154"/>
      <c r="AI268" s="32" t="s">
        <v>3830</v>
      </c>
      <c r="AJ268" s="44">
        <v>2024</v>
      </c>
      <c r="AL268" s="2"/>
    </row>
    <row r="269" spans="1:38" ht="43.5" x14ac:dyDescent="0.35">
      <c r="A269" s="43" t="s">
        <v>306</v>
      </c>
      <c r="B269" s="2" t="s">
        <v>298</v>
      </c>
      <c r="C269" s="26" t="s">
        <v>27</v>
      </c>
      <c r="D269" s="27">
        <v>6679</v>
      </c>
      <c r="E269" s="2" t="s">
        <v>300</v>
      </c>
      <c r="F269" s="74" t="s">
        <v>3831</v>
      </c>
      <c r="G269" s="65">
        <v>45601</v>
      </c>
      <c r="H269" s="26" t="s">
        <v>150</v>
      </c>
      <c r="I269" s="67" t="s">
        <v>3832</v>
      </c>
      <c r="J269" s="47" t="s">
        <v>89</v>
      </c>
      <c r="K269" s="68" t="s">
        <v>84</v>
      </c>
      <c r="L269" s="26" t="s">
        <v>3833</v>
      </c>
      <c r="M269" s="2" t="s">
        <v>3834</v>
      </c>
      <c r="N269" s="145">
        <v>200000000</v>
      </c>
      <c r="O269" s="143">
        <v>38000000</v>
      </c>
      <c r="P269" s="29">
        <v>238000000</v>
      </c>
      <c r="Q269" s="70" t="s">
        <v>302</v>
      </c>
      <c r="R269" s="3"/>
      <c r="S269" s="28">
        <f>+Tabla15133[[#This Row],[VALOR TOTAL DEL CONTRATO
(en pesos)
CON IVA
(inicial)]]+Tabla15133[[#This Row],[VALOR DE LAS ADICIONES
(en pesos)
CON IVA]]</f>
        <v>238000000</v>
      </c>
      <c r="T269" s="37">
        <v>61</v>
      </c>
      <c r="U269" s="70" t="s">
        <v>302</v>
      </c>
      <c r="V269" s="101"/>
      <c r="W269" s="70" t="s">
        <v>302</v>
      </c>
      <c r="X269" s="70"/>
      <c r="Y269" s="65">
        <v>45609</v>
      </c>
      <c r="Z269" s="65">
        <v>45670</v>
      </c>
      <c r="AA269" s="65">
        <v>45670</v>
      </c>
      <c r="AB269" s="64" t="s">
        <v>323</v>
      </c>
      <c r="AC269" s="71">
        <v>45771</v>
      </c>
      <c r="AD269" s="71" t="s">
        <v>321</v>
      </c>
      <c r="AE269" s="30">
        <v>1</v>
      </c>
      <c r="AF269" s="30">
        <v>1</v>
      </c>
      <c r="AG269" s="31">
        <v>238000000</v>
      </c>
      <c r="AH269" s="154"/>
      <c r="AI269" s="32" t="s">
        <v>3835</v>
      </c>
      <c r="AJ269" s="44">
        <v>2024</v>
      </c>
      <c r="AL269" s="2"/>
    </row>
    <row r="270" spans="1:38" ht="43.5" x14ac:dyDescent="0.35">
      <c r="A270" s="43" t="s">
        <v>306</v>
      </c>
      <c r="B270" s="2" t="s">
        <v>333</v>
      </c>
      <c r="C270" s="26" t="s">
        <v>62</v>
      </c>
      <c r="D270" s="27">
        <v>6620</v>
      </c>
      <c r="E270" s="2" t="s">
        <v>300</v>
      </c>
      <c r="F270" s="74" t="s">
        <v>3836</v>
      </c>
      <c r="G270" s="65">
        <v>45602</v>
      </c>
      <c r="H270" s="26" t="s">
        <v>119</v>
      </c>
      <c r="I270" s="67" t="s">
        <v>3837</v>
      </c>
      <c r="J270" s="47" t="s">
        <v>89</v>
      </c>
      <c r="K270" s="68" t="s">
        <v>84</v>
      </c>
      <c r="L270" s="26" t="s">
        <v>3838</v>
      </c>
      <c r="M270" s="2" t="s">
        <v>3839</v>
      </c>
      <c r="N270" s="145">
        <v>18896502</v>
      </c>
      <c r="O270" s="143">
        <v>3590335</v>
      </c>
      <c r="P270" s="29">
        <v>22486837</v>
      </c>
      <c r="Q270" s="70" t="s">
        <v>302</v>
      </c>
      <c r="R270" s="3"/>
      <c r="S270" s="28">
        <f>+Tabla15133[[#This Row],[VALOR TOTAL DEL CONTRATO
(en pesos)
CON IVA
(inicial)]]+Tabla15133[[#This Row],[VALOR DE LAS ADICIONES
(en pesos)
CON IVA]]</f>
        <v>22486837</v>
      </c>
      <c r="T270" s="37">
        <v>60</v>
      </c>
      <c r="U270" s="70" t="s">
        <v>302</v>
      </c>
      <c r="V270" s="101"/>
      <c r="W270" s="70" t="s">
        <v>302</v>
      </c>
      <c r="X270" s="70"/>
      <c r="Y270" s="65">
        <v>45602</v>
      </c>
      <c r="Z270" s="65">
        <v>45662</v>
      </c>
      <c r="AA270" s="65">
        <v>45662</v>
      </c>
      <c r="AB270" s="64" t="s">
        <v>325</v>
      </c>
      <c r="AC270" s="71"/>
      <c r="AD270" s="71" t="s">
        <v>321</v>
      </c>
      <c r="AE270" s="30">
        <v>0.5</v>
      </c>
      <c r="AF270" s="30">
        <v>0</v>
      </c>
      <c r="AG270" s="31">
        <v>0</v>
      </c>
      <c r="AH270" s="154"/>
      <c r="AI270" s="32" t="s">
        <v>3840</v>
      </c>
      <c r="AJ270" s="44">
        <v>2024</v>
      </c>
      <c r="AL270" s="2"/>
    </row>
    <row r="271" spans="1:38" ht="39" x14ac:dyDescent="0.35">
      <c r="A271" s="43" t="s">
        <v>306</v>
      </c>
      <c r="B271" s="2" t="s">
        <v>333</v>
      </c>
      <c r="C271" s="26" t="s">
        <v>63</v>
      </c>
      <c r="D271" s="27">
        <v>6670</v>
      </c>
      <c r="E271" s="2" t="s">
        <v>300</v>
      </c>
      <c r="F271" s="74" t="s">
        <v>3841</v>
      </c>
      <c r="G271" s="65">
        <v>45602</v>
      </c>
      <c r="H271" s="26" t="s">
        <v>150</v>
      </c>
      <c r="I271" s="67" t="s">
        <v>423</v>
      </c>
      <c r="J271" s="47" t="s">
        <v>89</v>
      </c>
      <c r="K271" s="68" t="s">
        <v>84</v>
      </c>
      <c r="L271" s="26" t="s">
        <v>1670</v>
      </c>
      <c r="M271" s="2" t="s">
        <v>3842</v>
      </c>
      <c r="N271" s="36">
        <v>178500000</v>
      </c>
      <c r="O271" s="143">
        <v>0</v>
      </c>
      <c r="P271" s="36">
        <v>178500000</v>
      </c>
      <c r="Q271" s="70" t="s">
        <v>302</v>
      </c>
      <c r="R271" s="3"/>
      <c r="S271" s="28">
        <f>+Tabla15133[[#This Row],[VALOR TOTAL DEL CONTRATO
(en pesos)
CON IVA
(inicial)]]+Tabla15133[[#This Row],[VALOR DE LAS ADICIONES
(en pesos)
CON IVA]]</f>
        <v>178500000</v>
      </c>
      <c r="T271" s="37">
        <v>365</v>
      </c>
      <c r="U271" s="70" t="s">
        <v>302</v>
      </c>
      <c r="V271" s="101"/>
      <c r="W271" s="70" t="s">
        <v>302</v>
      </c>
      <c r="X271" s="70"/>
      <c r="Y271" s="65">
        <v>45602</v>
      </c>
      <c r="Z271" s="65">
        <v>45967</v>
      </c>
      <c r="AA271" s="65">
        <v>45967</v>
      </c>
      <c r="AB271" s="64" t="s">
        <v>325</v>
      </c>
      <c r="AC271" s="71"/>
      <c r="AD271" s="70" t="s">
        <v>321</v>
      </c>
      <c r="AE271" s="30">
        <v>4.8052999999999999</v>
      </c>
      <c r="AF271" s="30">
        <v>4.8052999999999999</v>
      </c>
      <c r="AG271" s="31">
        <v>857748882</v>
      </c>
      <c r="AH271" s="154" t="s">
        <v>1403</v>
      </c>
      <c r="AI271" s="32" t="s">
        <v>3843</v>
      </c>
      <c r="AJ271" s="44">
        <v>2024</v>
      </c>
      <c r="AL271" s="2"/>
    </row>
    <row r="272" spans="1:38" ht="43.5" x14ac:dyDescent="0.35">
      <c r="A272" s="43" t="s">
        <v>306</v>
      </c>
      <c r="B272" s="2" t="s">
        <v>31</v>
      </c>
      <c r="C272" s="26" t="s">
        <v>424</v>
      </c>
      <c r="D272" s="27">
        <v>6560</v>
      </c>
      <c r="E272" s="2" t="s">
        <v>300</v>
      </c>
      <c r="F272" s="74" t="s">
        <v>3844</v>
      </c>
      <c r="G272" s="65">
        <v>45633</v>
      </c>
      <c r="H272" s="26" t="s">
        <v>150</v>
      </c>
      <c r="I272" s="67" t="s">
        <v>3845</v>
      </c>
      <c r="J272" s="47" t="s">
        <v>89</v>
      </c>
      <c r="K272" s="68" t="s">
        <v>84</v>
      </c>
      <c r="L272" s="26" t="s">
        <v>1667</v>
      </c>
      <c r="M272" s="2" t="s">
        <v>425</v>
      </c>
      <c r="N272" s="28">
        <v>349353680.67226893</v>
      </c>
      <c r="O272" s="28">
        <v>66377199.327731095</v>
      </c>
      <c r="P272" s="36">
        <v>415730880</v>
      </c>
      <c r="Q272" s="70" t="s">
        <v>302</v>
      </c>
      <c r="R272" s="3"/>
      <c r="S272" s="28">
        <f>+Tabla15133[[#This Row],[VALOR TOTAL DEL CONTRATO
(en pesos)
CON IVA
(inicial)]]+Tabla15133[[#This Row],[VALOR DE LAS ADICIONES
(en pesos)
CON IVA]]</f>
        <v>415730880</v>
      </c>
      <c r="T272" s="37">
        <v>365</v>
      </c>
      <c r="U272" s="70" t="s">
        <v>302</v>
      </c>
      <c r="V272" s="101"/>
      <c r="W272" s="70" t="s">
        <v>302</v>
      </c>
      <c r="X272" s="70"/>
      <c r="Y272" s="65">
        <v>45633</v>
      </c>
      <c r="Z272" s="65">
        <v>45998</v>
      </c>
      <c r="AA272" s="65">
        <v>45998</v>
      </c>
      <c r="AB272" s="64" t="s">
        <v>342</v>
      </c>
      <c r="AC272" s="71"/>
      <c r="AD272" s="70" t="s">
        <v>321</v>
      </c>
      <c r="AE272" s="30">
        <v>1</v>
      </c>
      <c r="AF272" s="30">
        <v>0.98629999999999995</v>
      </c>
      <c r="AG272" s="31">
        <v>410019772</v>
      </c>
      <c r="AH272" s="154"/>
      <c r="AI272" s="32" t="s">
        <v>3846</v>
      </c>
      <c r="AJ272" s="44">
        <v>2024</v>
      </c>
      <c r="AL272" s="2"/>
    </row>
    <row r="273" spans="1:38" ht="29" x14ac:dyDescent="0.35">
      <c r="A273" s="43" t="s">
        <v>306</v>
      </c>
      <c r="B273" s="2" t="s">
        <v>11</v>
      </c>
      <c r="C273" s="26" t="s">
        <v>19</v>
      </c>
      <c r="D273" s="27">
        <v>6660</v>
      </c>
      <c r="E273" s="2" t="s">
        <v>300</v>
      </c>
      <c r="F273" s="74" t="s">
        <v>3847</v>
      </c>
      <c r="G273" s="65">
        <v>45604</v>
      </c>
      <c r="H273" s="26" t="s">
        <v>150</v>
      </c>
      <c r="I273" s="67" t="s">
        <v>3848</v>
      </c>
      <c r="J273" s="47" t="s">
        <v>89</v>
      </c>
      <c r="K273" s="68" t="s">
        <v>84</v>
      </c>
      <c r="L273" s="26" t="s">
        <v>1672</v>
      </c>
      <c r="M273" s="2" t="s">
        <v>426</v>
      </c>
      <c r="N273" s="28">
        <v>64000000</v>
      </c>
      <c r="O273" s="28">
        <v>12160000</v>
      </c>
      <c r="P273" s="36">
        <v>76160000</v>
      </c>
      <c r="Q273" s="70" t="s">
        <v>302</v>
      </c>
      <c r="R273" s="3"/>
      <c r="S273" s="28">
        <f>+Tabla15133[[#This Row],[VALOR TOTAL DEL CONTRATO
(en pesos)
CON IVA
(inicial)]]+Tabla15133[[#This Row],[VALOR DE LAS ADICIONES
(en pesos)
CON IVA]]</f>
        <v>76160000</v>
      </c>
      <c r="T273" s="37">
        <v>364</v>
      </c>
      <c r="U273" s="70" t="s">
        <v>302</v>
      </c>
      <c r="V273" s="101"/>
      <c r="W273" s="70" t="s">
        <v>302</v>
      </c>
      <c r="X273" s="70"/>
      <c r="Y273" s="65">
        <v>45617</v>
      </c>
      <c r="Z273" s="65">
        <v>45981</v>
      </c>
      <c r="AA273" s="65">
        <v>45981</v>
      </c>
      <c r="AB273" s="64" t="s">
        <v>342</v>
      </c>
      <c r="AC273" s="71"/>
      <c r="AD273" s="70" t="s">
        <v>321</v>
      </c>
      <c r="AE273" s="30">
        <v>1</v>
      </c>
      <c r="AF273" s="30">
        <v>0.73</v>
      </c>
      <c r="AG273" s="31">
        <v>55358800</v>
      </c>
      <c r="AH273" s="154"/>
      <c r="AI273" s="32" t="s">
        <v>3849</v>
      </c>
      <c r="AJ273" s="44">
        <v>2024</v>
      </c>
      <c r="AL273" s="2"/>
    </row>
    <row r="274" spans="1:38" ht="43.5" x14ac:dyDescent="0.35">
      <c r="A274" s="43" t="s">
        <v>306</v>
      </c>
      <c r="B274" s="2" t="s">
        <v>31</v>
      </c>
      <c r="C274" s="26" t="s">
        <v>336</v>
      </c>
      <c r="D274" s="27">
        <v>6666</v>
      </c>
      <c r="E274" s="2" t="s">
        <v>300</v>
      </c>
      <c r="F274" s="74" t="s">
        <v>3850</v>
      </c>
      <c r="G274" s="65">
        <v>45604</v>
      </c>
      <c r="H274" s="26" t="s">
        <v>150</v>
      </c>
      <c r="I274" s="67" t="s">
        <v>3851</v>
      </c>
      <c r="J274" s="47" t="s">
        <v>89</v>
      </c>
      <c r="K274" s="68" t="s">
        <v>84</v>
      </c>
      <c r="L274" s="26" t="s">
        <v>3057</v>
      </c>
      <c r="M274" s="2" t="s">
        <v>3852</v>
      </c>
      <c r="N274" s="143">
        <v>54621849</v>
      </c>
      <c r="O274" s="143">
        <v>10378151</v>
      </c>
      <c r="P274" s="36">
        <v>65000000</v>
      </c>
      <c r="Q274" s="70" t="s">
        <v>302</v>
      </c>
      <c r="R274" s="3"/>
      <c r="S274" s="28">
        <f>+Tabla15133[[#This Row],[VALOR TOTAL DEL CONTRATO
(en pesos)
CON IVA
(inicial)]]+Tabla15133[[#This Row],[VALOR DE LAS ADICIONES
(en pesos)
CON IVA]]</f>
        <v>65000000</v>
      </c>
      <c r="T274" s="37">
        <v>53</v>
      </c>
      <c r="U274" s="70" t="s">
        <v>302</v>
      </c>
      <c r="V274" s="101"/>
      <c r="W274" s="70" t="s">
        <v>302</v>
      </c>
      <c r="X274" s="70"/>
      <c r="Y274" s="65">
        <v>45604</v>
      </c>
      <c r="Z274" s="65">
        <v>45657</v>
      </c>
      <c r="AA274" s="65">
        <v>45657</v>
      </c>
      <c r="AB274" s="64" t="s">
        <v>323</v>
      </c>
      <c r="AC274" s="71">
        <v>45777</v>
      </c>
      <c r="AD274" s="71" t="s">
        <v>321</v>
      </c>
      <c r="AE274" s="30">
        <v>1</v>
      </c>
      <c r="AF274" s="30">
        <v>1</v>
      </c>
      <c r="AG274" s="31">
        <v>65000000</v>
      </c>
      <c r="AH274" s="154"/>
      <c r="AI274" s="32" t="s">
        <v>3853</v>
      </c>
      <c r="AJ274" s="44">
        <v>2024</v>
      </c>
      <c r="AL274" s="2"/>
    </row>
    <row r="275" spans="1:38" ht="29" x14ac:dyDescent="0.35">
      <c r="A275" s="43" t="s">
        <v>306</v>
      </c>
      <c r="B275" s="2" t="s">
        <v>333</v>
      </c>
      <c r="C275" s="26" t="s">
        <v>63</v>
      </c>
      <c r="D275" s="27">
        <v>6649</v>
      </c>
      <c r="E275" s="2" t="s">
        <v>300</v>
      </c>
      <c r="F275" s="74" t="s">
        <v>3854</v>
      </c>
      <c r="G275" s="65">
        <v>45604</v>
      </c>
      <c r="H275" s="26" t="s">
        <v>150</v>
      </c>
      <c r="I275" s="67" t="s">
        <v>3855</v>
      </c>
      <c r="J275" s="47" t="s">
        <v>89</v>
      </c>
      <c r="K275" s="68" t="s">
        <v>84</v>
      </c>
      <c r="L275" s="26" t="s">
        <v>3856</v>
      </c>
      <c r="M275" s="2" t="s">
        <v>3857</v>
      </c>
      <c r="N275" s="36">
        <v>178500000</v>
      </c>
      <c r="O275" s="143">
        <v>0</v>
      </c>
      <c r="P275" s="36">
        <v>178500000</v>
      </c>
      <c r="Q275" s="70" t="s">
        <v>302</v>
      </c>
      <c r="R275" s="3"/>
      <c r="S275" s="28">
        <f>+Tabla15133[[#This Row],[VALOR TOTAL DEL CONTRATO
(en pesos)
CON IVA
(inicial)]]+Tabla15133[[#This Row],[VALOR DE LAS ADICIONES
(en pesos)
CON IVA]]</f>
        <v>178500000</v>
      </c>
      <c r="T275" s="37">
        <v>364</v>
      </c>
      <c r="U275" s="70" t="s">
        <v>302</v>
      </c>
      <c r="V275" s="101"/>
      <c r="W275" s="70" t="s">
        <v>302</v>
      </c>
      <c r="X275" s="70"/>
      <c r="Y275" s="65">
        <v>45604</v>
      </c>
      <c r="Z275" s="65">
        <v>45968</v>
      </c>
      <c r="AA275" s="65">
        <v>45968</v>
      </c>
      <c r="AB275" s="64" t="s">
        <v>325</v>
      </c>
      <c r="AC275" s="71"/>
      <c r="AD275" s="70" t="s">
        <v>321</v>
      </c>
      <c r="AE275" s="30">
        <v>0.10970000000000001</v>
      </c>
      <c r="AF275" s="30">
        <v>0.10970000000000001</v>
      </c>
      <c r="AG275" s="31">
        <v>19576892</v>
      </c>
      <c r="AH275" s="154"/>
      <c r="AI275" s="32" t="s">
        <v>3858</v>
      </c>
      <c r="AJ275" s="44">
        <v>2024</v>
      </c>
      <c r="AL275" s="2"/>
    </row>
    <row r="276" spans="1:38" ht="43.5" x14ac:dyDescent="0.35">
      <c r="A276" s="43" t="s">
        <v>306</v>
      </c>
      <c r="B276" s="2" t="s">
        <v>11</v>
      </c>
      <c r="C276" s="26" t="s">
        <v>20</v>
      </c>
      <c r="D276" s="27" t="s">
        <v>3859</v>
      </c>
      <c r="E276" s="2" t="s">
        <v>300</v>
      </c>
      <c r="F276" s="74" t="s">
        <v>3860</v>
      </c>
      <c r="G276" s="65">
        <v>45608</v>
      </c>
      <c r="H276" s="26" t="s">
        <v>150</v>
      </c>
      <c r="I276" s="67" t="s">
        <v>3861</v>
      </c>
      <c r="J276" s="47" t="s">
        <v>89</v>
      </c>
      <c r="K276" s="68" t="s">
        <v>84</v>
      </c>
      <c r="L276" s="26" t="s">
        <v>3711</v>
      </c>
      <c r="M276" s="2" t="s">
        <v>3712</v>
      </c>
      <c r="N276" s="28">
        <v>126050420</v>
      </c>
      <c r="O276" s="28">
        <v>23949580</v>
      </c>
      <c r="P276" s="36">
        <v>150000000</v>
      </c>
      <c r="Q276" s="70" t="s">
        <v>301</v>
      </c>
      <c r="R276" s="3">
        <v>90887259</v>
      </c>
      <c r="S276" s="28">
        <f>+Tabla15133[[#This Row],[VALOR TOTAL DEL CONTRATO
(en pesos)
CON IVA
(inicial)]]+Tabla15133[[#This Row],[VALOR DE LAS ADICIONES
(en pesos)
CON IVA]]</f>
        <v>240887259</v>
      </c>
      <c r="T276" s="37">
        <v>200</v>
      </c>
      <c r="U276" s="70" t="s">
        <v>301</v>
      </c>
      <c r="V276" s="101">
        <f>+Tabla15133[[#This Row],[FECHA TERMINACIÓN DEL CONTRATO
(inicial + prórroga)]]-Tabla15133[[#This Row],[FECHA TERMINACIÓN DEL CONTRATO
(inicial)]]</f>
        <v>214</v>
      </c>
      <c r="W276" s="70" t="s">
        <v>302</v>
      </c>
      <c r="X276" s="70"/>
      <c r="Y276" s="65">
        <v>45608</v>
      </c>
      <c r="Z276" s="65">
        <v>45808</v>
      </c>
      <c r="AA276" s="65">
        <v>46022</v>
      </c>
      <c r="AB276" s="64" t="s">
        <v>325</v>
      </c>
      <c r="AC276" s="71"/>
      <c r="AD276" s="70" t="s">
        <v>321</v>
      </c>
      <c r="AE276" s="30">
        <v>0.42</v>
      </c>
      <c r="AF276" s="30">
        <v>0.31</v>
      </c>
      <c r="AG276" s="31">
        <v>46343473</v>
      </c>
      <c r="AH276" s="154" t="s">
        <v>3862</v>
      </c>
      <c r="AI276" s="32" t="s">
        <v>3863</v>
      </c>
      <c r="AJ276" s="44">
        <v>2024</v>
      </c>
      <c r="AL276" s="2"/>
    </row>
    <row r="277" spans="1:38" ht="29" x14ac:dyDescent="0.35">
      <c r="A277" s="43" t="s">
        <v>306</v>
      </c>
      <c r="B277" s="2" t="s">
        <v>11</v>
      </c>
      <c r="C277" s="26" t="s">
        <v>12</v>
      </c>
      <c r="D277" s="27" t="s">
        <v>3864</v>
      </c>
      <c r="E277" s="2" t="s">
        <v>300</v>
      </c>
      <c r="F277" s="74" t="s">
        <v>3865</v>
      </c>
      <c r="G277" s="65">
        <v>45609</v>
      </c>
      <c r="H277" s="26" t="s">
        <v>150</v>
      </c>
      <c r="I277" s="67" t="s">
        <v>3866</v>
      </c>
      <c r="J277" s="47" t="s">
        <v>89</v>
      </c>
      <c r="K277" s="68" t="s">
        <v>84</v>
      </c>
      <c r="L277" s="26" t="s">
        <v>1515</v>
      </c>
      <c r="M277" s="2" t="s">
        <v>3867</v>
      </c>
      <c r="N277" s="145">
        <v>36000000</v>
      </c>
      <c r="O277" s="143">
        <v>6840000</v>
      </c>
      <c r="P277" s="29">
        <v>42840000</v>
      </c>
      <c r="Q277" s="70" t="s">
        <v>302</v>
      </c>
      <c r="R277" s="3"/>
      <c r="S277" s="28">
        <f>+Tabla15133[[#This Row],[VALOR TOTAL DEL CONTRATO
(en pesos)
CON IVA
(inicial)]]+Tabla15133[[#This Row],[VALOR DE LAS ADICIONES
(en pesos)
CON IVA]]</f>
        <v>42840000</v>
      </c>
      <c r="T277" s="37">
        <v>48</v>
      </c>
      <c r="U277" s="70" t="s">
        <v>301</v>
      </c>
      <c r="V277" s="101">
        <f>+Tabla15133[[#This Row],[FECHA TERMINACIÓN DEL CONTRATO
(inicial + prórroga)]]-Tabla15133[[#This Row],[FECHA TERMINACIÓN DEL CONTRATO
(inicial)]]</f>
        <v>365</v>
      </c>
      <c r="W277" s="117" t="s">
        <v>302</v>
      </c>
      <c r="X277" s="117"/>
      <c r="Y277" s="65">
        <v>45609</v>
      </c>
      <c r="Z277" s="65">
        <v>45657</v>
      </c>
      <c r="AA277" s="65">
        <v>46022</v>
      </c>
      <c r="AB277" s="64" t="s">
        <v>325</v>
      </c>
      <c r="AC277" s="71"/>
      <c r="AD277" s="70" t="s">
        <v>321</v>
      </c>
      <c r="AE277" s="30">
        <v>0.12</v>
      </c>
      <c r="AF277" s="30">
        <v>0.60419999999999996</v>
      </c>
      <c r="AG277" s="31">
        <v>25882500</v>
      </c>
      <c r="AH277" s="154" t="s">
        <v>3868</v>
      </c>
      <c r="AI277" s="32" t="s">
        <v>3869</v>
      </c>
      <c r="AJ277" s="44">
        <v>2024</v>
      </c>
      <c r="AK277" s="2" t="s">
        <v>3870</v>
      </c>
      <c r="AL277" s="2"/>
    </row>
    <row r="278" spans="1:38" ht="29" x14ac:dyDescent="0.35">
      <c r="A278" s="43" t="s">
        <v>306</v>
      </c>
      <c r="B278" s="2" t="s">
        <v>333</v>
      </c>
      <c r="C278" s="26" t="s">
        <v>63</v>
      </c>
      <c r="D278" s="27">
        <v>6669</v>
      </c>
      <c r="E278" s="2" t="s">
        <v>300</v>
      </c>
      <c r="F278" s="74" t="s">
        <v>3871</v>
      </c>
      <c r="G278" s="65">
        <v>45609</v>
      </c>
      <c r="H278" s="26" t="s">
        <v>150</v>
      </c>
      <c r="I278" s="67" t="s">
        <v>3872</v>
      </c>
      <c r="J278" s="47" t="s">
        <v>89</v>
      </c>
      <c r="K278" s="68" t="s">
        <v>84</v>
      </c>
      <c r="L278" s="26" t="s">
        <v>1669</v>
      </c>
      <c r="M278" s="2" t="s">
        <v>3873</v>
      </c>
      <c r="N278" s="36">
        <v>178500000</v>
      </c>
      <c r="O278" s="143">
        <v>0</v>
      </c>
      <c r="P278" s="36">
        <v>178500000</v>
      </c>
      <c r="Q278" s="70" t="s">
        <v>302</v>
      </c>
      <c r="R278" s="3"/>
      <c r="S278" s="28">
        <f>+Tabla15133[[#This Row],[VALOR TOTAL DEL CONTRATO
(en pesos)
CON IVA
(inicial)]]+Tabla15133[[#This Row],[VALOR DE LAS ADICIONES
(en pesos)
CON IVA]]</f>
        <v>178500000</v>
      </c>
      <c r="T278" s="37">
        <v>365</v>
      </c>
      <c r="U278" s="70" t="s">
        <v>302</v>
      </c>
      <c r="V278" s="101"/>
      <c r="W278" s="70" t="s">
        <v>302</v>
      </c>
      <c r="X278" s="70"/>
      <c r="Y278" s="65">
        <v>45609</v>
      </c>
      <c r="Z278" s="65">
        <v>45974</v>
      </c>
      <c r="AA278" s="65">
        <v>45974</v>
      </c>
      <c r="AB278" s="64" t="s">
        <v>325</v>
      </c>
      <c r="AC278" s="71"/>
      <c r="AD278" s="70" t="s">
        <v>321</v>
      </c>
      <c r="AE278" s="30">
        <v>0.7631</v>
      </c>
      <c r="AF278" s="30">
        <v>0.7631</v>
      </c>
      <c r="AG278" s="31">
        <v>136220066</v>
      </c>
      <c r="AH278" s="154"/>
      <c r="AI278" s="32" t="s">
        <v>3874</v>
      </c>
      <c r="AJ278" s="44">
        <v>2024</v>
      </c>
      <c r="AL278" s="2"/>
    </row>
    <row r="279" spans="1:38" ht="43.5" x14ac:dyDescent="0.35">
      <c r="A279" s="43" t="s">
        <v>306</v>
      </c>
      <c r="B279" s="2" t="s">
        <v>31</v>
      </c>
      <c r="C279" s="26" t="s">
        <v>424</v>
      </c>
      <c r="D279" s="27">
        <v>6594</v>
      </c>
      <c r="E279" s="2" t="s">
        <v>300</v>
      </c>
      <c r="F279" s="74" t="s">
        <v>3875</v>
      </c>
      <c r="G279" s="65">
        <v>45610</v>
      </c>
      <c r="H279" s="26" t="s">
        <v>150</v>
      </c>
      <c r="I279" s="67" t="s">
        <v>3876</v>
      </c>
      <c r="J279" s="47" t="s">
        <v>89</v>
      </c>
      <c r="K279" s="68" t="s">
        <v>84</v>
      </c>
      <c r="L279" s="26" t="s">
        <v>2944</v>
      </c>
      <c r="M279" s="2" t="s">
        <v>2945</v>
      </c>
      <c r="N279" s="28">
        <v>401684391.59663868</v>
      </c>
      <c r="O279" s="28">
        <v>76320034.40336135</v>
      </c>
      <c r="P279" s="36">
        <v>478004426</v>
      </c>
      <c r="Q279" s="70" t="s">
        <v>302</v>
      </c>
      <c r="R279" s="3"/>
      <c r="S279" s="28">
        <f>+Tabla15133[[#This Row],[VALOR TOTAL DEL CONTRATO
(en pesos)
CON IVA
(inicial)]]+Tabla15133[[#This Row],[VALOR DE LAS ADICIONES
(en pesos)
CON IVA]]</f>
        <v>478004426</v>
      </c>
      <c r="T279" s="37">
        <v>729</v>
      </c>
      <c r="U279" s="70" t="s">
        <v>302</v>
      </c>
      <c r="V279" s="101"/>
      <c r="W279" s="70" t="s">
        <v>302</v>
      </c>
      <c r="X279" s="70"/>
      <c r="Y279" s="65">
        <v>45717</v>
      </c>
      <c r="Z279" s="65">
        <v>46446</v>
      </c>
      <c r="AA279" s="65">
        <v>46446</v>
      </c>
      <c r="AB279" s="64" t="s">
        <v>303</v>
      </c>
      <c r="AC279" s="71"/>
      <c r="AD279" s="70"/>
      <c r="AE279" s="30">
        <v>0.42</v>
      </c>
      <c r="AF279" s="30">
        <v>0.5</v>
      </c>
      <c r="AG279" s="31">
        <v>239002213</v>
      </c>
      <c r="AH279" s="154"/>
      <c r="AI279" s="32" t="s">
        <v>3877</v>
      </c>
      <c r="AJ279" s="44">
        <v>2024</v>
      </c>
      <c r="AL279" s="2"/>
    </row>
    <row r="280" spans="1:38" ht="29" x14ac:dyDescent="0.35">
      <c r="A280" s="43" t="s">
        <v>306</v>
      </c>
      <c r="B280" s="2" t="s">
        <v>333</v>
      </c>
      <c r="C280" s="26" t="s">
        <v>63</v>
      </c>
      <c r="D280" s="27">
        <v>6650</v>
      </c>
      <c r="E280" s="2" t="s">
        <v>300</v>
      </c>
      <c r="F280" s="74" t="s">
        <v>3878</v>
      </c>
      <c r="G280" s="65">
        <v>45611</v>
      </c>
      <c r="H280" s="26" t="s">
        <v>150</v>
      </c>
      <c r="I280" s="67" t="s">
        <v>3626</v>
      </c>
      <c r="J280" s="47" t="s">
        <v>89</v>
      </c>
      <c r="K280" s="68" t="s">
        <v>84</v>
      </c>
      <c r="L280" s="26" t="s">
        <v>1668</v>
      </c>
      <c r="M280" s="2" t="s">
        <v>3879</v>
      </c>
      <c r="N280" s="36">
        <v>178500000</v>
      </c>
      <c r="O280" s="143">
        <v>0</v>
      </c>
      <c r="P280" s="36">
        <v>178500000</v>
      </c>
      <c r="Q280" s="70" t="s">
        <v>302</v>
      </c>
      <c r="R280" s="3"/>
      <c r="S280" s="28">
        <f>+Tabla15133[[#This Row],[VALOR TOTAL DEL CONTRATO
(en pesos)
CON IVA
(inicial)]]+Tabla15133[[#This Row],[VALOR DE LAS ADICIONES
(en pesos)
CON IVA]]</f>
        <v>178500000</v>
      </c>
      <c r="T280" s="37">
        <v>365</v>
      </c>
      <c r="U280" s="70" t="s">
        <v>302</v>
      </c>
      <c r="V280" s="101"/>
      <c r="W280" s="70" t="s">
        <v>302</v>
      </c>
      <c r="X280" s="70"/>
      <c r="Y280" s="65">
        <v>45611</v>
      </c>
      <c r="Z280" s="65">
        <v>45976</v>
      </c>
      <c r="AA280" s="65">
        <v>45976</v>
      </c>
      <c r="AB280" s="64" t="s">
        <v>325</v>
      </c>
      <c r="AC280" s="71"/>
      <c r="AD280" s="70" t="s">
        <v>321</v>
      </c>
      <c r="AE280" s="30">
        <v>0.1666</v>
      </c>
      <c r="AF280" s="30">
        <v>0.1666</v>
      </c>
      <c r="AG280" s="31">
        <v>29734550</v>
      </c>
      <c r="AH280" s="154"/>
      <c r="AI280" s="32" t="s">
        <v>3880</v>
      </c>
      <c r="AJ280" s="44">
        <v>2024</v>
      </c>
      <c r="AL280" s="2"/>
    </row>
    <row r="281" spans="1:38" ht="29" x14ac:dyDescent="0.35">
      <c r="A281" s="43" t="s">
        <v>306</v>
      </c>
      <c r="B281" s="2" t="s">
        <v>11</v>
      </c>
      <c r="C281" s="26" t="s">
        <v>19</v>
      </c>
      <c r="D281" s="27">
        <v>6680</v>
      </c>
      <c r="E281" s="2" t="s">
        <v>300</v>
      </c>
      <c r="F281" s="74" t="s">
        <v>3881</v>
      </c>
      <c r="G281" s="65">
        <v>45611</v>
      </c>
      <c r="H281" s="26" t="s">
        <v>150</v>
      </c>
      <c r="I281" s="67" t="s">
        <v>3882</v>
      </c>
      <c r="J281" s="47" t="s">
        <v>89</v>
      </c>
      <c r="K281" s="68" t="s">
        <v>84</v>
      </c>
      <c r="L281" s="26" t="s">
        <v>1666</v>
      </c>
      <c r="M281" s="2" t="s">
        <v>427</v>
      </c>
      <c r="N281" s="145">
        <v>48184547</v>
      </c>
      <c r="O281" s="143">
        <v>9155064</v>
      </c>
      <c r="P281" s="29">
        <v>57339611</v>
      </c>
      <c r="Q281" s="70" t="s">
        <v>302</v>
      </c>
      <c r="R281" s="3"/>
      <c r="S281" s="28">
        <f>+Tabla15133[[#This Row],[VALOR TOTAL DEL CONTRATO
(en pesos)
CON IVA
(inicial)]]+Tabla15133[[#This Row],[VALOR DE LAS ADICIONES
(en pesos)
CON IVA]]</f>
        <v>57339611</v>
      </c>
      <c r="T281" s="37">
        <v>46</v>
      </c>
      <c r="U281" s="70" t="s">
        <v>302</v>
      </c>
      <c r="V281" s="101"/>
      <c r="W281" s="70" t="s">
        <v>302</v>
      </c>
      <c r="X281" s="70"/>
      <c r="Y281" s="65">
        <v>45611</v>
      </c>
      <c r="Z281" s="65">
        <v>45657</v>
      </c>
      <c r="AA281" s="65">
        <v>45657</v>
      </c>
      <c r="AB281" s="64" t="s">
        <v>323</v>
      </c>
      <c r="AC281" s="71">
        <v>45775</v>
      </c>
      <c r="AD281" s="71" t="s">
        <v>321</v>
      </c>
      <c r="AE281" s="30">
        <v>1</v>
      </c>
      <c r="AF281" s="30">
        <v>1</v>
      </c>
      <c r="AG281" s="31">
        <v>57339611</v>
      </c>
      <c r="AH281" s="154"/>
      <c r="AI281" s="32" t="s">
        <v>3883</v>
      </c>
      <c r="AJ281" s="44">
        <v>2024</v>
      </c>
      <c r="AL281" s="2"/>
    </row>
    <row r="282" spans="1:38" ht="58" x14ac:dyDescent="0.35">
      <c r="A282" s="43" t="s">
        <v>306</v>
      </c>
      <c r="B282" s="2" t="s">
        <v>298</v>
      </c>
      <c r="C282" s="26" t="s">
        <v>25</v>
      </c>
      <c r="D282" s="27">
        <v>6502</v>
      </c>
      <c r="E282" s="2" t="s">
        <v>324</v>
      </c>
      <c r="F282" s="74" t="s">
        <v>3884</v>
      </c>
      <c r="G282" s="65">
        <v>45621</v>
      </c>
      <c r="H282" s="26" t="s">
        <v>3885</v>
      </c>
      <c r="I282" s="67" t="s">
        <v>3886</v>
      </c>
      <c r="J282" s="47" t="s">
        <v>95</v>
      </c>
      <c r="K282" s="68" t="s">
        <v>84</v>
      </c>
      <c r="L282" s="26" t="s">
        <v>3887</v>
      </c>
      <c r="M282" s="2" t="s">
        <v>3888</v>
      </c>
      <c r="N282" s="143">
        <v>16943823060</v>
      </c>
      <c r="O282" s="143">
        <v>3219326381</v>
      </c>
      <c r="P282" s="36">
        <v>20163149441</v>
      </c>
      <c r="Q282" s="70" t="s">
        <v>302</v>
      </c>
      <c r="R282" s="3"/>
      <c r="S282" s="28">
        <f>+Tabla15133[[#This Row],[VALOR TOTAL DEL CONTRATO
(en pesos)
CON IVA
(inicial)]]+Tabla15133[[#This Row],[VALOR DE LAS ADICIONES
(en pesos)
CON IVA]]</f>
        <v>20163149441</v>
      </c>
      <c r="T282" s="37">
        <v>1095</v>
      </c>
      <c r="U282" s="70" t="s">
        <v>302</v>
      </c>
      <c r="V282" s="101"/>
      <c r="W282" s="70" t="s">
        <v>302</v>
      </c>
      <c r="X282" s="70"/>
      <c r="Y282" s="65">
        <v>45621</v>
      </c>
      <c r="Z282" s="65">
        <v>46716</v>
      </c>
      <c r="AA282" s="65">
        <v>46716</v>
      </c>
      <c r="AB282" s="64" t="s">
        <v>303</v>
      </c>
      <c r="AC282" s="71"/>
      <c r="AD282" s="70"/>
      <c r="AE282" s="61">
        <v>0.36</v>
      </c>
      <c r="AF282" s="61">
        <v>0.33</v>
      </c>
      <c r="AG282" s="62">
        <v>6622266693</v>
      </c>
      <c r="AH282" s="154"/>
      <c r="AI282" s="32" t="s">
        <v>3889</v>
      </c>
      <c r="AJ282" s="44">
        <v>2024</v>
      </c>
      <c r="AL282" s="2"/>
    </row>
    <row r="283" spans="1:38" ht="43.5" x14ac:dyDescent="0.35">
      <c r="A283" s="43" t="s">
        <v>306</v>
      </c>
      <c r="B283" s="2" t="s">
        <v>31</v>
      </c>
      <c r="C283" s="26" t="s">
        <v>424</v>
      </c>
      <c r="D283" s="27">
        <v>6691</v>
      </c>
      <c r="E283" s="2" t="s">
        <v>300</v>
      </c>
      <c r="F283" s="74" t="s">
        <v>3890</v>
      </c>
      <c r="G283" s="65">
        <v>45622</v>
      </c>
      <c r="H283" s="26" t="s">
        <v>150</v>
      </c>
      <c r="I283" s="67" t="s">
        <v>3891</v>
      </c>
      <c r="J283" s="47" t="s">
        <v>89</v>
      </c>
      <c r="K283" s="68" t="s">
        <v>84</v>
      </c>
      <c r="L283" s="26" t="s">
        <v>2944</v>
      </c>
      <c r="M283" s="2" t="s">
        <v>2945</v>
      </c>
      <c r="N283" s="28">
        <v>17170386.554621849</v>
      </c>
      <c r="O283" s="28">
        <v>3262373.4453781513</v>
      </c>
      <c r="P283" s="36">
        <v>20432760</v>
      </c>
      <c r="Q283" s="70" t="s">
        <v>302</v>
      </c>
      <c r="R283" s="3"/>
      <c r="S283" s="28">
        <f>+Tabla15133[[#This Row],[VALOR TOTAL DEL CONTRATO
(en pesos)
CON IVA
(inicial)]]+Tabla15133[[#This Row],[VALOR DE LAS ADICIONES
(en pesos)
CON IVA]]</f>
        <v>20432760</v>
      </c>
      <c r="T283" s="37">
        <v>729</v>
      </c>
      <c r="U283" s="70" t="s">
        <v>302</v>
      </c>
      <c r="V283" s="101"/>
      <c r="W283" s="70" t="s">
        <v>302</v>
      </c>
      <c r="X283" s="70"/>
      <c r="Y283" s="65">
        <v>45642</v>
      </c>
      <c r="Z283" s="65">
        <v>46371</v>
      </c>
      <c r="AA283" s="65">
        <v>46371</v>
      </c>
      <c r="AB283" s="64" t="s">
        <v>303</v>
      </c>
      <c r="AC283" s="71"/>
      <c r="AD283" s="70"/>
      <c r="AE283" s="30">
        <v>0.5</v>
      </c>
      <c r="AF283" s="30">
        <v>1</v>
      </c>
      <c r="AG283" s="31">
        <v>20432760</v>
      </c>
      <c r="AH283" s="154"/>
      <c r="AI283" s="32" t="s">
        <v>3892</v>
      </c>
      <c r="AJ283" s="44">
        <v>2024</v>
      </c>
      <c r="AL283" s="2"/>
    </row>
    <row r="284" spans="1:38" ht="58" x14ac:dyDescent="0.35">
      <c r="A284" s="43" t="s">
        <v>306</v>
      </c>
      <c r="B284" s="2" t="s">
        <v>329</v>
      </c>
      <c r="C284" s="26" t="s">
        <v>406</v>
      </c>
      <c r="D284" s="27">
        <v>6688</v>
      </c>
      <c r="E284" s="2" t="s">
        <v>300</v>
      </c>
      <c r="F284" s="74" t="s">
        <v>3893</v>
      </c>
      <c r="G284" s="65">
        <v>45622</v>
      </c>
      <c r="H284" s="26" t="s">
        <v>150</v>
      </c>
      <c r="I284" s="67" t="s">
        <v>3894</v>
      </c>
      <c r="J284" s="47" t="s">
        <v>89</v>
      </c>
      <c r="K284" s="68" t="s">
        <v>84</v>
      </c>
      <c r="L284" s="26" t="s">
        <v>3146</v>
      </c>
      <c r="M284" s="2" t="s">
        <v>3147</v>
      </c>
      <c r="N284" s="28">
        <v>1500000000</v>
      </c>
      <c r="O284" s="143">
        <v>0</v>
      </c>
      <c r="P284" s="36">
        <v>1500000000</v>
      </c>
      <c r="Q284" s="70" t="s">
        <v>302</v>
      </c>
      <c r="R284" s="3"/>
      <c r="S284" s="28">
        <f>+Tabla15133[[#This Row],[VALOR TOTAL DEL CONTRATO
(en pesos)
CON IVA
(inicial)]]+Tabla15133[[#This Row],[VALOR DE LAS ADICIONES
(en pesos)
CON IVA]]</f>
        <v>1500000000</v>
      </c>
      <c r="T284" s="37">
        <v>365</v>
      </c>
      <c r="U284" s="70" t="s">
        <v>302</v>
      </c>
      <c r="V284" s="101"/>
      <c r="W284" s="70" t="s">
        <v>302</v>
      </c>
      <c r="X284" s="70"/>
      <c r="Y284" s="65">
        <v>45671</v>
      </c>
      <c r="Z284" s="65">
        <v>46036</v>
      </c>
      <c r="AA284" s="65">
        <v>46036</v>
      </c>
      <c r="AB284" s="64" t="s">
        <v>303</v>
      </c>
      <c r="AC284" s="71"/>
      <c r="AD284" s="70"/>
      <c r="AE284" s="30">
        <v>0.87670000000000003</v>
      </c>
      <c r="AF284" s="30">
        <v>0.7984</v>
      </c>
      <c r="AG284" s="31">
        <v>1197580645</v>
      </c>
      <c r="AH284" s="154"/>
      <c r="AI284" s="32" t="s">
        <v>3895</v>
      </c>
      <c r="AJ284" s="44">
        <v>2024</v>
      </c>
      <c r="AL284" s="2"/>
    </row>
    <row r="285" spans="1:38" ht="52" x14ac:dyDescent="0.35">
      <c r="A285" s="43" t="s">
        <v>306</v>
      </c>
      <c r="B285" s="2" t="s">
        <v>298</v>
      </c>
      <c r="C285" s="26" t="s">
        <v>27</v>
      </c>
      <c r="D285" s="27" t="s">
        <v>3896</v>
      </c>
      <c r="E285" s="2" t="s">
        <v>324</v>
      </c>
      <c r="F285" s="74" t="s">
        <v>3897</v>
      </c>
      <c r="G285" s="65">
        <v>45622</v>
      </c>
      <c r="H285" s="26" t="s">
        <v>150</v>
      </c>
      <c r="I285" s="67" t="s">
        <v>3898</v>
      </c>
      <c r="J285" s="47" t="s">
        <v>89</v>
      </c>
      <c r="K285" s="68" t="s">
        <v>84</v>
      </c>
      <c r="L285" s="26" t="s">
        <v>1488</v>
      </c>
      <c r="M285" s="2" t="s">
        <v>347</v>
      </c>
      <c r="N285" s="145">
        <v>3244634348</v>
      </c>
      <c r="O285" s="143">
        <v>616480523</v>
      </c>
      <c r="P285" s="29">
        <v>3861114871</v>
      </c>
      <c r="Q285" s="70" t="s">
        <v>301</v>
      </c>
      <c r="R285" s="3">
        <f>667381293+624750000</f>
        <v>1292131293</v>
      </c>
      <c r="S285" s="28">
        <f>+Tabla15133[[#This Row],[VALOR TOTAL DEL CONTRATO
(en pesos)
CON IVA
(inicial)]]+Tabla15133[[#This Row],[VALOR DE LAS ADICIONES
(en pesos)
CON IVA]]</f>
        <v>5153246164</v>
      </c>
      <c r="T285" s="37">
        <v>547</v>
      </c>
      <c r="U285" s="70" t="s">
        <v>302</v>
      </c>
      <c r="V285" s="101"/>
      <c r="W285" s="70" t="s">
        <v>302</v>
      </c>
      <c r="X285" s="70"/>
      <c r="Y285" s="65">
        <v>45627</v>
      </c>
      <c r="Z285" s="65">
        <v>46174</v>
      </c>
      <c r="AA285" s="65">
        <v>46174</v>
      </c>
      <c r="AB285" s="64" t="s">
        <v>303</v>
      </c>
      <c r="AC285" s="71"/>
      <c r="AD285" s="70"/>
      <c r="AE285" s="61">
        <v>0.81</v>
      </c>
      <c r="AF285" s="61">
        <v>0.81</v>
      </c>
      <c r="AG285" s="62">
        <v>4195037952.4158001</v>
      </c>
      <c r="AH285" s="154" t="s">
        <v>3899</v>
      </c>
      <c r="AI285" s="171" t="s">
        <v>3900</v>
      </c>
      <c r="AJ285" s="44">
        <v>2024</v>
      </c>
      <c r="AL285" s="2"/>
    </row>
    <row r="286" spans="1:38" ht="60" customHeight="1" x14ac:dyDescent="0.35">
      <c r="A286" s="43" t="s">
        <v>306</v>
      </c>
      <c r="B286" s="2" t="s">
        <v>31</v>
      </c>
      <c r="C286" s="26" t="s">
        <v>3901</v>
      </c>
      <c r="D286" s="27" t="s">
        <v>3902</v>
      </c>
      <c r="E286" s="2" t="s">
        <v>300</v>
      </c>
      <c r="F286" s="74" t="s">
        <v>3903</v>
      </c>
      <c r="G286" s="65">
        <v>45624</v>
      </c>
      <c r="H286" s="26" t="s">
        <v>150</v>
      </c>
      <c r="I286" s="67" t="s">
        <v>3904</v>
      </c>
      <c r="J286" s="47" t="s">
        <v>89</v>
      </c>
      <c r="K286" s="68" t="s">
        <v>84</v>
      </c>
      <c r="L286" s="26" t="s">
        <v>1585</v>
      </c>
      <c r="M286" s="2" t="s">
        <v>330</v>
      </c>
      <c r="N286" s="28">
        <v>54621848.739495799</v>
      </c>
      <c r="O286" s="28">
        <v>10378151.260504201</v>
      </c>
      <c r="P286" s="36">
        <v>65000000</v>
      </c>
      <c r="Q286" s="70" t="s">
        <v>302</v>
      </c>
      <c r="R286" s="3"/>
      <c r="S286" s="28">
        <f>+Tabla15133[[#This Row],[VALOR TOTAL DEL CONTRATO
(en pesos)
CON IVA
(inicial)]]+Tabla15133[[#This Row],[VALOR DE LAS ADICIONES
(en pesos)
CON IVA]]</f>
        <v>65000000</v>
      </c>
      <c r="T286" s="37">
        <v>365</v>
      </c>
      <c r="U286" s="70" t="s">
        <v>302</v>
      </c>
      <c r="V286" s="101"/>
      <c r="W286" s="70" t="s">
        <v>302</v>
      </c>
      <c r="X286" s="70"/>
      <c r="Y286" s="65">
        <v>45624</v>
      </c>
      <c r="Z286" s="65">
        <v>45989</v>
      </c>
      <c r="AA286" s="65">
        <v>45989</v>
      </c>
      <c r="AB286" s="64" t="s">
        <v>325</v>
      </c>
      <c r="AC286" s="71"/>
      <c r="AD286" s="70" t="s">
        <v>321</v>
      </c>
      <c r="AE286" s="30">
        <v>0.91669999999999996</v>
      </c>
      <c r="AF286" s="30">
        <v>0.8851</v>
      </c>
      <c r="AG286" s="31">
        <v>57330788</v>
      </c>
      <c r="AH286" s="154" t="s">
        <v>3905</v>
      </c>
      <c r="AI286" s="119" t="s">
        <v>3906</v>
      </c>
      <c r="AJ286" s="44">
        <v>2024</v>
      </c>
      <c r="AL286" s="2"/>
    </row>
    <row r="287" spans="1:38" ht="43.5" x14ac:dyDescent="0.35">
      <c r="A287" s="43" t="s">
        <v>306</v>
      </c>
      <c r="B287" s="2" t="s">
        <v>298</v>
      </c>
      <c r="C287" s="26" t="s">
        <v>418</v>
      </c>
      <c r="D287" s="27">
        <v>6642</v>
      </c>
      <c r="E287" s="2" t="s">
        <v>300</v>
      </c>
      <c r="F287" s="74" t="s">
        <v>3907</v>
      </c>
      <c r="G287" s="65">
        <v>45644</v>
      </c>
      <c r="H287" s="26" t="s">
        <v>150</v>
      </c>
      <c r="I287" s="67" t="s">
        <v>3908</v>
      </c>
      <c r="J287" s="47" t="s">
        <v>89</v>
      </c>
      <c r="K287" s="68" t="s">
        <v>84</v>
      </c>
      <c r="L287" s="26" t="s">
        <v>1686</v>
      </c>
      <c r="M287" s="2" t="s">
        <v>3909</v>
      </c>
      <c r="N287" s="143">
        <v>11710150</v>
      </c>
      <c r="O287" s="143">
        <v>2224929</v>
      </c>
      <c r="P287" s="36">
        <v>13935079</v>
      </c>
      <c r="Q287" s="70" t="s">
        <v>302</v>
      </c>
      <c r="R287" s="3"/>
      <c r="S287" s="28">
        <f>+Tabla15133[[#This Row],[VALOR TOTAL DEL CONTRATO
(en pesos)
CON IVA
(inicial)]]+Tabla15133[[#This Row],[VALOR DE LAS ADICIONES
(en pesos)
CON IVA]]</f>
        <v>13935079</v>
      </c>
      <c r="T287" s="37">
        <v>365</v>
      </c>
      <c r="U287" s="70" t="s">
        <v>302</v>
      </c>
      <c r="V287" s="101"/>
      <c r="W287" s="70" t="s">
        <v>302</v>
      </c>
      <c r="X287" s="70"/>
      <c r="Y287" s="65">
        <v>45644</v>
      </c>
      <c r="Z287" s="65">
        <v>46009</v>
      </c>
      <c r="AA287" s="65">
        <v>46009</v>
      </c>
      <c r="AB287" s="64" t="s">
        <v>325</v>
      </c>
      <c r="AC287" s="71"/>
      <c r="AD287" s="70" t="s">
        <v>321</v>
      </c>
      <c r="AE287" s="61">
        <v>1</v>
      </c>
      <c r="AF287" s="61">
        <v>1</v>
      </c>
      <c r="AG287" s="62">
        <v>13935076.119999999</v>
      </c>
      <c r="AH287" s="154"/>
      <c r="AI287" s="32" t="s">
        <v>3910</v>
      </c>
      <c r="AJ287" s="44">
        <v>2024</v>
      </c>
      <c r="AL287" s="2"/>
    </row>
    <row r="288" spans="1:38" ht="72.5" x14ac:dyDescent="0.35">
      <c r="A288" s="43" t="s">
        <v>306</v>
      </c>
      <c r="B288" s="2" t="s">
        <v>11</v>
      </c>
      <c r="C288" s="26" t="s">
        <v>19</v>
      </c>
      <c r="D288" s="27">
        <v>6672</v>
      </c>
      <c r="E288" s="2" t="s">
        <v>300</v>
      </c>
      <c r="F288" s="74" t="s">
        <v>3911</v>
      </c>
      <c r="G288" s="65">
        <v>45645</v>
      </c>
      <c r="H288" s="26" t="s">
        <v>142</v>
      </c>
      <c r="I288" s="67" t="s">
        <v>3912</v>
      </c>
      <c r="J288" s="47" t="s">
        <v>89</v>
      </c>
      <c r="K288" s="68" t="s">
        <v>84</v>
      </c>
      <c r="L288" s="26" t="s">
        <v>2699</v>
      </c>
      <c r="M288" s="2" t="s">
        <v>3913</v>
      </c>
      <c r="N288" s="28">
        <v>51579779</v>
      </c>
      <c r="O288" s="28">
        <v>9800159</v>
      </c>
      <c r="P288" s="36">
        <v>61379938</v>
      </c>
      <c r="Q288" s="70" t="s">
        <v>302</v>
      </c>
      <c r="R288" s="3"/>
      <c r="S288" s="28">
        <f>+Tabla15133[[#This Row],[VALOR TOTAL DEL CONTRATO
(en pesos)
CON IVA
(inicial)]]+Tabla15133[[#This Row],[VALOR DE LAS ADICIONES
(en pesos)
CON IVA]]</f>
        <v>61379938</v>
      </c>
      <c r="T288" s="37">
        <v>1826</v>
      </c>
      <c r="U288" s="70" t="s">
        <v>302</v>
      </c>
      <c r="V288" s="101"/>
      <c r="W288" s="70" t="s">
        <v>302</v>
      </c>
      <c r="X288" s="70"/>
      <c r="Y288" s="65">
        <v>45645</v>
      </c>
      <c r="Z288" s="65">
        <v>47471</v>
      </c>
      <c r="AA288" s="65">
        <v>47471</v>
      </c>
      <c r="AB288" s="64" t="s">
        <v>303</v>
      </c>
      <c r="AC288" s="71"/>
      <c r="AD288" s="70"/>
      <c r="AE288" s="30">
        <v>0.19600000000000001</v>
      </c>
      <c r="AF288" s="30">
        <v>0.18809999999999999</v>
      </c>
      <c r="AG288" s="31">
        <v>11543000</v>
      </c>
      <c r="AH288" s="154"/>
      <c r="AI288" s="32" t="s">
        <v>3914</v>
      </c>
      <c r="AJ288" s="44">
        <v>2024</v>
      </c>
      <c r="AL288" s="2"/>
    </row>
    <row r="289" spans="1:38" ht="43.5" x14ac:dyDescent="0.35">
      <c r="A289" s="43" t="s">
        <v>306</v>
      </c>
      <c r="B289" s="2" t="s">
        <v>31</v>
      </c>
      <c r="C289" s="26" t="s">
        <v>35</v>
      </c>
      <c r="D289" s="27">
        <v>6676</v>
      </c>
      <c r="E289" s="2" t="s">
        <v>300</v>
      </c>
      <c r="F289" s="74" t="s">
        <v>3915</v>
      </c>
      <c r="G289" s="65">
        <v>45646</v>
      </c>
      <c r="H289" s="26" t="s">
        <v>150</v>
      </c>
      <c r="I289" s="67" t="s">
        <v>3916</v>
      </c>
      <c r="J289" s="47" t="s">
        <v>89</v>
      </c>
      <c r="K289" s="68" t="s">
        <v>84</v>
      </c>
      <c r="L289" s="26" t="s">
        <v>2900</v>
      </c>
      <c r="M289" s="2" t="s">
        <v>3917</v>
      </c>
      <c r="N289" s="28">
        <v>29395373.109243698</v>
      </c>
      <c r="O289" s="28">
        <v>5585120.8907563025</v>
      </c>
      <c r="P289" s="36">
        <v>34980494</v>
      </c>
      <c r="Q289" s="70" t="s">
        <v>302</v>
      </c>
      <c r="R289" s="3"/>
      <c r="S289" s="28">
        <f>+Tabla15133[[#This Row],[VALOR TOTAL DEL CONTRATO
(en pesos)
CON IVA
(inicial)]]+Tabla15133[[#This Row],[VALOR DE LAS ADICIONES
(en pesos)
CON IVA]]</f>
        <v>34980494</v>
      </c>
      <c r="T289" s="37">
        <v>730</v>
      </c>
      <c r="U289" s="70" t="s">
        <v>302</v>
      </c>
      <c r="V289" s="101"/>
      <c r="W289" s="70" t="s">
        <v>302</v>
      </c>
      <c r="X289" s="70"/>
      <c r="Y289" s="65">
        <v>45646</v>
      </c>
      <c r="Z289" s="65">
        <v>46376</v>
      </c>
      <c r="AA289" s="65">
        <v>46376</v>
      </c>
      <c r="AB289" s="64" t="s">
        <v>303</v>
      </c>
      <c r="AC289" s="71"/>
      <c r="AD289" s="70"/>
      <c r="AE289" s="30">
        <v>0.41670000000000001</v>
      </c>
      <c r="AF289" s="30">
        <v>0.25</v>
      </c>
      <c r="AG289" s="31">
        <v>8745124</v>
      </c>
      <c r="AH289" s="154"/>
      <c r="AI289" s="32" t="s">
        <v>1414</v>
      </c>
      <c r="AJ289" s="44">
        <v>2024</v>
      </c>
      <c r="AL289" s="2"/>
    </row>
    <row r="290" spans="1:38" ht="29" x14ac:dyDescent="0.35">
      <c r="A290" s="43" t="s">
        <v>306</v>
      </c>
      <c r="B290" s="2" t="s">
        <v>4</v>
      </c>
      <c r="C290" s="26" t="s">
        <v>352</v>
      </c>
      <c r="D290" s="27">
        <v>6778</v>
      </c>
      <c r="E290" s="2" t="s">
        <v>300</v>
      </c>
      <c r="F290" s="74" t="s">
        <v>3918</v>
      </c>
      <c r="G290" s="65">
        <v>45652</v>
      </c>
      <c r="H290" s="26" t="s">
        <v>150</v>
      </c>
      <c r="I290" s="67" t="s">
        <v>3919</v>
      </c>
      <c r="J290" s="47" t="s">
        <v>89</v>
      </c>
      <c r="K290" s="68" t="s">
        <v>84</v>
      </c>
      <c r="L290" s="26" t="s">
        <v>1585</v>
      </c>
      <c r="M290" s="2" t="s">
        <v>330</v>
      </c>
      <c r="N290" s="143">
        <v>397453510</v>
      </c>
      <c r="O290" s="143">
        <v>75516166</v>
      </c>
      <c r="P290" s="36">
        <v>472969676</v>
      </c>
      <c r="Q290" s="70" t="s">
        <v>302</v>
      </c>
      <c r="R290" s="3"/>
      <c r="S290" s="28">
        <f>+Tabla15133[[#This Row],[VALOR TOTAL DEL CONTRATO
(en pesos)
CON IVA
(inicial)]]+Tabla15133[[#This Row],[VALOR DE LAS ADICIONES
(en pesos)
CON IVA]]</f>
        <v>472969676</v>
      </c>
      <c r="T290" s="37">
        <v>730</v>
      </c>
      <c r="U290" s="70" t="s">
        <v>302</v>
      </c>
      <c r="V290" s="101"/>
      <c r="W290" s="70" t="s">
        <v>302</v>
      </c>
      <c r="X290" s="70"/>
      <c r="Y290" s="65">
        <v>45652</v>
      </c>
      <c r="Z290" s="65">
        <v>46382</v>
      </c>
      <c r="AA290" s="65">
        <v>46382</v>
      </c>
      <c r="AB290" s="64" t="s">
        <v>303</v>
      </c>
      <c r="AC290" s="71"/>
      <c r="AD290" s="70"/>
      <c r="AE290" s="61">
        <v>0.49</v>
      </c>
      <c r="AF290" s="61">
        <v>0.4</v>
      </c>
      <c r="AG290" s="62">
        <v>188978584</v>
      </c>
      <c r="AH290" s="154"/>
      <c r="AI290" s="32" t="s">
        <v>3920</v>
      </c>
      <c r="AJ290" s="44">
        <v>2024</v>
      </c>
      <c r="AL290" s="2"/>
    </row>
    <row r="291" spans="1:38" ht="87" x14ac:dyDescent="0.35">
      <c r="A291" s="43" t="s">
        <v>306</v>
      </c>
      <c r="B291" s="2" t="s">
        <v>31</v>
      </c>
      <c r="C291" s="26" t="s">
        <v>336</v>
      </c>
      <c r="D291" s="27">
        <v>6693</v>
      </c>
      <c r="E291" s="2" t="s">
        <v>300</v>
      </c>
      <c r="F291" s="74" t="s">
        <v>3921</v>
      </c>
      <c r="G291" s="65">
        <v>45652</v>
      </c>
      <c r="H291" s="26" t="s">
        <v>150</v>
      </c>
      <c r="I291" s="67" t="s">
        <v>3922</v>
      </c>
      <c r="J291" s="47" t="s">
        <v>89</v>
      </c>
      <c r="K291" s="68" t="s">
        <v>84</v>
      </c>
      <c r="L291" s="26" t="s">
        <v>1640</v>
      </c>
      <c r="M291" s="2" t="s">
        <v>3923</v>
      </c>
      <c r="N291" s="143">
        <v>15850000</v>
      </c>
      <c r="O291" s="143">
        <v>0</v>
      </c>
      <c r="P291" s="36">
        <v>15850000</v>
      </c>
      <c r="Q291" s="70" t="s">
        <v>302</v>
      </c>
      <c r="R291" s="3"/>
      <c r="S291" s="28">
        <f>+Tabla15133[[#This Row],[VALOR TOTAL DEL CONTRATO
(en pesos)
CON IVA
(inicial)]]+Tabla15133[[#This Row],[VALOR DE LAS ADICIONES
(en pesos)
CON IVA]]</f>
        <v>15850000</v>
      </c>
      <c r="T291" s="37">
        <v>365</v>
      </c>
      <c r="U291" s="70" t="s">
        <v>302</v>
      </c>
      <c r="V291" s="101"/>
      <c r="W291" s="70" t="s">
        <v>302</v>
      </c>
      <c r="X291" s="70"/>
      <c r="Y291" s="65">
        <v>45653</v>
      </c>
      <c r="Z291" s="65">
        <v>46018</v>
      </c>
      <c r="AA291" s="65">
        <v>46018</v>
      </c>
      <c r="AB291" s="64" t="s">
        <v>325</v>
      </c>
      <c r="AC291" s="71"/>
      <c r="AD291" s="70" t="s">
        <v>321</v>
      </c>
      <c r="AE291" s="30">
        <v>1</v>
      </c>
      <c r="AF291" s="30">
        <v>1</v>
      </c>
      <c r="AG291" s="31">
        <v>15850000</v>
      </c>
      <c r="AH291" s="154"/>
      <c r="AI291" s="32" t="s">
        <v>3924</v>
      </c>
      <c r="AJ291" s="44">
        <v>2024</v>
      </c>
      <c r="AL291" s="2"/>
    </row>
    <row r="292" spans="1:38" ht="130.5" x14ac:dyDescent="0.35">
      <c r="A292" s="43" t="s">
        <v>306</v>
      </c>
      <c r="B292" s="2" t="s">
        <v>327</v>
      </c>
      <c r="C292" s="26" t="s">
        <v>3925</v>
      </c>
      <c r="D292" s="27">
        <v>6665</v>
      </c>
      <c r="E292" s="2" t="s">
        <v>300</v>
      </c>
      <c r="F292" s="74" t="s">
        <v>3926</v>
      </c>
      <c r="G292" s="65">
        <v>45657</v>
      </c>
      <c r="H292" s="26" t="s">
        <v>150</v>
      </c>
      <c r="I292" s="67" t="s">
        <v>3927</v>
      </c>
      <c r="J292" s="47" t="s">
        <v>89</v>
      </c>
      <c r="K292" s="68" t="s">
        <v>84</v>
      </c>
      <c r="L292" s="26" t="s">
        <v>2972</v>
      </c>
      <c r="M292" s="2" t="s">
        <v>3928</v>
      </c>
      <c r="N292" s="145">
        <v>199053305</v>
      </c>
      <c r="O292" s="143">
        <v>37820128</v>
      </c>
      <c r="P292" s="29">
        <v>236873433</v>
      </c>
      <c r="Q292" s="70" t="s">
        <v>302</v>
      </c>
      <c r="R292" s="3"/>
      <c r="S292" s="28">
        <f>+Tabla15133[[#This Row],[VALOR TOTAL DEL CONTRATO
(en pesos)
CON IVA
(inicial)]]+Tabla15133[[#This Row],[VALOR DE LAS ADICIONES
(en pesos)
CON IVA]]</f>
        <v>236873433</v>
      </c>
      <c r="T292" s="37">
        <v>365</v>
      </c>
      <c r="U292" s="70" t="s">
        <v>301</v>
      </c>
      <c r="V292" s="101">
        <f>+Tabla15133[[#This Row],[FECHA TERMINACIÓN DEL CONTRATO
(inicial + prórroga)]]-Tabla15133[[#This Row],[FECHA TERMINACIÓN DEL CONTRATO
(inicial)]]</f>
        <v>365</v>
      </c>
      <c r="W292" s="70" t="s">
        <v>302</v>
      </c>
      <c r="X292" s="70"/>
      <c r="Y292" s="65">
        <v>45658</v>
      </c>
      <c r="Z292" s="65">
        <v>46023</v>
      </c>
      <c r="AA292" s="65">
        <v>46388</v>
      </c>
      <c r="AB292" s="64" t="s">
        <v>303</v>
      </c>
      <c r="AC292" s="71"/>
      <c r="AD292" s="70"/>
      <c r="AE292" s="61">
        <v>0.91669999999999996</v>
      </c>
      <c r="AF292" s="61">
        <v>0.13969999999999999</v>
      </c>
      <c r="AG292" s="62">
        <v>33083557.219999999</v>
      </c>
      <c r="AH292" s="154" t="s">
        <v>3929</v>
      </c>
      <c r="AI292" s="32" t="s">
        <v>3930</v>
      </c>
      <c r="AJ292" s="44">
        <v>2024</v>
      </c>
      <c r="AL292" s="2"/>
    </row>
    <row r="293" spans="1:38" ht="29" x14ac:dyDescent="0.35">
      <c r="A293" s="43" t="s">
        <v>306</v>
      </c>
      <c r="B293" s="2" t="s">
        <v>11</v>
      </c>
      <c r="C293" s="26" t="s">
        <v>12</v>
      </c>
      <c r="D293" s="27" t="s">
        <v>3931</v>
      </c>
      <c r="E293" s="2" t="s">
        <v>300</v>
      </c>
      <c r="F293" s="74" t="s">
        <v>3932</v>
      </c>
      <c r="G293" s="65">
        <v>45652</v>
      </c>
      <c r="H293" s="26" t="s">
        <v>160</v>
      </c>
      <c r="I293" s="67" t="s">
        <v>3933</v>
      </c>
      <c r="J293" s="47" t="s">
        <v>89</v>
      </c>
      <c r="K293" s="68" t="s">
        <v>84</v>
      </c>
      <c r="L293" s="26" t="s">
        <v>1689</v>
      </c>
      <c r="M293" s="2" t="s">
        <v>363</v>
      </c>
      <c r="N293" s="28">
        <v>79362003</v>
      </c>
      <c r="O293" s="143">
        <v>0</v>
      </c>
      <c r="P293" s="36">
        <v>79362003</v>
      </c>
      <c r="Q293" s="70" t="s">
        <v>301</v>
      </c>
      <c r="R293" s="3">
        <v>35000000</v>
      </c>
      <c r="S293" s="28">
        <f>+Tabla15133[[#This Row],[VALOR TOTAL DEL CONTRATO
(en pesos)
CON IVA
(inicial)]]+Tabla15133[[#This Row],[VALOR DE LAS ADICIONES
(en pesos)
CON IVA]]</f>
        <v>114362003</v>
      </c>
      <c r="T293" s="37">
        <v>364</v>
      </c>
      <c r="U293" s="70" t="s">
        <v>301</v>
      </c>
      <c r="V293" s="101">
        <f>+Tabla15133[[#This Row],[FECHA TERMINACIÓN DEL CONTRATO
(inicial + prórroga)]]-Tabla15133[[#This Row],[FECHA TERMINACIÓN DEL CONTRATO
(inicial)]]</f>
        <v>90</v>
      </c>
      <c r="W293" s="70" t="s">
        <v>302</v>
      </c>
      <c r="X293" s="70"/>
      <c r="Y293" s="65">
        <v>45658</v>
      </c>
      <c r="Z293" s="65">
        <v>46022</v>
      </c>
      <c r="AA293" s="65">
        <v>46112</v>
      </c>
      <c r="AB293" s="64" t="s">
        <v>303</v>
      </c>
      <c r="AC293" s="71"/>
      <c r="AD293" s="70"/>
      <c r="AE293" s="77">
        <v>0.8</v>
      </c>
      <c r="AF293" s="77">
        <v>0.69</v>
      </c>
      <c r="AG293" s="31">
        <v>79362003</v>
      </c>
      <c r="AH293" s="154" t="s">
        <v>3934</v>
      </c>
      <c r="AI293" s="32" t="s">
        <v>3935</v>
      </c>
      <c r="AJ293" s="44">
        <v>2024</v>
      </c>
      <c r="AL293" s="2"/>
    </row>
    <row r="294" spans="1:38" ht="58" x14ac:dyDescent="0.35">
      <c r="A294" s="43" t="s">
        <v>306</v>
      </c>
      <c r="B294" s="2" t="s">
        <v>11</v>
      </c>
      <c r="C294" s="26" t="s">
        <v>335</v>
      </c>
      <c r="D294" s="27">
        <v>6668</v>
      </c>
      <c r="E294" s="2" t="s">
        <v>300</v>
      </c>
      <c r="F294" s="74" t="s">
        <v>3936</v>
      </c>
      <c r="G294" s="65">
        <v>45649</v>
      </c>
      <c r="H294" s="26" t="s">
        <v>150</v>
      </c>
      <c r="I294" s="67" t="s">
        <v>3937</v>
      </c>
      <c r="J294" s="47" t="s">
        <v>89</v>
      </c>
      <c r="K294" s="68" t="s">
        <v>84</v>
      </c>
      <c r="L294" s="26" t="s">
        <v>2972</v>
      </c>
      <c r="M294" s="2" t="s">
        <v>3928</v>
      </c>
      <c r="N294" s="28">
        <v>51327323.52941177</v>
      </c>
      <c r="O294" s="28">
        <v>9752191.4705882296</v>
      </c>
      <c r="P294" s="36">
        <v>61079515</v>
      </c>
      <c r="Q294" s="70" t="s">
        <v>302</v>
      </c>
      <c r="R294" s="3"/>
      <c r="S294" s="28">
        <f>+Tabla15133[[#This Row],[VALOR TOTAL DEL CONTRATO
(en pesos)
CON IVA
(inicial)]]+Tabla15133[[#This Row],[VALOR DE LAS ADICIONES
(en pesos)
CON IVA]]</f>
        <v>61079515</v>
      </c>
      <c r="T294" s="37">
        <v>365</v>
      </c>
      <c r="U294" s="70" t="s">
        <v>302</v>
      </c>
      <c r="V294" s="101"/>
      <c r="W294" s="70" t="s">
        <v>302</v>
      </c>
      <c r="X294" s="70"/>
      <c r="Y294" s="65">
        <v>45649</v>
      </c>
      <c r="Z294" s="65">
        <v>46014</v>
      </c>
      <c r="AA294" s="65">
        <v>46014</v>
      </c>
      <c r="AB294" s="64" t="s">
        <v>325</v>
      </c>
      <c r="AC294" s="71"/>
      <c r="AD294" s="70" t="s">
        <v>321</v>
      </c>
      <c r="AE294" s="30">
        <v>0</v>
      </c>
      <c r="AF294" s="30">
        <v>0</v>
      </c>
      <c r="AG294" s="31">
        <v>0</v>
      </c>
      <c r="AH294" s="154"/>
      <c r="AI294" s="32" t="s">
        <v>3938</v>
      </c>
      <c r="AJ294" s="44">
        <v>2024</v>
      </c>
      <c r="AL294" s="2"/>
    </row>
    <row r="295" spans="1:38" ht="43.5" x14ac:dyDescent="0.35">
      <c r="A295" s="43" t="s">
        <v>306</v>
      </c>
      <c r="B295" s="2" t="s">
        <v>4</v>
      </c>
      <c r="C295" s="26" t="s">
        <v>352</v>
      </c>
      <c r="D295" s="27">
        <v>6801</v>
      </c>
      <c r="E295" s="2" t="s">
        <v>300</v>
      </c>
      <c r="F295" s="74" t="s">
        <v>3939</v>
      </c>
      <c r="G295" s="65">
        <v>45652</v>
      </c>
      <c r="H295" s="26" t="s">
        <v>150</v>
      </c>
      <c r="I295" s="67" t="s">
        <v>3940</v>
      </c>
      <c r="J295" s="47" t="s">
        <v>89</v>
      </c>
      <c r="K295" s="68" t="s">
        <v>84</v>
      </c>
      <c r="L295" s="26" t="s">
        <v>1685</v>
      </c>
      <c r="M295" s="2" t="s">
        <v>3285</v>
      </c>
      <c r="N295" s="143">
        <v>13287857</v>
      </c>
      <c r="O295" s="143">
        <v>2524693</v>
      </c>
      <c r="P295" s="36">
        <v>15812550</v>
      </c>
      <c r="Q295" s="70" t="s">
        <v>302</v>
      </c>
      <c r="R295" s="3"/>
      <c r="S295" s="28">
        <f>+Tabla15133[[#This Row],[VALOR TOTAL DEL CONTRATO
(en pesos)
CON IVA
(inicial)]]+Tabla15133[[#This Row],[VALOR DE LAS ADICIONES
(en pesos)
CON IVA]]</f>
        <v>15812550</v>
      </c>
      <c r="T295" s="37">
        <v>364</v>
      </c>
      <c r="U295" s="70" t="s">
        <v>302</v>
      </c>
      <c r="V295" s="101"/>
      <c r="W295" s="70" t="s">
        <v>302</v>
      </c>
      <c r="X295" s="70"/>
      <c r="Y295" s="65">
        <v>45658</v>
      </c>
      <c r="Z295" s="65">
        <v>46022</v>
      </c>
      <c r="AA295" s="65">
        <v>46022</v>
      </c>
      <c r="AB295" s="64" t="s">
        <v>325</v>
      </c>
      <c r="AC295" s="71"/>
      <c r="AD295" s="70" t="s">
        <v>321</v>
      </c>
      <c r="AE295" s="61">
        <v>0.98</v>
      </c>
      <c r="AF295" s="61">
        <v>1</v>
      </c>
      <c r="AG295" s="73">
        <v>15812550</v>
      </c>
      <c r="AH295" s="154"/>
      <c r="AI295" s="32" t="s">
        <v>3941</v>
      </c>
      <c r="AJ295" s="44">
        <v>2024</v>
      </c>
      <c r="AL295" s="2"/>
    </row>
    <row r="296" spans="1:38" ht="43.5" x14ac:dyDescent="0.35">
      <c r="A296" s="43" t="s">
        <v>306</v>
      </c>
      <c r="B296" s="2" t="s">
        <v>11</v>
      </c>
      <c r="C296" s="26" t="s">
        <v>19</v>
      </c>
      <c r="D296" s="27">
        <v>6667</v>
      </c>
      <c r="E296" s="2" t="s">
        <v>300</v>
      </c>
      <c r="F296" s="74" t="s">
        <v>3942</v>
      </c>
      <c r="G296" s="65">
        <v>45653</v>
      </c>
      <c r="H296" s="26" t="s">
        <v>150</v>
      </c>
      <c r="I296" s="67" t="s">
        <v>3943</v>
      </c>
      <c r="J296" s="47" t="s">
        <v>89</v>
      </c>
      <c r="K296" s="68" t="s">
        <v>84</v>
      </c>
      <c r="L296" s="26" t="s">
        <v>2916</v>
      </c>
      <c r="M296" s="2" t="s">
        <v>3944</v>
      </c>
      <c r="N296" s="145">
        <v>31130467</v>
      </c>
      <c r="O296" s="143">
        <v>0</v>
      </c>
      <c r="P296" s="29">
        <v>31130467</v>
      </c>
      <c r="Q296" s="70" t="s">
        <v>302</v>
      </c>
      <c r="R296" s="3"/>
      <c r="S296" s="28">
        <f>+Tabla15133[[#This Row],[VALOR TOTAL DEL CONTRATO
(en pesos)
CON IVA
(inicial)]]+Tabla15133[[#This Row],[VALOR DE LAS ADICIONES
(en pesos)
CON IVA]]</f>
        <v>31130467</v>
      </c>
      <c r="T296" s="37">
        <v>729</v>
      </c>
      <c r="U296" s="70" t="s">
        <v>302</v>
      </c>
      <c r="V296" s="101"/>
      <c r="W296" s="70" t="s">
        <v>302</v>
      </c>
      <c r="X296" s="70"/>
      <c r="Y296" s="65">
        <v>45655</v>
      </c>
      <c r="Z296" s="65">
        <v>46384</v>
      </c>
      <c r="AA296" s="65">
        <v>46384</v>
      </c>
      <c r="AB296" s="64" t="s">
        <v>303</v>
      </c>
      <c r="AC296" s="71"/>
      <c r="AD296" s="70"/>
      <c r="AE296" s="30">
        <v>0.47</v>
      </c>
      <c r="AF296" s="30">
        <v>1</v>
      </c>
      <c r="AG296" s="31">
        <v>31130467</v>
      </c>
      <c r="AH296" s="154"/>
      <c r="AI296" s="32" t="s">
        <v>3945</v>
      </c>
      <c r="AJ296" s="44">
        <v>2024</v>
      </c>
      <c r="AL296" s="2"/>
    </row>
    <row r="297" spans="1:38" ht="29" x14ac:dyDescent="0.35">
      <c r="A297" s="43" t="s">
        <v>306</v>
      </c>
      <c r="B297" s="2" t="s">
        <v>11</v>
      </c>
      <c r="C297" s="26" t="s">
        <v>12</v>
      </c>
      <c r="D297" s="27" t="s">
        <v>3946</v>
      </c>
      <c r="E297" s="2" t="s">
        <v>300</v>
      </c>
      <c r="F297" s="74" t="s">
        <v>3947</v>
      </c>
      <c r="G297" s="65">
        <v>45653</v>
      </c>
      <c r="H297" s="26" t="s">
        <v>160</v>
      </c>
      <c r="I297" s="67" t="s">
        <v>3948</v>
      </c>
      <c r="J297" s="47" t="s">
        <v>89</v>
      </c>
      <c r="K297" s="68" t="s">
        <v>84</v>
      </c>
      <c r="L297" s="26" t="s">
        <v>1466</v>
      </c>
      <c r="M297" s="2" t="s">
        <v>3949</v>
      </c>
      <c r="N297" s="28">
        <v>136125000</v>
      </c>
      <c r="O297" s="28">
        <v>25863750</v>
      </c>
      <c r="P297" s="36">
        <v>161988750</v>
      </c>
      <c r="Q297" s="70" t="s">
        <v>301</v>
      </c>
      <c r="R297" s="3">
        <v>60000000</v>
      </c>
      <c r="S297" s="28">
        <f>+Tabla15133[[#This Row],[VALOR TOTAL DEL CONTRATO
(en pesos)
CON IVA
(inicial)]]+Tabla15133[[#This Row],[VALOR DE LAS ADICIONES
(en pesos)
CON IVA]]</f>
        <v>221988750</v>
      </c>
      <c r="T297" s="37">
        <v>364</v>
      </c>
      <c r="U297" s="70" t="s">
        <v>301</v>
      </c>
      <c r="V297" s="101">
        <f>+Tabla15133[[#This Row],[FECHA TERMINACIÓN DEL CONTRATO
(inicial + prórroga)]]-Tabla15133[[#This Row],[FECHA TERMINACIÓN DEL CONTRATO
(inicial)]]</f>
        <v>90</v>
      </c>
      <c r="W297" s="70" t="s">
        <v>302</v>
      </c>
      <c r="X297" s="70"/>
      <c r="Y297" s="65">
        <v>45658</v>
      </c>
      <c r="Z297" s="65">
        <v>46022</v>
      </c>
      <c r="AA297" s="65">
        <v>46112</v>
      </c>
      <c r="AB297" s="64" t="s">
        <v>303</v>
      </c>
      <c r="AC297" s="71"/>
      <c r="AD297" s="70"/>
      <c r="AE297" s="77">
        <v>0.8</v>
      </c>
      <c r="AF297" s="77">
        <v>0.66</v>
      </c>
      <c r="AG297" s="172">
        <v>146677522</v>
      </c>
      <c r="AH297" s="154" t="s">
        <v>3934</v>
      </c>
      <c r="AI297" s="119" t="s">
        <v>3950</v>
      </c>
      <c r="AJ297" s="44">
        <v>2024</v>
      </c>
      <c r="AL297" s="2"/>
    </row>
    <row r="298" spans="1:38" ht="29" x14ac:dyDescent="0.35">
      <c r="A298" s="43" t="s">
        <v>306</v>
      </c>
      <c r="B298" s="2" t="s">
        <v>322</v>
      </c>
      <c r="C298" s="26" t="s">
        <v>68</v>
      </c>
      <c r="D298" s="27">
        <v>6781</v>
      </c>
      <c r="E298" s="2" t="s">
        <v>300</v>
      </c>
      <c r="F298" s="74" t="s">
        <v>3951</v>
      </c>
      <c r="G298" s="65">
        <v>45653</v>
      </c>
      <c r="H298" s="26" t="s">
        <v>150</v>
      </c>
      <c r="I298" s="67" t="s">
        <v>3952</v>
      </c>
      <c r="J298" s="47" t="s">
        <v>89</v>
      </c>
      <c r="K298" s="68" t="s">
        <v>84</v>
      </c>
      <c r="L298" s="26" t="s">
        <v>1686</v>
      </c>
      <c r="M298" s="2" t="s">
        <v>355</v>
      </c>
      <c r="N298" s="28">
        <v>52268000</v>
      </c>
      <c r="O298" s="28">
        <v>9930920</v>
      </c>
      <c r="P298" s="36">
        <v>62198920</v>
      </c>
      <c r="Q298" s="70" t="s">
        <v>302</v>
      </c>
      <c r="R298" s="3"/>
      <c r="S298" s="28">
        <f>+Tabla15133[[#This Row],[VALOR TOTAL DEL CONTRATO
(en pesos)
CON IVA
(inicial)]]+Tabla15133[[#This Row],[VALOR DE LAS ADICIONES
(en pesos)
CON IVA]]</f>
        <v>62198920</v>
      </c>
      <c r="T298" s="37">
        <v>364</v>
      </c>
      <c r="U298" s="70" t="s">
        <v>302</v>
      </c>
      <c r="V298" s="101"/>
      <c r="W298" s="70" t="s">
        <v>302</v>
      </c>
      <c r="X298" s="70"/>
      <c r="Y298" s="65">
        <v>45658</v>
      </c>
      <c r="Z298" s="65">
        <v>46022</v>
      </c>
      <c r="AA298" s="65">
        <v>46022</v>
      </c>
      <c r="AB298" s="64" t="s">
        <v>325</v>
      </c>
      <c r="AC298" s="71"/>
      <c r="AD298" s="70" t="s">
        <v>321</v>
      </c>
      <c r="AE298" s="30">
        <v>1</v>
      </c>
      <c r="AF298" s="30">
        <v>1</v>
      </c>
      <c r="AG298" s="31">
        <v>62198920</v>
      </c>
      <c r="AH298" s="154"/>
      <c r="AI298" s="32" t="s">
        <v>3953</v>
      </c>
      <c r="AJ298" s="44">
        <v>2024</v>
      </c>
      <c r="AL298" s="2"/>
    </row>
    <row r="299" spans="1:38" ht="43.5" x14ac:dyDescent="0.35">
      <c r="A299" s="43" t="s">
        <v>306</v>
      </c>
      <c r="B299" s="2" t="s">
        <v>31</v>
      </c>
      <c r="C299" s="26" t="s">
        <v>36</v>
      </c>
      <c r="D299" s="27">
        <v>6553</v>
      </c>
      <c r="E299" s="2" t="s">
        <v>324</v>
      </c>
      <c r="F299" s="74" t="s">
        <v>3954</v>
      </c>
      <c r="G299" s="65">
        <v>45656</v>
      </c>
      <c r="H299" s="26" t="s">
        <v>150</v>
      </c>
      <c r="I299" s="67" t="s">
        <v>3955</v>
      </c>
      <c r="J299" s="47" t="s">
        <v>89</v>
      </c>
      <c r="K299" s="68" t="s">
        <v>84</v>
      </c>
      <c r="L299" s="26" t="s">
        <v>3956</v>
      </c>
      <c r="M299" s="2" t="s">
        <v>3957</v>
      </c>
      <c r="N299" s="28">
        <v>1667933698.3193278</v>
      </c>
      <c r="O299" s="28">
        <v>316907402.68067229</v>
      </c>
      <c r="P299" s="36">
        <v>1984841101</v>
      </c>
      <c r="Q299" s="70" t="s">
        <v>302</v>
      </c>
      <c r="R299" s="3"/>
      <c r="S299" s="28">
        <f>+Tabla15133[[#This Row],[VALOR TOTAL DEL CONTRATO
(en pesos)
CON IVA
(inicial)]]+Tabla15133[[#This Row],[VALOR DE LAS ADICIONES
(en pesos)
CON IVA]]</f>
        <v>1984841101</v>
      </c>
      <c r="T299" s="37">
        <v>1094</v>
      </c>
      <c r="U299" s="70" t="s">
        <v>302</v>
      </c>
      <c r="V299" s="101"/>
      <c r="W299" s="70" t="s">
        <v>302</v>
      </c>
      <c r="X299" s="70"/>
      <c r="Y299" s="65">
        <v>45658</v>
      </c>
      <c r="Z299" s="65">
        <v>46752</v>
      </c>
      <c r="AA299" s="65">
        <v>46752</v>
      </c>
      <c r="AB299" s="64" t="s">
        <v>303</v>
      </c>
      <c r="AC299" s="71"/>
      <c r="AD299" s="70"/>
      <c r="AE299" s="30" t="s">
        <v>3958</v>
      </c>
      <c r="AF299" s="30">
        <v>0.30199999999999999</v>
      </c>
      <c r="AG299" s="31">
        <v>599795083</v>
      </c>
      <c r="AH299" s="154"/>
      <c r="AI299" s="32" t="s">
        <v>3959</v>
      </c>
      <c r="AJ299" s="44">
        <v>2024</v>
      </c>
      <c r="AL299" s="2"/>
    </row>
    <row r="300" spans="1:38" ht="43.5" x14ac:dyDescent="0.35">
      <c r="A300" s="43" t="s">
        <v>306</v>
      </c>
      <c r="B300" s="2" t="s">
        <v>11</v>
      </c>
      <c r="C300" s="26" t="s">
        <v>19</v>
      </c>
      <c r="D300" s="27">
        <v>6792</v>
      </c>
      <c r="E300" s="2" t="s">
        <v>300</v>
      </c>
      <c r="F300" s="74" t="s">
        <v>3960</v>
      </c>
      <c r="G300" s="65">
        <v>45656</v>
      </c>
      <c r="H300" s="26" t="s">
        <v>142</v>
      </c>
      <c r="I300" s="67" t="s">
        <v>3961</v>
      </c>
      <c r="J300" s="47" t="s">
        <v>89</v>
      </c>
      <c r="K300" s="68" t="s">
        <v>84</v>
      </c>
      <c r="L300" s="26" t="s">
        <v>1635</v>
      </c>
      <c r="M300" s="2" t="s">
        <v>3218</v>
      </c>
      <c r="N300" s="28">
        <v>32642501</v>
      </c>
      <c r="O300" s="28">
        <v>6202075</v>
      </c>
      <c r="P300" s="36">
        <v>38844576</v>
      </c>
      <c r="Q300" s="70" t="s">
        <v>302</v>
      </c>
      <c r="R300" s="3"/>
      <c r="S300" s="28">
        <f>+Tabla15133[[#This Row],[VALOR TOTAL DEL CONTRATO
(en pesos)
CON IVA
(inicial)]]+Tabla15133[[#This Row],[VALOR DE LAS ADICIONES
(en pesos)
CON IVA]]</f>
        <v>38844576</v>
      </c>
      <c r="T300" s="37">
        <v>365</v>
      </c>
      <c r="U300" s="70" t="s">
        <v>302</v>
      </c>
      <c r="V300" s="101"/>
      <c r="W300" s="70" t="s">
        <v>302</v>
      </c>
      <c r="X300" s="70"/>
      <c r="Y300" s="65">
        <v>45656</v>
      </c>
      <c r="Z300" s="65">
        <v>46021</v>
      </c>
      <c r="AA300" s="65">
        <v>46021</v>
      </c>
      <c r="AB300" s="64" t="s">
        <v>325</v>
      </c>
      <c r="AC300" s="71"/>
      <c r="AD300" s="70" t="s">
        <v>321</v>
      </c>
      <c r="AE300" s="30">
        <v>0.93</v>
      </c>
      <c r="AF300" s="30">
        <v>1</v>
      </c>
      <c r="AG300" s="31">
        <v>38844570</v>
      </c>
      <c r="AH300" s="154"/>
      <c r="AI300" s="32" t="s">
        <v>430</v>
      </c>
      <c r="AJ300" s="44">
        <v>2024</v>
      </c>
      <c r="AL300" s="2"/>
    </row>
    <row r="301" spans="1:38" ht="29" x14ac:dyDescent="0.35">
      <c r="A301" s="43" t="s">
        <v>306</v>
      </c>
      <c r="B301" s="2" t="s">
        <v>11</v>
      </c>
      <c r="C301" s="26" t="s">
        <v>12</v>
      </c>
      <c r="D301" s="27">
        <v>6837</v>
      </c>
      <c r="E301" s="2" t="s">
        <v>300</v>
      </c>
      <c r="F301" s="74" t="s">
        <v>3962</v>
      </c>
      <c r="G301" s="65">
        <v>45656</v>
      </c>
      <c r="H301" s="26" t="s">
        <v>160</v>
      </c>
      <c r="I301" s="67" t="s">
        <v>3963</v>
      </c>
      <c r="J301" s="47" t="s">
        <v>89</v>
      </c>
      <c r="K301" s="68" t="s">
        <v>84</v>
      </c>
      <c r="L301" s="26" t="s">
        <v>3964</v>
      </c>
      <c r="M301" s="2" t="s">
        <v>3965</v>
      </c>
      <c r="N301" s="28">
        <v>8542668000</v>
      </c>
      <c r="O301" s="28">
        <v>427133400</v>
      </c>
      <c r="P301" s="36">
        <v>8969801400</v>
      </c>
      <c r="Q301" s="70" t="s">
        <v>302</v>
      </c>
      <c r="R301" s="3"/>
      <c r="S301" s="28">
        <f>+Tabla15133[[#This Row],[VALOR TOTAL DEL CONTRATO
(en pesos)
CON IVA
(inicial)]]+Tabla15133[[#This Row],[VALOR DE LAS ADICIONES
(en pesos)
CON IVA]]</f>
        <v>8969801400</v>
      </c>
      <c r="T301" s="37">
        <v>364</v>
      </c>
      <c r="U301" s="70" t="s">
        <v>302</v>
      </c>
      <c r="V301" s="101"/>
      <c r="W301" s="70" t="s">
        <v>302</v>
      </c>
      <c r="X301" s="70"/>
      <c r="Y301" s="65">
        <v>45658</v>
      </c>
      <c r="Z301" s="65">
        <v>46022</v>
      </c>
      <c r="AA301" s="65">
        <v>46022</v>
      </c>
      <c r="AB301" s="64" t="s">
        <v>320</v>
      </c>
      <c r="AC301" s="71"/>
      <c r="AD301" s="70" t="s">
        <v>321</v>
      </c>
      <c r="AE301" s="77">
        <v>1</v>
      </c>
      <c r="AF301" s="77">
        <v>0.96</v>
      </c>
      <c r="AG301" s="31">
        <v>8628652943</v>
      </c>
      <c r="AH301" s="154"/>
      <c r="AI301" s="32" t="s">
        <v>3966</v>
      </c>
      <c r="AJ301" s="44">
        <v>2024</v>
      </c>
      <c r="AL301" s="2"/>
    </row>
    <row r="302" spans="1:38" ht="58" x14ac:dyDescent="0.35">
      <c r="A302" s="43" t="s">
        <v>306</v>
      </c>
      <c r="B302" s="2" t="s">
        <v>4</v>
      </c>
      <c r="C302" s="26" t="s">
        <v>352</v>
      </c>
      <c r="D302" s="27">
        <v>6800</v>
      </c>
      <c r="E302" s="2" t="s">
        <v>300</v>
      </c>
      <c r="F302" s="74" t="s">
        <v>3967</v>
      </c>
      <c r="G302" s="65">
        <v>45656</v>
      </c>
      <c r="H302" s="26" t="s">
        <v>150</v>
      </c>
      <c r="I302" s="67" t="s">
        <v>3968</v>
      </c>
      <c r="J302" s="47" t="s">
        <v>89</v>
      </c>
      <c r="K302" s="68" t="s">
        <v>84</v>
      </c>
      <c r="L302" s="26" t="s">
        <v>3325</v>
      </c>
      <c r="M302" s="2" t="s">
        <v>3326</v>
      </c>
      <c r="N302" s="143">
        <v>39318552</v>
      </c>
      <c r="O302" s="143">
        <v>7470525</v>
      </c>
      <c r="P302" s="36">
        <v>46789077</v>
      </c>
      <c r="Q302" s="70" t="s">
        <v>302</v>
      </c>
      <c r="R302" s="3"/>
      <c r="S302" s="28">
        <f>+Tabla15133[[#This Row],[VALOR TOTAL DEL CONTRATO
(en pesos)
CON IVA
(inicial)]]+Tabla15133[[#This Row],[VALOR DE LAS ADICIONES
(en pesos)
CON IVA]]</f>
        <v>46789077</v>
      </c>
      <c r="T302" s="37">
        <v>365</v>
      </c>
      <c r="U302" s="70" t="s">
        <v>302</v>
      </c>
      <c r="V302" s="101"/>
      <c r="W302" s="70" t="s">
        <v>302</v>
      </c>
      <c r="X302" s="70"/>
      <c r="Y302" s="65">
        <v>45665</v>
      </c>
      <c r="Z302" s="65">
        <v>46030</v>
      </c>
      <c r="AA302" s="65">
        <v>46030</v>
      </c>
      <c r="AB302" s="64" t="s">
        <v>303</v>
      </c>
      <c r="AC302" s="71"/>
      <c r="AD302" s="70"/>
      <c r="AE302" s="61">
        <v>0.96</v>
      </c>
      <c r="AF302" s="61">
        <v>0.14000000000000001</v>
      </c>
      <c r="AG302" s="62">
        <v>6673530</v>
      </c>
      <c r="AH302" s="154"/>
      <c r="AI302" s="32" t="s">
        <v>431</v>
      </c>
      <c r="AJ302" s="44">
        <v>2024</v>
      </c>
      <c r="AL302" s="2"/>
    </row>
    <row r="303" spans="1:38" ht="43.5" x14ac:dyDescent="0.35">
      <c r="A303" s="43" t="s">
        <v>306</v>
      </c>
      <c r="B303" s="2" t="s">
        <v>11</v>
      </c>
      <c r="C303" s="26" t="s">
        <v>20</v>
      </c>
      <c r="D303" s="27">
        <v>6805</v>
      </c>
      <c r="E303" s="2" t="s">
        <v>300</v>
      </c>
      <c r="F303" s="74" t="s">
        <v>3969</v>
      </c>
      <c r="G303" s="65">
        <v>45656</v>
      </c>
      <c r="H303" s="26" t="s">
        <v>150</v>
      </c>
      <c r="I303" s="67" t="s">
        <v>3970</v>
      </c>
      <c r="J303" s="47" t="s">
        <v>89</v>
      </c>
      <c r="K303" s="68" t="s">
        <v>84</v>
      </c>
      <c r="L303" s="26" t="s">
        <v>2704</v>
      </c>
      <c r="M303" s="2" t="s">
        <v>3971</v>
      </c>
      <c r="N303" s="28">
        <v>15682000</v>
      </c>
      <c r="O303" s="28">
        <v>2979580</v>
      </c>
      <c r="P303" s="36">
        <v>18661580</v>
      </c>
      <c r="Q303" s="70" t="s">
        <v>302</v>
      </c>
      <c r="R303" s="3"/>
      <c r="S303" s="28">
        <f>+Tabla15133[[#This Row],[VALOR TOTAL DEL CONTRATO
(en pesos)
CON IVA
(inicial)]]+Tabla15133[[#This Row],[VALOR DE LAS ADICIONES
(en pesos)
CON IVA]]</f>
        <v>18661580</v>
      </c>
      <c r="T303" s="37">
        <v>730</v>
      </c>
      <c r="U303" s="70" t="s">
        <v>302</v>
      </c>
      <c r="V303" s="101"/>
      <c r="W303" s="70" t="s">
        <v>302</v>
      </c>
      <c r="X303" s="70"/>
      <c r="Y303" s="65">
        <v>45656</v>
      </c>
      <c r="Z303" s="65">
        <v>46386</v>
      </c>
      <c r="AA303" s="65">
        <v>46386</v>
      </c>
      <c r="AB303" s="64" t="s">
        <v>303</v>
      </c>
      <c r="AC303" s="71"/>
      <c r="AD303" s="70"/>
      <c r="AE303" s="30">
        <v>0.49</v>
      </c>
      <c r="AF303" s="30">
        <v>1</v>
      </c>
      <c r="AG303" s="31">
        <v>18661580</v>
      </c>
      <c r="AH303" s="154"/>
      <c r="AI303" s="32" t="s">
        <v>432</v>
      </c>
      <c r="AJ303" s="44">
        <v>2024</v>
      </c>
      <c r="AL303" s="2"/>
    </row>
    <row r="304" spans="1:38" ht="29" x14ac:dyDescent="0.35">
      <c r="A304" s="43" t="s">
        <v>306</v>
      </c>
      <c r="B304" s="2" t="s">
        <v>11</v>
      </c>
      <c r="C304" s="26" t="s">
        <v>12</v>
      </c>
      <c r="D304" s="27" t="s">
        <v>3972</v>
      </c>
      <c r="E304" s="2" t="s">
        <v>300</v>
      </c>
      <c r="F304" s="74" t="s">
        <v>3973</v>
      </c>
      <c r="G304" s="65">
        <v>45657</v>
      </c>
      <c r="H304" s="26" t="s">
        <v>160</v>
      </c>
      <c r="I304" s="67" t="s">
        <v>3974</v>
      </c>
      <c r="J304" s="47" t="s">
        <v>89</v>
      </c>
      <c r="K304" s="68" t="s">
        <v>84</v>
      </c>
      <c r="L304" s="26" t="s">
        <v>3964</v>
      </c>
      <c r="M304" s="2" t="s">
        <v>3965</v>
      </c>
      <c r="N304" s="28">
        <v>1194609416</v>
      </c>
      <c r="O304" s="143">
        <v>0</v>
      </c>
      <c r="P304" s="36">
        <v>1194609416</v>
      </c>
      <c r="Q304" s="70" t="s">
        <v>301</v>
      </c>
      <c r="R304" s="3">
        <v>365000000</v>
      </c>
      <c r="S304" s="28">
        <f>+Tabla15133[[#This Row],[VALOR TOTAL DEL CONTRATO
(en pesos)
CON IVA
(inicial)]]+Tabla15133[[#This Row],[VALOR DE LAS ADICIONES
(en pesos)
CON IVA]]</f>
        <v>1559609416</v>
      </c>
      <c r="T304" s="37">
        <v>364</v>
      </c>
      <c r="U304" s="70" t="s">
        <v>301</v>
      </c>
      <c r="V304" s="101">
        <f>+Tabla15133[[#This Row],[FECHA TERMINACIÓN DEL CONTRATO
(inicial + prórroga)]]-Tabla15133[[#This Row],[FECHA TERMINACIÓN DEL CONTRATO
(inicial)]]</f>
        <v>90</v>
      </c>
      <c r="W304" s="70" t="s">
        <v>302</v>
      </c>
      <c r="X304" s="70"/>
      <c r="Y304" s="65">
        <v>45658</v>
      </c>
      <c r="Z304" s="65">
        <v>46022</v>
      </c>
      <c r="AA304" s="65">
        <v>46112</v>
      </c>
      <c r="AB304" s="64" t="s">
        <v>303</v>
      </c>
      <c r="AC304" s="71"/>
      <c r="AD304" s="70"/>
      <c r="AE304" s="77">
        <v>0.8</v>
      </c>
      <c r="AF304" s="77">
        <v>0.77</v>
      </c>
      <c r="AG304" s="62">
        <v>1194585826</v>
      </c>
      <c r="AH304" s="154" t="s">
        <v>3934</v>
      </c>
      <c r="AI304" s="119" t="s">
        <v>3975</v>
      </c>
      <c r="AJ304" s="44">
        <v>2024</v>
      </c>
      <c r="AL304" s="2"/>
    </row>
    <row r="305" spans="1:38" ht="29" x14ac:dyDescent="0.35">
      <c r="A305" s="43" t="s">
        <v>306</v>
      </c>
      <c r="B305" s="2" t="s">
        <v>11</v>
      </c>
      <c r="C305" s="26" t="s">
        <v>12</v>
      </c>
      <c r="D305" s="27" t="s">
        <v>3976</v>
      </c>
      <c r="E305" s="2" t="s">
        <v>300</v>
      </c>
      <c r="F305" s="74" t="s">
        <v>3977</v>
      </c>
      <c r="G305" s="65">
        <v>45657</v>
      </c>
      <c r="H305" s="26" t="s">
        <v>160</v>
      </c>
      <c r="I305" s="67" t="s">
        <v>3978</v>
      </c>
      <c r="J305" s="47" t="s">
        <v>89</v>
      </c>
      <c r="K305" s="68" t="s">
        <v>84</v>
      </c>
      <c r="L305" s="26" t="s">
        <v>3964</v>
      </c>
      <c r="M305" s="2" t="s">
        <v>3965</v>
      </c>
      <c r="N305" s="28">
        <v>240555315</v>
      </c>
      <c r="O305" s="143">
        <v>0</v>
      </c>
      <c r="P305" s="36">
        <v>240555315</v>
      </c>
      <c r="Q305" s="70" t="s">
        <v>301</v>
      </c>
      <c r="R305" s="3">
        <v>100000000</v>
      </c>
      <c r="S305" s="28">
        <f>+Tabla15133[[#This Row],[VALOR TOTAL DEL CONTRATO
(en pesos)
CON IVA
(inicial)]]+Tabla15133[[#This Row],[VALOR DE LAS ADICIONES
(en pesos)
CON IVA]]</f>
        <v>340555315</v>
      </c>
      <c r="T305" s="37">
        <f>+Tabla15133[[#This Row],[FECHA TERMINACIÓN DEL CONTRATO
(inicial)]]-Tabla15133[[#This Row],[FECHA INICIO CONTRATO]]</f>
        <v>364</v>
      </c>
      <c r="U305" s="70" t="s">
        <v>301</v>
      </c>
      <c r="V305" s="101">
        <f>+Tabla15133[[#This Row],[FECHA TERMINACIÓN DEL CONTRATO
(inicial + prórroga)]]-Tabla15133[[#This Row],[FECHA TERMINACIÓN DEL CONTRATO
(inicial)]]</f>
        <v>90</v>
      </c>
      <c r="W305" s="70" t="s">
        <v>302</v>
      </c>
      <c r="X305" s="70"/>
      <c r="Y305" s="65">
        <v>45658</v>
      </c>
      <c r="Z305" s="65">
        <v>46022</v>
      </c>
      <c r="AA305" s="65">
        <v>46112</v>
      </c>
      <c r="AB305" s="64" t="s">
        <v>303</v>
      </c>
      <c r="AC305" s="71"/>
      <c r="AD305" s="70"/>
      <c r="AE305" s="30">
        <v>0.8</v>
      </c>
      <c r="AF305" s="30">
        <v>0.71</v>
      </c>
      <c r="AG305" s="31">
        <v>241397486</v>
      </c>
      <c r="AH305" s="154" t="s">
        <v>3934</v>
      </c>
      <c r="AI305" s="119" t="s">
        <v>3979</v>
      </c>
      <c r="AJ305" s="44">
        <v>2024</v>
      </c>
      <c r="AL305" s="2"/>
    </row>
    <row r="306" spans="1:38" ht="58" x14ac:dyDescent="0.35">
      <c r="A306" s="43" t="s">
        <v>306</v>
      </c>
      <c r="B306" s="2" t="s">
        <v>327</v>
      </c>
      <c r="C306" s="26" t="s">
        <v>48</v>
      </c>
      <c r="D306" s="27">
        <v>6813</v>
      </c>
      <c r="E306" s="2" t="s">
        <v>300</v>
      </c>
      <c r="F306" s="74" t="s">
        <v>3980</v>
      </c>
      <c r="G306" s="65">
        <v>45656</v>
      </c>
      <c r="H306" s="26" t="s">
        <v>150</v>
      </c>
      <c r="I306" s="67" t="s">
        <v>3981</v>
      </c>
      <c r="J306" s="47" t="s">
        <v>89</v>
      </c>
      <c r="K306" s="68" t="s">
        <v>84</v>
      </c>
      <c r="L306" s="26" t="s">
        <v>3231</v>
      </c>
      <c r="M306" s="2" t="s">
        <v>3982</v>
      </c>
      <c r="N306" s="28">
        <v>24976219</v>
      </c>
      <c r="O306" s="28">
        <v>4745481.8</v>
      </c>
      <c r="P306" s="36">
        <v>29721701</v>
      </c>
      <c r="Q306" s="70" t="s">
        <v>302</v>
      </c>
      <c r="R306" s="3"/>
      <c r="S306" s="28">
        <f>+Tabla15133[[#This Row],[VALOR TOTAL DEL CONTRATO
(en pesos)
CON IVA
(inicial)]]+Tabla15133[[#This Row],[VALOR DE LAS ADICIONES
(en pesos)
CON IVA]]</f>
        <v>29721701</v>
      </c>
      <c r="T306" s="37">
        <v>365</v>
      </c>
      <c r="U306" s="70" t="s">
        <v>302</v>
      </c>
      <c r="V306" s="101"/>
      <c r="W306" s="70" t="s">
        <v>302</v>
      </c>
      <c r="X306" s="70"/>
      <c r="Y306" s="65">
        <v>45656</v>
      </c>
      <c r="Z306" s="65">
        <v>46021</v>
      </c>
      <c r="AA306" s="65">
        <v>46021</v>
      </c>
      <c r="AB306" s="64" t="s">
        <v>325</v>
      </c>
      <c r="AC306" s="71"/>
      <c r="AD306" s="70" t="s">
        <v>321</v>
      </c>
      <c r="AE306" s="61">
        <v>1</v>
      </c>
      <c r="AF306" s="61">
        <v>1</v>
      </c>
      <c r="AG306" s="62">
        <v>29721701</v>
      </c>
      <c r="AH306" s="159" t="s">
        <v>3983</v>
      </c>
      <c r="AI306" s="32" t="s">
        <v>3984</v>
      </c>
      <c r="AJ306" s="44">
        <v>2024</v>
      </c>
      <c r="AL306" s="2"/>
    </row>
    <row r="307" spans="1:38" ht="29" x14ac:dyDescent="0.35">
      <c r="A307" s="43" t="s">
        <v>306</v>
      </c>
      <c r="B307" s="2" t="s">
        <v>327</v>
      </c>
      <c r="C307" s="26" t="s">
        <v>43</v>
      </c>
      <c r="D307" s="27">
        <v>6851</v>
      </c>
      <c r="E307" s="2" t="s">
        <v>300</v>
      </c>
      <c r="F307" s="74" t="s">
        <v>3985</v>
      </c>
      <c r="G307" s="65">
        <v>45657</v>
      </c>
      <c r="H307" s="26" t="s">
        <v>150</v>
      </c>
      <c r="I307" s="67" t="s">
        <v>3986</v>
      </c>
      <c r="J307" s="47" t="s">
        <v>89</v>
      </c>
      <c r="K307" s="68" t="s">
        <v>84</v>
      </c>
      <c r="L307" s="26" t="s">
        <v>1585</v>
      </c>
      <c r="M307" s="2" t="s">
        <v>330</v>
      </c>
      <c r="N307" s="143">
        <v>2210899250</v>
      </c>
      <c r="O307" s="143">
        <v>420070857</v>
      </c>
      <c r="P307" s="36">
        <v>2630970107</v>
      </c>
      <c r="Q307" s="70" t="s">
        <v>302</v>
      </c>
      <c r="R307" s="3"/>
      <c r="S307" s="28">
        <f>+Tabla15133[[#This Row],[VALOR TOTAL DEL CONTRATO
(en pesos)
CON IVA
(inicial)]]+Tabla15133[[#This Row],[VALOR DE LAS ADICIONES
(en pesos)
CON IVA]]</f>
        <v>2630970107</v>
      </c>
      <c r="T307" s="37">
        <v>1094</v>
      </c>
      <c r="U307" s="70" t="s">
        <v>302</v>
      </c>
      <c r="V307" s="101"/>
      <c r="W307" s="70" t="s">
        <v>302</v>
      </c>
      <c r="X307" s="70"/>
      <c r="Y307" s="65">
        <v>45658</v>
      </c>
      <c r="Z307" s="65">
        <v>46752</v>
      </c>
      <c r="AA307" s="65">
        <v>46752</v>
      </c>
      <c r="AB307" s="64" t="s">
        <v>303</v>
      </c>
      <c r="AC307" s="71"/>
      <c r="AD307" s="70"/>
      <c r="AE307" s="61">
        <v>0.33329999999999999</v>
      </c>
      <c r="AF307" s="61">
        <v>0.29420000000000002</v>
      </c>
      <c r="AG307" s="31">
        <v>773960616</v>
      </c>
      <c r="AH307" s="154"/>
      <c r="AI307" s="32" t="s">
        <v>3987</v>
      </c>
      <c r="AJ307" s="44">
        <v>2024</v>
      </c>
      <c r="AL307" s="2"/>
    </row>
    <row r="308" spans="1:38" ht="25.5" customHeight="1" x14ac:dyDescent="0.35">
      <c r="A308" s="24">
        <f>SUBTOTAL(103,Tabla15133[CM / SUC.])</f>
        <v>304</v>
      </c>
      <c r="B308" s="24">
        <f>SUBTOTAL(103,Tabla15133[VICEPRESIDENCIA])</f>
        <v>304</v>
      </c>
      <c r="C308" s="24">
        <f>SUBTOTAL(103,Tabla15133[[ÁREA QUE CONTRATA ]])</f>
        <v>304</v>
      </c>
      <c r="D308" s="24">
        <f>SUBTOTAL(103,Tabla15133[NÚMERO DEL PROCESO CONTRACTUAL])</f>
        <v>304</v>
      </c>
      <c r="E308" s="24">
        <f>SUBTOTAL(103,Tabla15133[MODALIDAD DE SELECCIÓN 
(CONTRATACIÓN)])</f>
        <v>304</v>
      </c>
      <c r="F308" s="24">
        <f>SUBTOTAL(103,Tabla15133[N° DE CONTRATO])</f>
        <v>304</v>
      </c>
      <c r="G308" s="24">
        <f>SUBTOTAL(103,Tabla15133[FECHA SUSCRIPCIÓN DEL CONTRATO])</f>
        <v>304</v>
      </c>
      <c r="H308" s="24">
        <f>SUBTOTAL(103,Tabla15133[CLASE DE CONTRATO])</f>
        <v>304</v>
      </c>
      <c r="I308" s="58">
        <f>SUBTOTAL(103,Tabla15133[OBJETO DEL CONTRATO])</f>
        <v>304</v>
      </c>
      <c r="J308" s="24">
        <f>SUBTOTAL(103,Tabla15133[CONTRATISTA NATURALEZA])</f>
        <v>304</v>
      </c>
      <c r="K308" s="24">
        <f>SUBTOTAL(103,Tabla15133[TIPO DE IDENTIFICACIÓN CONTRATISTA])</f>
        <v>304</v>
      </c>
      <c r="L308" s="24">
        <f>SUBTOTAL(103,Tabla15133[N° DE IDENTIFICACIÓN DEL CONTRATISTA])</f>
        <v>304</v>
      </c>
      <c r="M308" s="24">
        <f>SUBTOTAL(103,Tabla15133[RAZÓN SOCIAL DEL CONTRATISTA])</f>
        <v>304</v>
      </c>
      <c r="N308" s="25">
        <f>SUBTOTAL(109,Tabla15133[VALOR INICIAL DEL CONTRATO
 (en pesos) 
SIN IVA])</f>
        <v>368984734714.83044</v>
      </c>
      <c r="O308" s="25">
        <f>SUBTOTAL(109,Tabla15133[VALOR IVA
(si aplica)])</f>
        <v>52570589794.811356</v>
      </c>
      <c r="P308" s="25">
        <f>SUBTOTAL(109,Tabla15133[VALOR TOTAL DEL CONTRATO
(en pesos)
CON IVA
(inicial)])</f>
        <v>421555324597.51001</v>
      </c>
      <c r="Q308" s="24">
        <f>SUBTOTAL(103,Tabla15133[ADICIONES
(SI / NO)])</f>
        <v>304</v>
      </c>
      <c r="R308" s="25">
        <f>SUBTOTAL(109,Tabla15133[VALOR DE LAS ADICIONES
(en pesos)
CON IVA])</f>
        <v>144800915574</v>
      </c>
      <c r="S308" s="25">
        <f>SUBTOTAL(109,Tabla15133[VALOR TOTAL CONTRATO CON IVA (VALOR INICIAL + ADICIONES) ])</f>
        <v>566356240171.51001</v>
      </c>
      <c r="T308" s="24">
        <f>SUBTOTAL(103,Tabla15133[PLAZO DEL CONTRATO
 (inicial)
(días)])</f>
        <v>304</v>
      </c>
      <c r="U308" s="24">
        <f>SUBTOTAL(103,Tabla15133[PRÓRROGA
(SI / NO)])</f>
        <v>304</v>
      </c>
      <c r="V308" s="24">
        <f>SUBTOTAL(103,Tabla15133[ADICIONES: NÚMERO DE DÍAS])</f>
        <v>88</v>
      </c>
      <c r="W308" s="24">
        <f>SUBTOTAL(103,Tabla15133[SUSPENSIÓN (SI/NO)])</f>
        <v>304</v>
      </c>
      <c r="X308" s="24"/>
      <c r="Y308" s="24">
        <f>SUBTOTAL(103,Tabla15133[FECHA INICIO CONTRATO])</f>
        <v>304</v>
      </c>
      <c r="Z308" s="24">
        <f>SUBTOTAL(103,Tabla15133[FECHA TERMINACIÓN DEL CONTRATO
(inicial)])</f>
        <v>304</v>
      </c>
      <c r="AA308" s="24">
        <f>SUBTOTAL(103,Tabla15133[FECHA TERMINACIÓN DEL CONTRATO
(inicial + prórroga)])</f>
        <v>304</v>
      </c>
      <c r="AB308" s="24">
        <f>SUBTOTAL(103,Tabla15133[ESTADO DEL CONTRATO (EN EJECUCIÓN EN LIQUIDACIÓN POR LIQUIDAR NO SE LIQUIDA)])</f>
        <v>304</v>
      </c>
      <c r="AC308" s="24">
        <f>SUBTOTAL(103,Tabla15133[FECHA LIQUIDACIÓN DEL CONTRATO])</f>
        <v>97</v>
      </c>
      <c r="AD308" s="24">
        <f>SUBTOTAL(103,Tabla15133[CAUSAL DE TERMINACIÓN])</f>
        <v>201</v>
      </c>
      <c r="AE308" s="24">
        <f>SUBTOTAL(103,Tabla15133[PORCENTAJE DE EJECUCIÓN FÍSICA 
2025])</f>
        <v>304</v>
      </c>
      <c r="AF308" s="24">
        <f>SUBTOTAL(103,Tabla15133[PORCENTAJE DE EJECUCIÓN PRESUPUESTAL
2025])</f>
        <v>304</v>
      </c>
      <c r="AG308" s="25">
        <f>SUBTOTAL(109,Tabla15133[VALOR PAGADO (en pesos)
A 31 DICIEMBRE 2025])</f>
        <v>362811633202.66125</v>
      </c>
      <c r="AH308" s="24"/>
      <c r="AI308" s="24">
        <f>SUBTOTAL(103,Tabla15133[LINK SECOP I, II 
(según aplique)])</f>
        <v>296</v>
      </c>
      <c r="AJ308" s="24">
        <f>SUBTOTAL(103,Tabla15133[AÑO SUSCRIPCIÓN])</f>
        <v>304</v>
      </c>
      <c r="AL308" s="2"/>
    </row>
    <row r="309" spans="1:38" x14ac:dyDescent="0.35">
      <c r="A309" s="26"/>
      <c r="B309" s="26"/>
      <c r="C309" s="26"/>
      <c r="D309" s="26"/>
      <c r="E309" s="26"/>
      <c r="F309" s="26"/>
      <c r="G309" s="26"/>
      <c r="H309" s="26"/>
      <c r="I309" s="33"/>
      <c r="L309" s="26"/>
      <c r="M309" s="26"/>
      <c r="N309" s="26"/>
      <c r="O309" s="26"/>
      <c r="P309" s="28"/>
      <c r="Q309" s="28"/>
      <c r="R309" s="35"/>
      <c r="S309" s="28"/>
      <c r="T309" s="28"/>
      <c r="U309" s="28"/>
      <c r="V309" s="29"/>
      <c r="W309" s="26"/>
      <c r="X309" s="26"/>
      <c r="Y309" s="26"/>
      <c r="Z309" s="26"/>
      <c r="AA309" s="26"/>
      <c r="AB309" s="42"/>
      <c r="AC309" s="42"/>
      <c r="AD309" s="39"/>
      <c r="AE309" s="39"/>
      <c r="AF309" s="39"/>
      <c r="AG309" s="40"/>
      <c r="AH309" s="38"/>
      <c r="AI309" s="26"/>
      <c r="AJ309" s="26"/>
      <c r="AK309" s="26"/>
      <c r="AL309" s="45"/>
    </row>
    <row r="310" spans="1:38" x14ac:dyDescent="0.35">
      <c r="R310" s="35"/>
    </row>
  </sheetData>
  <sheetProtection autoFilter="0"/>
  <protectedRanges>
    <protectedRange sqref="H52 C28:C29 H144 O72:O76 H49:H50 H20 H35 H124 H139 C66:C111 I66:I74 F66:G111 C19 C159 M86:O86 C34:C35 M81:O82 H117:H121 C131 H9:H11 C16 C12 C156 C128 C294 C241 C220 H4:H6 H92 H107:I108 H71:H72 H60 H75:I76 N97:O97 N72:N73 N80:O80 N75:N76 N68:O68 O93 P98:P111 P78:P79 P83 P66:P67 M87:M111 AH111 I109:I111 AH107:AH108 P85:P88 N84:O85 P91:P96 N89:O90 M83:M84 AH84:AH94 I79:I106 H78:I78 M66:M80 AH66:AH82 L66:L111 P69:P74 Y66:AA111 R66:R111" name="Rango1"/>
    <protectedRange sqref="H77:I77 N77:O77" name="Rango1_1"/>
    <protectedRange sqref="Z23" name="Rango1_2_2"/>
    <protectedRange sqref="AH59" name="Rango1_2_4"/>
    <protectedRange sqref="AH83" name="Rango1_4"/>
    <protectedRange sqref="AH96" name="Rango1_6"/>
    <protectedRange sqref="AH98" name="Rango1_7"/>
    <protectedRange sqref="AH99" name="Rango1_8"/>
    <protectedRange sqref="AH100" name="Rango1_9"/>
    <protectedRange sqref="AH101" name="Rango1_10"/>
    <protectedRange sqref="AH102" name="Rango1_11"/>
    <protectedRange sqref="AH103" name="Rango1_12"/>
    <protectedRange sqref="AH104" name="Rango1_13"/>
    <protectedRange sqref="AH105 AH95" name="Rango1_14"/>
    <protectedRange sqref="AH106" name="Rango1_15"/>
    <protectedRange sqref="AH109" name="Rango1_16"/>
    <protectedRange sqref="AH110" name="Rango1_17"/>
    <protectedRange sqref="AH112" name="Rango1_18"/>
    <protectedRange sqref="AH115" name="Rango1_19"/>
    <protectedRange sqref="AH125" name="Rango1_20"/>
  </protectedRanges>
  <conditionalFormatting sqref="A1:A2">
    <cfRule type="containsText" dxfId="53" priority="1" operator="containsText" text="Faltan menos de 15 días para Terminar">
      <formula>NOT(ISERROR(SEARCH("Faltan menos de 15 días para Terminar",A1)))</formula>
    </cfRule>
    <cfRule type="containsText" dxfId="52" priority="2" operator="containsText" text="Faltan menos de 15 días para Terminar">
      <formula>NOT(ISERROR(SEARCH("Faltan menos de 15 días para Terminar",A1)))</formula>
    </cfRule>
    <cfRule type="containsText" dxfId="51" priority="3" operator="containsText" text="Terminado">
      <formula>NOT(ISERROR(SEARCH("Terminado",A1)))</formula>
    </cfRule>
    <cfRule type="containsText" dxfId="50" priority="4" operator="containsText" text="Faltan menos de 15 días para Terminar">
      <formula>NOT(ISERROR(SEARCH("Faltan menos de 15 días para Terminar",A1)))</formula>
    </cfRule>
    <cfRule type="containsText" dxfId="49" priority="5" operator="containsText" text="Faltan menos de 30 días para Terminar">
      <formula>NOT(ISERROR(SEARCH("Faltan menos de 30 días para Terminar",A1)))</formula>
    </cfRule>
    <cfRule type="containsText" dxfId="48" priority="6" operator="containsText" text="Faltan menos de 30 días para Terminar">
      <formula>NOT(ISERROR(SEARCH("Faltan menos de 30 días para Terminar",A1)))</formula>
    </cfRule>
  </conditionalFormatting>
  <dataValidations count="8">
    <dataValidation type="list" allowBlank="1" showInputMessage="1" showErrorMessage="1" sqref="A3:A307" xr:uid="{8634EB94-B2A1-4986-A514-B22F4354F276}">
      <formula1>"Casa Matriz, Sucursal"</formula1>
    </dataValidation>
    <dataValidation type="list" allowBlank="1" showInputMessage="1" showErrorMessage="1" sqref="B4:B307" xr:uid="{AD0CA07C-CF66-47F2-A58C-3EF3C46FC8FE}">
      <formula1>"Presidencia_, Secretaría_General, Vicepresidencia_Comercial, Vicepresidencia_Desarrollo_Corporativo, Vicepresidencia_Financiera, Vicepresidencia_De_Indemnizaciones,Vicepresidencia_Jurídica,Vicepresidencia_Técnica"</formula1>
    </dataValidation>
    <dataValidation type="list" allowBlank="1" showInputMessage="1" showErrorMessage="1" sqref="J4:J307" xr:uid="{96FF37F2-34D3-45CF-8856-8C86BFB27056}">
      <formula1>"1 PERSONA NATURAL, 2 PERSONA JURÍDICA, 3 P JURÍDICA - UNIÓN TEMPORAL o CONSORCIO"</formula1>
    </dataValidation>
    <dataValidation type="list" allowBlank="1" showInputMessage="1" showErrorMessage="1" sqref="AB4:AB307" xr:uid="{FF217EC4-F4E7-4B3B-9AF9-06AB9D2C2CBE}">
      <formula1>"En ejecución, Finalizado, En Liquidación, Liquidado, Por Liquidar,No se Liquida"</formula1>
    </dataValidation>
    <dataValidation type="list" allowBlank="1" showInputMessage="1" showErrorMessage="1" sqref="W11:X11 W14:X14 W22:X22 W25:X25 W30:X31 W46:X50 W60:X60 W62:X63 W97:X98 W102:X102 W108:X108 W110:X110 W114:X114 W116:X116 W118:X118 W120:X124 W39:X44 W278:X307 W243:X276 W237:X241 W205:X235 W153:X203 W126:X151 W85:X94 W78:X83 W71:X76 W68:X69 W65:X66 W53:X58 W35:X37 W33:X33 Q4:Q307 U4:U307" xr:uid="{6FBE5A89-53F3-41F3-881E-7D44060F72BC}">
      <formula1>"SI, NO"</formula1>
    </dataValidation>
    <dataValidation type="list" allowBlank="1" showInputMessage="1" showErrorMessage="1" sqref="E27 E160 E6 E19:E20 E36 E157 E29 E196:E307 E167:E194 E163:E165 E153" xr:uid="{0889302D-AD89-40F4-95D7-B1C563ABDDDD}">
      <formula1>"SIMPLIFICADA, INVITACIÓN ABIERTA, INVITACIÓN CERRADA, INVITACIÓN DIRECTA,CONTRATACIÓN DIRECTA, ACUERDO MARCO"</formula1>
    </dataValidation>
    <dataValidation type="list" allowBlank="1" showInputMessage="1" showErrorMessage="1" sqref="C98" xr:uid="{E675FC0A-27C1-4796-83BA-3EFEFCDD78FE}">
      <formula1>INDIRECT(B98)</formula1>
    </dataValidation>
    <dataValidation type="list" allowBlank="1" showInputMessage="1" showErrorMessage="1" sqref="E28 E166 E195 E21:E26 E161:E162 E4:E5 E7:E18 E37:E159 E30:E35" xr:uid="{51F46916-B60C-4C4D-8DF4-8F5B3ABE22EB}">
      <formula1>"ACEPTACIÓN DE OFERTA, INVITACIÓN ABIERTA, INVITACIÓN CERRADA, INVITACIÓN DIRECTA"</formula1>
    </dataValidation>
  </dataValidations>
  <hyperlinks>
    <hyperlink ref="AI285" r:id="rId1" xr:uid="{DFC9023C-D707-42A6-BEF4-CF934FADDD27}"/>
    <hyperlink ref="AI27" r:id="rId2" display="https://www.secop.gov.co/CO1BusinessLine/Tendering/ProcedureEdit/View?docUniqueIdentifier=CO1.REQ.2242880&amp;prevCtxUrl=https%3a%2f%2fwww.secop.gov.co%2fCO1BusinessLine%2fTendering%2fBuyerDossierWorkspace%2fIndex%3freference%3d036%26createDateFrom%3d01%2f12%2f2019+07%3a02%3a00%26createDateTo%3d01%2f06%2f2022+19%3a02%3a00%26filteringState%3d0%26sortingState%3dLastModifiedDESC%26showAdvancedSearch%3dTrue%26showAdvancedSearchFields%3dFalse%26advSrchFolderCode%3dALL%26selectedDossier%3dCO1.BDOS.2182999%26selectedRequest%3dCO1.REQ.2242880%26&amp;prevCtxLbl=Procesos+de+la+Entidad+Estatal" xr:uid="{94AC0957-0E5B-4D27-9514-D11D34622E8C}"/>
  </hyperlinks>
  <pageMargins left="0.51181102362204722" right="0.51181102362204722" top="0.74803149606299213" bottom="0.74803149606299213" header="0.31496062992125984" footer="0.31496062992125984"/>
  <pageSetup scale="90" orientation="landscape" r:id="rId3"/>
  <headerFooter>
    <oddFooter>&amp;C_x000D_&amp;1#&amp;"Calibri"&amp;10&amp;K000000 DOCUMENTO DE USO INTERNO</oddFooter>
  </headerFooter>
  <ignoredErrors>
    <ignoredError sqref="A3" listDataValidation="1"/>
  </ignoredErrors>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00C2C-DCD6-4CD0-8535-E14CD30D862A}">
  <dimension ref="A1:AJ27"/>
  <sheetViews>
    <sheetView showGridLines="0" zoomScale="90" zoomScaleNormal="90" workbookViewId="0">
      <selection activeCell="E5" sqref="E5"/>
    </sheetView>
  </sheetViews>
  <sheetFormatPr baseColWidth="10" defaultColWidth="14.81640625" defaultRowHeight="14.5" x14ac:dyDescent="0.35"/>
  <cols>
    <col min="1" max="1" width="12" style="2" customWidth="1"/>
    <col min="2" max="2" width="16.7265625" style="2" bestFit="1" customWidth="1"/>
    <col min="3" max="3" width="16.54296875" style="2" customWidth="1"/>
    <col min="4" max="4" width="16.453125" style="2" customWidth="1"/>
    <col min="5" max="5" width="14.81640625" style="2" customWidth="1"/>
    <col min="6" max="6" width="18.81640625" style="2" customWidth="1"/>
    <col min="7" max="7" width="37.08984375" style="2" customWidth="1"/>
    <col min="8" max="8" width="16.7265625" customWidth="1"/>
    <col min="9" max="9" width="34.81640625" style="41" customWidth="1"/>
    <col min="10" max="10" width="19.81640625" style="2" hidden="1" customWidth="1"/>
    <col min="11" max="11" width="15.26953125" style="2" hidden="1" customWidth="1"/>
    <col min="12" max="12" width="22.36328125" style="2" bestFit="1" customWidth="1"/>
    <col min="13" max="13" width="14.7265625" style="2" customWidth="1"/>
    <col min="14" max="14" width="18.7265625" style="2" bestFit="1" customWidth="1"/>
    <col min="15" max="15" width="18.81640625" style="2" customWidth="1"/>
    <col min="16" max="16" width="15.7265625" style="2" bestFit="1" customWidth="1"/>
    <col min="17" max="17" width="15.1796875" style="2" customWidth="1"/>
    <col min="18" max="18" width="13.7265625" style="27" customWidth="1"/>
    <col min="19" max="19" width="15.1796875" style="2" bestFit="1" customWidth="1"/>
    <col min="20" max="20" width="15.08984375" style="2" bestFit="1" customWidth="1"/>
    <col min="21" max="21" width="21.453125" style="2" customWidth="1"/>
    <col min="22" max="22" width="22.08984375" style="2" hidden="1" customWidth="1"/>
    <col min="23" max="23" width="22.36328125" style="2" customWidth="1"/>
    <col min="24" max="24" width="18.54296875" style="2" customWidth="1"/>
    <col min="25" max="25" width="17.54296875" style="2" customWidth="1"/>
    <col min="26" max="26" width="19.81640625" style="2" customWidth="1"/>
    <col min="27" max="27" width="18.7265625" style="2" customWidth="1"/>
    <col min="28" max="28" width="26.26953125" style="2" customWidth="1"/>
    <col min="29" max="29" width="23.90625" style="2" customWidth="1"/>
    <col min="30" max="30" width="24.81640625" style="34" customWidth="1"/>
    <col min="31" max="31" width="13.6328125" customWidth="1"/>
    <col min="32" max="32" width="13.26953125" style="2" customWidth="1"/>
    <col min="33" max="33" width="25.81640625" style="2" customWidth="1"/>
    <col min="34" max="34" width="5.1796875" style="2" customWidth="1"/>
    <col min="35" max="35" width="18" style="2" customWidth="1"/>
    <col min="36" max="37" width="14.81640625" style="2" customWidth="1"/>
    <col min="38" max="16384" width="14.81640625" style="2"/>
  </cols>
  <sheetData>
    <row r="1" spans="1:36" ht="18" x14ac:dyDescent="0.35">
      <c r="A1" s="190" t="s">
        <v>4065</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3"/>
    </row>
    <row r="2" spans="1:36" ht="32" customHeight="1" thickBot="1" x14ac:dyDescent="0.4">
      <c r="A2" s="191" t="s">
        <v>4062</v>
      </c>
      <c r="B2" s="175"/>
      <c r="C2" s="175"/>
      <c r="D2" s="175"/>
      <c r="E2" s="175"/>
      <c r="F2" s="175"/>
      <c r="G2" s="175"/>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3"/>
    </row>
    <row r="3" spans="1:36" ht="97" customHeight="1" thickTop="1" thickBot="1" x14ac:dyDescent="0.4">
      <c r="A3" s="90" t="s">
        <v>280</v>
      </c>
      <c r="B3" s="90" t="s">
        <v>282</v>
      </c>
      <c r="C3" s="90" t="s">
        <v>283</v>
      </c>
      <c r="D3" s="90" t="s">
        <v>284</v>
      </c>
      <c r="E3" s="90" t="s">
        <v>1378</v>
      </c>
      <c r="F3" s="90" t="s">
        <v>285</v>
      </c>
      <c r="G3" s="90" t="s">
        <v>286</v>
      </c>
      <c r="H3" s="181" t="s">
        <v>1379</v>
      </c>
      <c r="I3" s="181" t="s">
        <v>1436</v>
      </c>
      <c r="J3" s="182" t="s">
        <v>1437</v>
      </c>
      <c r="K3" s="182" t="s">
        <v>1380</v>
      </c>
      <c r="L3" s="183" t="s">
        <v>1438</v>
      </c>
      <c r="M3" s="183" t="s">
        <v>289</v>
      </c>
      <c r="N3" s="183" t="s">
        <v>1439</v>
      </c>
      <c r="O3" s="192" t="s">
        <v>1440</v>
      </c>
      <c r="P3" s="180" t="s">
        <v>1381</v>
      </c>
      <c r="Q3" s="180" t="s">
        <v>290</v>
      </c>
      <c r="R3" s="181" t="s">
        <v>291</v>
      </c>
      <c r="S3" s="181" t="s">
        <v>292</v>
      </c>
      <c r="T3" s="181" t="s">
        <v>1404</v>
      </c>
      <c r="U3" s="184" t="s">
        <v>293</v>
      </c>
      <c r="V3" s="184" t="s">
        <v>2639</v>
      </c>
      <c r="W3" s="184" t="s">
        <v>1692</v>
      </c>
      <c r="X3" s="181" t="s">
        <v>294</v>
      </c>
      <c r="Y3" s="181" t="s">
        <v>295</v>
      </c>
      <c r="Z3" s="181" t="s">
        <v>296</v>
      </c>
      <c r="AA3" s="185" t="s">
        <v>1445</v>
      </c>
      <c r="AB3" s="186" t="s">
        <v>1446</v>
      </c>
      <c r="AC3" s="186" t="s">
        <v>1442</v>
      </c>
      <c r="AD3" s="181" t="s">
        <v>1693</v>
      </c>
      <c r="AE3" s="181" t="s">
        <v>297</v>
      </c>
    </row>
    <row r="4" spans="1:36" ht="44" thickTop="1" x14ac:dyDescent="0.35">
      <c r="A4" s="43" t="s">
        <v>3988</v>
      </c>
      <c r="B4" s="26" t="s">
        <v>319</v>
      </c>
      <c r="C4" s="27" t="s">
        <v>300</v>
      </c>
      <c r="D4" s="66" t="s">
        <v>3989</v>
      </c>
      <c r="E4" s="65">
        <v>45536</v>
      </c>
      <c r="F4" s="2" t="s">
        <v>88</v>
      </c>
      <c r="G4" s="67" t="s">
        <v>3990</v>
      </c>
      <c r="H4" s="42">
        <v>18100882</v>
      </c>
      <c r="I4" s="2" t="s">
        <v>3991</v>
      </c>
      <c r="J4" s="36">
        <v>36000000</v>
      </c>
      <c r="K4" s="28"/>
      <c r="L4" s="36">
        <v>36000000</v>
      </c>
      <c r="M4" s="69" t="s">
        <v>301</v>
      </c>
      <c r="N4" s="3">
        <v>37872000</v>
      </c>
      <c r="O4" s="28">
        <v>73872000</v>
      </c>
      <c r="P4" s="4">
        <v>365</v>
      </c>
      <c r="Q4" s="23" t="s">
        <v>301</v>
      </c>
      <c r="R4" s="101">
        <v>365</v>
      </c>
      <c r="S4" s="70" t="s">
        <v>302</v>
      </c>
      <c r="T4" s="70"/>
      <c r="U4" s="65">
        <v>45536</v>
      </c>
      <c r="V4" s="65">
        <v>45901</v>
      </c>
      <c r="W4" s="65">
        <v>46266</v>
      </c>
      <c r="X4" s="64" t="s">
        <v>303</v>
      </c>
      <c r="Y4" s="71"/>
      <c r="Z4" s="70"/>
      <c r="AA4" s="30">
        <v>0.32</v>
      </c>
      <c r="AB4" s="30">
        <v>0.32</v>
      </c>
      <c r="AC4" s="31">
        <v>12624000</v>
      </c>
      <c r="AD4" s="32" t="s">
        <v>3992</v>
      </c>
      <c r="AE4" s="44">
        <v>2024</v>
      </c>
    </row>
    <row r="5" spans="1:36" ht="43.5" x14ac:dyDescent="0.35">
      <c r="A5" s="43" t="s">
        <v>3988</v>
      </c>
      <c r="B5" s="26" t="s">
        <v>357</v>
      </c>
      <c r="C5" s="27" t="s">
        <v>300</v>
      </c>
      <c r="D5" s="74" t="s">
        <v>3239</v>
      </c>
      <c r="E5" s="65">
        <v>45272</v>
      </c>
      <c r="F5" s="2" t="s">
        <v>88</v>
      </c>
      <c r="G5" s="67" t="s">
        <v>3240</v>
      </c>
      <c r="H5" s="42" t="s">
        <v>3241</v>
      </c>
      <c r="I5" s="2" t="s">
        <v>3242</v>
      </c>
      <c r="J5" s="143">
        <v>248075018.48699999</v>
      </c>
      <c r="K5" s="143">
        <v>47134253.512500003</v>
      </c>
      <c r="L5" s="36">
        <v>295209272</v>
      </c>
      <c r="M5" s="69" t="s">
        <v>302</v>
      </c>
      <c r="N5" s="3"/>
      <c r="O5" s="28">
        <v>295209272</v>
      </c>
      <c r="P5" s="4">
        <v>1095</v>
      </c>
      <c r="Q5" s="70" t="s">
        <v>302</v>
      </c>
      <c r="R5" s="101"/>
      <c r="S5" s="70" t="s">
        <v>302</v>
      </c>
      <c r="T5" s="70"/>
      <c r="U5" s="65">
        <v>45282</v>
      </c>
      <c r="V5" s="65">
        <v>46377</v>
      </c>
      <c r="W5" s="144">
        <v>46377</v>
      </c>
      <c r="X5" s="64" t="s">
        <v>303</v>
      </c>
      <c r="Y5" s="71"/>
      <c r="Z5" s="70"/>
      <c r="AA5" s="30">
        <v>0.64059999999999995</v>
      </c>
      <c r="AB5" s="30">
        <v>0.64059999999999995</v>
      </c>
      <c r="AC5" s="31">
        <v>189113435</v>
      </c>
      <c r="AD5" s="32" t="s">
        <v>3244</v>
      </c>
      <c r="AE5" s="44">
        <v>2023</v>
      </c>
    </row>
    <row r="6" spans="1:36" ht="33" customHeight="1" x14ac:dyDescent="0.35">
      <c r="A6" s="43" t="s">
        <v>3988</v>
      </c>
      <c r="B6" s="26" t="s">
        <v>341</v>
      </c>
      <c r="C6" s="70" t="s">
        <v>312</v>
      </c>
      <c r="D6" s="74" t="s">
        <v>2892</v>
      </c>
      <c r="E6" s="71">
        <v>44895</v>
      </c>
      <c r="F6" s="26" t="s">
        <v>150</v>
      </c>
      <c r="G6" s="112" t="s">
        <v>3993</v>
      </c>
      <c r="H6" s="42" t="s">
        <v>2894</v>
      </c>
      <c r="I6" s="26" t="s">
        <v>2895</v>
      </c>
      <c r="J6" s="29">
        <v>285354035</v>
      </c>
      <c r="K6" s="28">
        <v>54217268</v>
      </c>
      <c r="L6" s="36">
        <v>339571303</v>
      </c>
      <c r="M6" s="69" t="s">
        <v>301</v>
      </c>
      <c r="N6" s="116">
        <v>33055344</v>
      </c>
      <c r="O6" s="28">
        <v>372626647</v>
      </c>
      <c r="P6" s="4">
        <v>1339</v>
      </c>
      <c r="Q6" s="70" t="s">
        <v>302</v>
      </c>
      <c r="R6" s="101"/>
      <c r="S6" s="70" t="s">
        <v>302</v>
      </c>
      <c r="T6" s="70"/>
      <c r="U6" s="71">
        <v>44895</v>
      </c>
      <c r="V6" s="118">
        <v>46234</v>
      </c>
      <c r="W6" s="118">
        <v>46234</v>
      </c>
      <c r="X6" s="43" t="s">
        <v>303</v>
      </c>
      <c r="Y6" s="71"/>
      <c r="Z6" s="70"/>
      <c r="AA6" s="30">
        <v>0.84</v>
      </c>
      <c r="AB6" s="30">
        <v>0.88</v>
      </c>
      <c r="AC6" s="31">
        <v>328304531</v>
      </c>
      <c r="AD6" s="32" t="s">
        <v>2897</v>
      </c>
      <c r="AE6" s="44">
        <v>2022</v>
      </c>
    </row>
    <row r="7" spans="1:36" ht="29" x14ac:dyDescent="0.35">
      <c r="A7" s="43" t="s">
        <v>3988</v>
      </c>
      <c r="B7" s="26" t="s">
        <v>341</v>
      </c>
      <c r="C7" s="70" t="s">
        <v>300</v>
      </c>
      <c r="D7" s="74" t="s">
        <v>2903</v>
      </c>
      <c r="E7" s="71">
        <v>44896</v>
      </c>
      <c r="F7" s="26" t="s">
        <v>150</v>
      </c>
      <c r="G7" s="112" t="s">
        <v>2904</v>
      </c>
      <c r="H7" s="42" t="s">
        <v>2905</v>
      </c>
      <c r="I7" s="26" t="s">
        <v>2906</v>
      </c>
      <c r="J7" s="29">
        <v>198634860</v>
      </c>
      <c r="K7" s="28">
        <v>37740623</v>
      </c>
      <c r="L7" s="29">
        <v>236375483</v>
      </c>
      <c r="M7" s="69" t="s">
        <v>302</v>
      </c>
      <c r="N7" s="116"/>
      <c r="O7" s="28">
        <v>236375483</v>
      </c>
      <c r="P7" s="4">
        <v>1445</v>
      </c>
      <c r="Q7" s="70" t="s">
        <v>302</v>
      </c>
      <c r="R7" s="101"/>
      <c r="S7" s="70" t="s">
        <v>302</v>
      </c>
      <c r="T7" s="70"/>
      <c r="U7" s="71">
        <v>44911</v>
      </c>
      <c r="V7" s="118">
        <v>46356</v>
      </c>
      <c r="W7" s="118">
        <v>46356</v>
      </c>
      <c r="X7" s="43" t="s">
        <v>303</v>
      </c>
      <c r="Y7" s="71"/>
      <c r="Z7" s="70"/>
      <c r="AA7" s="30">
        <v>0.77</v>
      </c>
      <c r="AB7" s="30">
        <v>0.63</v>
      </c>
      <c r="AC7" s="31">
        <v>148395619</v>
      </c>
      <c r="AD7" s="32" t="s">
        <v>2907</v>
      </c>
      <c r="AE7" s="44">
        <v>2022</v>
      </c>
    </row>
    <row r="8" spans="1:36" ht="65.5" customHeight="1" x14ac:dyDescent="0.35">
      <c r="A8" s="43" t="s">
        <v>3988</v>
      </c>
      <c r="B8" s="26" t="s">
        <v>328</v>
      </c>
      <c r="C8" s="71" t="s">
        <v>300</v>
      </c>
      <c r="D8" s="74" t="s">
        <v>3994</v>
      </c>
      <c r="E8" s="71">
        <v>44102</v>
      </c>
      <c r="F8" s="2" t="s">
        <v>88</v>
      </c>
      <c r="G8" s="112" t="s">
        <v>3995</v>
      </c>
      <c r="H8" s="42">
        <v>19070063</v>
      </c>
      <c r="I8" s="26" t="s">
        <v>3996</v>
      </c>
      <c r="J8" s="28">
        <v>14796000</v>
      </c>
      <c r="K8" s="28">
        <v>0</v>
      </c>
      <c r="L8" s="3">
        <v>14796000</v>
      </c>
      <c r="M8" s="69" t="s">
        <v>301</v>
      </c>
      <c r="N8" s="116">
        <v>86467670</v>
      </c>
      <c r="O8" s="28">
        <v>101263670</v>
      </c>
      <c r="P8" s="4">
        <v>365</v>
      </c>
      <c r="Q8" s="70" t="s">
        <v>301</v>
      </c>
      <c r="R8" s="101">
        <v>1825</v>
      </c>
      <c r="S8" s="70" t="s">
        <v>302</v>
      </c>
      <c r="T8" s="70"/>
      <c r="U8" s="71">
        <v>44105</v>
      </c>
      <c r="V8" s="118">
        <v>44470</v>
      </c>
      <c r="W8" s="118">
        <v>46295</v>
      </c>
      <c r="X8" s="43" t="s">
        <v>303</v>
      </c>
      <c r="Y8" s="71"/>
      <c r="Z8" s="70"/>
      <c r="AA8" s="30" t="s">
        <v>3997</v>
      </c>
      <c r="AB8" s="30" t="s">
        <v>3997</v>
      </c>
      <c r="AC8" s="31">
        <v>81665413</v>
      </c>
      <c r="AD8" s="32" t="s">
        <v>2644</v>
      </c>
      <c r="AE8" s="44">
        <v>2020</v>
      </c>
    </row>
    <row r="9" spans="1:36" ht="43.5" x14ac:dyDescent="0.35">
      <c r="A9" s="43" t="s">
        <v>3988</v>
      </c>
      <c r="B9" s="26" t="s">
        <v>318</v>
      </c>
      <c r="C9" s="71" t="s">
        <v>300</v>
      </c>
      <c r="D9" s="74" t="s">
        <v>3998</v>
      </c>
      <c r="E9" s="71">
        <v>42934</v>
      </c>
      <c r="F9" s="2" t="s">
        <v>88</v>
      </c>
      <c r="G9" s="112" t="s">
        <v>3999</v>
      </c>
      <c r="H9" s="42" t="s">
        <v>4049</v>
      </c>
      <c r="I9" s="26" t="s">
        <v>4000</v>
      </c>
      <c r="J9" s="28">
        <v>341102875</v>
      </c>
      <c r="K9" s="28">
        <v>4023893</v>
      </c>
      <c r="L9" s="3">
        <v>345126768</v>
      </c>
      <c r="M9" s="69" t="s">
        <v>301</v>
      </c>
      <c r="N9" s="116">
        <v>171586839</v>
      </c>
      <c r="O9" s="28">
        <f>+Tabla151324[[#This Row],[VALOR TOTAL DEL CONTRATO
(en pesos)
CON IVA
(inicial)]]+Tabla151324[[#This Row],[VALOR DE LAS ADICIONES
(en pesos)
CON IVA]]</f>
        <v>516713607</v>
      </c>
      <c r="P9" s="4">
        <v>365</v>
      </c>
      <c r="Q9" s="70" t="s">
        <v>301</v>
      </c>
      <c r="R9" s="101">
        <v>2922</v>
      </c>
      <c r="S9" s="70" t="s">
        <v>302</v>
      </c>
      <c r="T9" s="70"/>
      <c r="U9" s="71">
        <v>42934</v>
      </c>
      <c r="V9" s="118">
        <v>43299</v>
      </c>
      <c r="W9" s="118">
        <v>46221</v>
      </c>
      <c r="X9" s="43" t="s">
        <v>303</v>
      </c>
      <c r="Y9" s="71"/>
      <c r="Z9" s="70"/>
      <c r="AA9" s="30">
        <v>0.92</v>
      </c>
      <c r="AB9" s="30">
        <v>0.92</v>
      </c>
      <c r="AC9" s="31">
        <v>476926472</v>
      </c>
      <c r="AD9" s="32" t="s">
        <v>2644</v>
      </c>
      <c r="AE9" s="44">
        <v>2017</v>
      </c>
    </row>
    <row r="10" spans="1:36" ht="43.5" x14ac:dyDescent="0.35">
      <c r="A10" s="43" t="s">
        <v>3988</v>
      </c>
      <c r="B10" s="26" t="s">
        <v>315</v>
      </c>
      <c r="C10" s="71" t="s">
        <v>300</v>
      </c>
      <c r="D10" s="74" t="s">
        <v>4001</v>
      </c>
      <c r="E10" s="71">
        <v>41426</v>
      </c>
      <c r="F10" s="2" t="s">
        <v>88</v>
      </c>
      <c r="G10" s="112" t="s">
        <v>4002</v>
      </c>
      <c r="H10" s="42" t="s">
        <v>4050</v>
      </c>
      <c r="I10" s="26" t="s">
        <v>4003</v>
      </c>
      <c r="J10" s="28">
        <v>292735916</v>
      </c>
      <c r="K10" s="28">
        <v>55619824</v>
      </c>
      <c r="L10" s="3">
        <v>348355740</v>
      </c>
      <c r="M10" s="69" t="s">
        <v>301</v>
      </c>
      <c r="N10" s="116">
        <v>113403699</v>
      </c>
      <c r="O10" s="28">
        <v>461759439</v>
      </c>
      <c r="P10" s="4">
        <v>1825</v>
      </c>
      <c r="Q10" s="70" t="s">
        <v>301</v>
      </c>
      <c r="R10" s="101">
        <v>2922</v>
      </c>
      <c r="S10" s="70" t="s">
        <v>302</v>
      </c>
      <c r="T10" s="70"/>
      <c r="U10" s="71">
        <v>41426</v>
      </c>
      <c r="V10" s="118">
        <v>43251</v>
      </c>
      <c r="W10" s="118">
        <v>46173</v>
      </c>
      <c r="X10" s="43" t="s">
        <v>303</v>
      </c>
      <c r="Y10" s="71"/>
      <c r="Z10" s="70"/>
      <c r="AA10" s="30">
        <v>0.58330000000000004</v>
      </c>
      <c r="AB10" s="30">
        <v>0.58330000000000004</v>
      </c>
      <c r="AC10" s="31">
        <v>69617541</v>
      </c>
      <c r="AD10" s="32" t="s">
        <v>2644</v>
      </c>
      <c r="AE10" s="44">
        <v>2013</v>
      </c>
    </row>
    <row r="11" spans="1:36" ht="43.5" x14ac:dyDescent="0.35">
      <c r="A11" s="43" t="s">
        <v>3988</v>
      </c>
      <c r="B11" s="26" t="s">
        <v>316</v>
      </c>
      <c r="C11" s="71" t="s">
        <v>300</v>
      </c>
      <c r="D11" s="74" t="s">
        <v>4004</v>
      </c>
      <c r="E11" s="71">
        <v>41439</v>
      </c>
      <c r="F11" s="2" t="s">
        <v>88</v>
      </c>
      <c r="G11" s="112" t="s">
        <v>4005</v>
      </c>
      <c r="H11" s="42" t="s">
        <v>4051</v>
      </c>
      <c r="I11" s="26" t="s">
        <v>4006</v>
      </c>
      <c r="J11" s="3">
        <v>353922756</v>
      </c>
      <c r="K11" s="28">
        <v>56627640</v>
      </c>
      <c r="L11" s="3">
        <v>410550396</v>
      </c>
      <c r="M11" s="69" t="s">
        <v>301</v>
      </c>
      <c r="N11" s="116">
        <v>911790777</v>
      </c>
      <c r="O11" s="28">
        <v>1322341173</v>
      </c>
      <c r="P11" s="4">
        <v>1826</v>
      </c>
      <c r="Q11" s="70" t="s">
        <v>301</v>
      </c>
      <c r="R11" s="101">
        <v>2922</v>
      </c>
      <c r="S11" s="70" t="s">
        <v>302</v>
      </c>
      <c r="T11" s="70"/>
      <c r="U11" s="71">
        <v>41439</v>
      </c>
      <c r="V11" s="118">
        <v>43265</v>
      </c>
      <c r="W11" s="118">
        <v>46187</v>
      </c>
      <c r="X11" s="43" t="s">
        <v>303</v>
      </c>
      <c r="Y11" s="71"/>
      <c r="Z11" s="70"/>
      <c r="AA11" s="30">
        <v>1</v>
      </c>
      <c r="AB11" s="30">
        <v>1</v>
      </c>
      <c r="AC11" s="173">
        <v>69911023.560000002</v>
      </c>
      <c r="AD11" s="32" t="s">
        <v>2644</v>
      </c>
      <c r="AE11" s="44">
        <v>2013</v>
      </c>
    </row>
    <row r="12" spans="1:36" ht="43.5" x14ac:dyDescent="0.35">
      <c r="A12" s="43" t="s">
        <v>3988</v>
      </c>
      <c r="B12" s="26" t="s">
        <v>317</v>
      </c>
      <c r="C12" s="71" t="s">
        <v>300</v>
      </c>
      <c r="D12" s="74" t="s">
        <v>4007</v>
      </c>
      <c r="E12" s="71">
        <v>41501</v>
      </c>
      <c r="F12" s="2" t="s">
        <v>88</v>
      </c>
      <c r="G12" s="112" t="s">
        <v>4008</v>
      </c>
      <c r="H12" s="42" t="s">
        <v>4052</v>
      </c>
      <c r="I12" s="26" t="s">
        <v>4009</v>
      </c>
      <c r="J12" s="28">
        <v>30624000</v>
      </c>
      <c r="K12" s="28">
        <v>11788800</v>
      </c>
      <c r="L12" s="3">
        <f>30624000+11788800</f>
        <v>42412800</v>
      </c>
      <c r="M12" s="69" t="s">
        <v>301</v>
      </c>
      <c r="N12" s="116">
        <v>721383506</v>
      </c>
      <c r="O12" s="28">
        <v>763796306</v>
      </c>
      <c r="P12" s="4">
        <v>4382</v>
      </c>
      <c r="Q12" s="70" t="s">
        <v>301</v>
      </c>
      <c r="R12" s="101">
        <v>365</v>
      </c>
      <c r="S12" s="70" t="s">
        <v>302</v>
      </c>
      <c r="T12" s="70"/>
      <c r="U12" s="71">
        <v>41501</v>
      </c>
      <c r="V12" s="71">
        <v>45883</v>
      </c>
      <c r="W12" s="71">
        <v>46248</v>
      </c>
      <c r="X12" s="43" t="s">
        <v>303</v>
      </c>
      <c r="Y12" s="71"/>
      <c r="Z12" s="70"/>
      <c r="AA12" s="30" t="s">
        <v>4010</v>
      </c>
      <c r="AB12" s="30" t="s">
        <v>4011</v>
      </c>
      <c r="AC12" s="31">
        <v>699582648</v>
      </c>
      <c r="AD12" s="32" t="s">
        <v>2644</v>
      </c>
      <c r="AE12" s="44">
        <v>2013</v>
      </c>
    </row>
    <row r="13" spans="1:36" ht="43.5" x14ac:dyDescent="0.35">
      <c r="A13" s="43" t="s">
        <v>3988</v>
      </c>
      <c r="B13" s="26" t="s">
        <v>314</v>
      </c>
      <c r="C13" s="71" t="s">
        <v>300</v>
      </c>
      <c r="D13" s="74" t="s">
        <v>4012</v>
      </c>
      <c r="E13" s="71">
        <v>41247</v>
      </c>
      <c r="F13" s="2" t="s">
        <v>88</v>
      </c>
      <c r="G13" s="112" t="s">
        <v>4013</v>
      </c>
      <c r="H13" s="42" t="s">
        <v>4053</v>
      </c>
      <c r="I13" s="26" t="s">
        <v>4014</v>
      </c>
      <c r="J13" s="28">
        <v>636303431</v>
      </c>
      <c r="K13" s="28">
        <v>101808549</v>
      </c>
      <c r="L13" s="3">
        <v>738111980</v>
      </c>
      <c r="M13" s="69" t="s">
        <v>301</v>
      </c>
      <c r="N13" s="116">
        <v>1590179394</v>
      </c>
      <c r="O13" s="28">
        <v>2328291374</v>
      </c>
      <c r="P13" s="4">
        <v>5113</v>
      </c>
      <c r="Q13" s="70" t="s">
        <v>301</v>
      </c>
      <c r="R13" s="101">
        <v>0</v>
      </c>
      <c r="S13" s="70" t="s">
        <v>302</v>
      </c>
      <c r="T13" s="70"/>
      <c r="U13" s="71">
        <v>41247</v>
      </c>
      <c r="V13" s="118">
        <v>46360</v>
      </c>
      <c r="W13" s="118">
        <v>46360</v>
      </c>
      <c r="X13" s="43" t="s">
        <v>303</v>
      </c>
      <c r="Y13" s="71"/>
      <c r="Z13" s="70"/>
      <c r="AA13" s="30">
        <v>0.89</v>
      </c>
      <c r="AB13" s="30">
        <v>0.89</v>
      </c>
      <c r="AC13" s="31">
        <v>2075189113.5799999</v>
      </c>
      <c r="AD13" s="32" t="s">
        <v>2644</v>
      </c>
      <c r="AE13" s="44">
        <v>2012</v>
      </c>
    </row>
    <row r="14" spans="1:36" ht="43.5" x14ac:dyDescent="0.35">
      <c r="A14" s="43" t="s">
        <v>3988</v>
      </c>
      <c r="B14" s="2" t="s">
        <v>313</v>
      </c>
      <c r="C14" s="71" t="s">
        <v>300</v>
      </c>
      <c r="D14" s="74" t="s">
        <v>4015</v>
      </c>
      <c r="E14" s="71">
        <v>40878</v>
      </c>
      <c r="F14" s="2" t="s">
        <v>88</v>
      </c>
      <c r="G14" s="112" t="s">
        <v>4016</v>
      </c>
      <c r="H14" s="42" t="s">
        <v>4017</v>
      </c>
      <c r="I14" s="26" t="s">
        <v>4018</v>
      </c>
      <c r="J14" s="28">
        <v>221090591</v>
      </c>
      <c r="K14" s="28">
        <v>42007212</v>
      </c>
      <c r="L14" s="3">
        <v>263097803</v>
      </c>
      <c r="M14" s="69" t="s">
        <v>301</v>
      </c>
      <c r="N14" s="116">
        <v>2727963621</v>
      </c>
      <c r="O14" s="28">
        <v>2991061424</v>
      </c>
      <c r="P14" s="4">
        <v>366</v>
      </c>
      <c r="Q14" s="70" t="s">
        <v>301</v>
      </c>
      <c r="R14" s="101">
        <v>5113</v>
      </c>
      <c r="S14" s="70" t="s">
        <v>302</v>
      </c>
      <c r="T14" s="70"/>
      <c r="U14" s="71">
        <v>40878</v>
      </c>
      <c r="V14" s="118">
        <v>41244</v>
      </c>
      <c r="W14" s="118">
        <v>46357</v>
      </c>
      <c r="X14" s="43" t="s">
        <v>303</v>
      </c>
      <c r="Y14" s="71"/>
      <c r="Z14" s="70"/>
      <c r="AA14" s="30">
        <v>1</v>
      </c>
      <c r="AB14" s="30">
        <v>1</v>
      </c>
      <c r="AC14" s="31">
        <v>446604169</v>
      </c>
      <c r="AD14" s="32" t="s">
        <v>2644</v>
      </c>
      <c r="AE14" s="44">
        <v>2011</v>
      </c>
    </row>
    <row r="15" spans="1:36" ht="43.5" x14ac:dyDescent="0.35">
      <c r="A15" s="43" t="s">
        <v>3988</v>
      </c>
      <c r="B15" s="26" t="s">
        <v>311</v>
      </c>
      <c r="C15" s="71" t="s">
        <v>300</v>
      </c>
      <c r="D15" s="74" t="s">
        <v>4019</v>
      </c>
      <c r="E15" s="71">
        <v>39941</v>
      </c>
      <c r="F15" s="2" t="s">
        <v>88</v>
      </c>
      <c r="G15" s="112" t="s">
        <v>4020</v>
      </c>
      <c r="H15" s="42" t="s">
        <v>4054</v>
      </c>
      <c r="I15" s="26" t="s">
        <v>4021</v>
      </c>
      <c r="J15" s="3">
        <v>186191988</v>
      </c>
      <c r="K15" s="28"/>
      <c r="L15" s="3">
        <v>186191988</v>
      </c>
      <c r="M15" s="69" t="s">
        <v>301</v>
      </c>
      <c r="N15" s="116">
        <v>1839296709</v>
      </c>
      <c r="O15" s="28">
        <v>2025488697</v>
      </c>
      <c r="P15" s="4">
        <v>6208</v>
      </c>
      <c r="Q15" s="70" t="s">
        <v>301</v>
      </c>
      <c r="R15" s="101"/>
      <c r="S15" s="70" t="s">
        <v>302</v>
      </c>
      <c r="T15" s="70"/>
      <c r="U15" s="71">
        <v>39944</v>
      </c>
      <c r="V15" s="118">
        <v>46152</v>
      </c>
      <c r="W15" s="118">
        <v>46152</v>
      </c>
      <c r="X15" s="43" t="s">
        <v>303</v>
      </c>
      <c r="Y15" s="71"/>
      <c r="Z15" s="70"/>
      <c r="AA15" s="30">
        <v>0.98029999999999995</v>
      </c>
      <c r="AB15" s="30">
        <v>0.98029999999999995</v>
      </c>
      <c r="AC15" s="31">
        <v>1975313033</v>
      </c>
      <c r="AD15" s="32" t="s">
        <v>2644</v>
      </c>
      <c r="AE15" s="44">
        <v>2009</v>
      </c>
    </row>
    <row r="16" spans="1:36" ht="43.5" x14ac:dyDescent="0.35">
      <c r="A16" s="43" t="s">
        <v>3988</v>
      </c>
      <c r="B16" s="2" t="s">
        <v>310</v>
      </c>
      <c r="C16" s="71" t="s">
        <v>300</v>
      </c>
      <c r="D16" s="74" t="s">
        <v>4022</v>
      </c>
      <c r="E16" s="71">
        <v>39687</v>
      </c>
      <c r="F16" s="2" t="s">
        <v>88</v>
      </c>
      <c r="G16" s="112" t="s">
        <v>4023</v>
      </c>
      <c r="H16" s="42" t="s">
        <v>4055</v>
      </c>
      <c r="I16" s="26" t="s">
        <v>4024</v>
      </c>
      <c r="J16" s="28">
        <v>13500000</v>
      </c>
      <c r="K16" s="28">
        <v>0</v>
      </c>
      <c r="L16" s="3">
        <v>13500000</v>
      </c>
      <c r="M16" s="69" t="s">
        <v>301</v>
      </c>
      <c r="N16" s="116">
        <v>70404175</v>
      </c>
      <c r="O16" s="28">
        <v>83904175</v>
      </c>
      <c r="P16" s="4">
        <v>6335</v>
      </c>
      <c r="Q16" s="70" t="s">
        <v>301</v>
      </c>
      <c r="R16" s="101">
        <v>365</v>
      </c>
      <c r="S16" s="70" t="s">
        <v>302</v>
      </c>
      <c r="T16" s="70"/>
      <c r="U16" s="71">
        <v>39687</v>
      </c>
      <c r="V16" s="118">
        <v>46022</v>
      </c>
      <c r="W16" s="118">
        <v>46387</v>
      </c>
      <c r="X16" s="43" t="s">
        <v>303</v>
      </c>
      <c r="Y16" s="71"/>
      <c r="Z16" s="70"/>
      <c r="AA16" s="30">
        <v>1</v>
      </c>
      <c r="AB16" s="30">
        <v>1</v>
      </c>
      <c r="AC16" s="31">
        <v>22462154</v>
      </c>
      <c r="AD16" s="32" t="s">
        <v>2644</v>
      </c>
      <c r="AE16" s="44">
        <v>2008</v>
      </c>
    </row>
    <row r="17" spans="1:33" ht="43.5" x14ac:dyDescent="0.35">
      <c r="A17" s="43" t="s">
        <v>3988</v>
      </c>
      <c r="B17" s="26" t="s">
        <v>309</v>
      </c>
      <c r="C17" s="71" t="s">
        <v>300</v>
      </c>
      <c r="D17" s="74" t="s">
        <v>4025</v>
      </c>
      <c r="E17" s="71">
        <v>39260</v>
      </c>
      <c r="F17" s="2" t="s">
        <v>88</v>
      </c>
      <c r="G17" s="112" t="s">
        <v>4026</v>
      </c>
      <c r="H17" s="42" t="s">
        <v>4056</v>
      </c>
      <c r="I17" s="26" t="s">
        <v>4027</v>
      </c>
      <c r="J17" s="28">
        <v>47520000</v>
      </c>
      <c r="K17" s="28">
        <v>5280000</v>
      </c>
      <c r="L17" s="3">
        <v>52800000</v>
      </c>
      <c r="M17" s="69" t="s">
        <v>301</v>
      </c>
      <c r="N17" s="116">
        <v>815236951</v>
      </c>
      <c r="O17" s="28">
        <v>868036951</v>
      </c>
      <c r="P17" s="4">
        <v>187</v>
      </c>
      <c r="Q17" s="70" t="s">
        <v>301</v>
      </c>
      <c r="R17" s="101">
        <v>6940</v>
      </c>
      <c r="S17" s="70" t="s">
        <v>302</v>
      </c>
      <c r="T17" s="70"/>
      <c r="U17" s="71">
        <v>39260</v>
      </c>
      <c r="V17" s="118">
        <v>39447</v>
      </c>
      <c r="W17" s="118">
        <v>46387</v>
      </c>
      <c r="X17" s="43" t="s">
        <v>303</v>
      </c>
      <c r="Y17" s="71"/>
      <c r="Z17" s="70"/>
      <c r="AA17" s="30">
        <v>1</v>
      </c>
      <c r="AB17" s="30">
        <v>1</v>
      </c>
      <c r="AC17" s="31">
        <v>474181500</v>
      </c>
      <c r="AD17" s="32" t="s">
        <v>2644</v>
      </c>
      <c r="AE17" s="44">
        <v>2007</v>
      </c>
    </row>
    <row r="18" spans="1:33" ht="43.5" x14ac:dyDescent="0.35">
      <c r="A18" s="43" t="s">
        <v>3988</v>
      </c>
      <c r="B18" s="2" t="s">
        <v>304</v>
      </c>
      <c r="C18" s="71" t="s">
        <v>300</v>
      </c>
      <c r="D18" s="74" t="s">
        <v>4028</v>
      </c>
      <c r="E18" s="71">
        <v>38980</v>
      </c>
      <c r="F18" s="2" t="s">
        <v>88</v>
      </c>
      <c r="G18" s="112" t="s">
        <v>4029</v>
      </c>
      <c r="H18" s="42">
        <v>14206224</v>
      </c>
      <c r="I18" s="26" t="s">
        <v>4030</v>
      </c>
      <c r="J18" s="28">
        <v>12605000</v>
      </c>
      <c r="K18" s="28">
        <v>2395000</v>
      </c>
      <c r="L18" s="3">
        <v>15000000</v>
      </c>
      <c r="M18" s="69" t="s">
        <v>301</v>
      </c>
      <c r="N18" s="116">
        <v>460633164</v>
      </c>
      <c r="O18" s="28">
        <v>475633164</v>
      </c>
      <c r="P18" s="4">
        <v>6940</v>
      </c>
      <c r="Q18" s="70" t="s">
        <v>301</v>
      </c>
      <c r="R18" s="101">
        <v>365</v>
      </c>
      <c r="S18" s="70" t="s">
        <v>302</v>
      </c>
      <c r="T18" s="70"/>
      <c r="U18" s="71">
        <v>38980</v>
      </c>
      <c r="V18" s="118">
        <v>45920</v>
      </c>
      <c r="W18" s="118">
        <v>46285</v>
      </c>
      <c r="X18" s="43" t="s">
        <v>303</v>
      </c>
      <c r="Y18" s="71"/>
      <c r="Z18" s="70"/>
      <c r="AA18" s="30">
        <v>0.33</v>
      </c>
      <c r="AB18" s="30">
        <v>0.33</v>
      </c>
      <c r="AC18" s="31">
        <v>17410188</v>
      </c>
      <c r="AD18" s="32" t="s">
        <v>2644</v>
      </c>
      <c r="AE18" s="44">
        <v>2006</v>
      </c>
    </row>
    <row r="19" spans="1:33" ht="58" customHeight="1" x14ac:dyDescent="0.35">
      <c r="A19" s="43" t="s">
        <v>3988</v>
      </c>
      <c r="B19" s="26" t="s">
        <v>308</v>
      </c>
      <c r="C19" s="71" t="s">
        <v>300</v>
      </c>
      <c r="D19" s="74" t="s">
        <v>4031</v>
      </c>
      <c r="E19" s="71">
        <v>38504</v>
      </c>
      <c r="F19" s="2" t="s">
        <v>88</v>
      </c>
      <c r="G19" s="112" t="s">
        <v>4032</v>
      </c>
      <c r="H19" s="42" t="s">
        <v>4057</v>
      </c>
      <c r="I19" s="26" t="s">
        <v>4033</v>
      </c>
      <c r="J19" s="28">
        <v>30000000</v>
      </c>
      <c r="K19" s="28">
        <v>3000000</v>
      </c>
      <c r="L19" s="3">
        <v>30000000</v>
      </c>
      <c r="M19" s="69" t="s">
        <v>301</v>
      </c>
      <c r="N19" s="116">
        <v>1087390442</v>
      </c>
      <c r="O19" s="28">
        <v>1117390442</v>
      </c>
      <c r="P19" s="4">
        <v>6939</v>
      </c>
      <c r="Q19" s="70" t="s">
        <v>301</v>
      </c>
      <c r="R19" s="101">
        <v>730</v>
      </c>
      <c r="S19" s="70" t="s">
        <v>302</v>
      </c>
      <c r="T19" s="70"/>
      <c r="U19" s="71">
        <v>38504</v>
      </c>
      <c r="V19" s="118">
        <v>45443</v>
      </c>
      <c r="W19" s="118">
        <v>46173</v>
      </c>
      <c r="X19" s="43" t="s">
        <v>303</v>
      </c>
      <c r="Y19" s="71"/>
      <c r="Z19" s="70"/>
      <c r="AA19" s="30">
        <v>0.56000000000000005</v>
      </c>
      <c r="AB19" s="30">
        <v>0.56000000000000005</v>
      </c>
      <c r="AC19" s="28">
        <v>42479500</v>
      </c>
      <c r="AD19" s="32" t="s">
        <v>2644</v>
      </c>
      <c r="AE19" s="44">
        <v>2005</v>
      </c>
    </row>
    <row r="20" spans="1:33" ht="47.5" customHeight="1" x14ac:dyDescent="0.35">
      <c r="A20" s="43" t="s">
        <v>3988</v>
      </c>
      <c r="B20" s="26" t="s">
        <v>307</v>
      </c>
      <c r="C20" s="71" t="s">
        <v>300</v>
      </c>
      <c r="D20" s="74" t="s">
        <v>4034</v>
      </c>
      <c r="E20" s="71">
        <v>40878</v>
      </c>
      <c r="F20" s="2" t="s">
        <v>88</v>
      </c>
      <c r="G20" s="121" t="s">
        <v>4035</v>
      </c>
      <c r="H20" s="42">
        <v>92122251502</v>
      </c>
      <c r="I20" s="26" t="s">
        <v>4036</v>
      </c>
      <c r="J20" s="3">
        <v>93783924</v>
      </c>
      <c r="K20" s="28">
        <v>0</v>
      </c>
      <c r="L20" s="3">
        <v>111602270</v>
      </c>
      <c r="M20" s="69" t="s">
        <v>301</v>
      </c>
      <c r="N20" s="116">
        <v>203163960</v>
      </c>
      <c r="O20" s="28">
        <v>314766230</v>
      </c>
      <c r="P20" s="4">
        <v>365</v>
      </c>
      <c r="Q20" s="70" t="s">
        <v>301</v>
      </c>
      <c r="R20" s="101">
        <v>5113</v>
      </c>
      <c r="S20" s="70" t="s">
        <v>302</v>
      </c>
      <c r="T20" s="70"/>
      <c r="U20" s="71">
        <v>40909</v>
      </c>
      <c r="V20" s="118">
        <v>41274</v>
      </c>
      <c r="W20" s="118">
        <v>46387</v>
      </c>
      <c r="X20" s="43" t="s">
        <v>303</v>
      </c>
      <c r="Y20" s="71"/>
      <c r="Z20" s="70"/>
      <c r="AA20" s="30">
        <v>1</v>
      </c>
      <c r="AB20" s="30">
        <v>1</v>
      </c>
      <c r="AC20" s="31">
        <v>111602868</v>
      </c>
      <c r="AD20" s="32" t="s">
        <v>2644</v>
      </c>
      <c r="AE20" s="44">
        <v>2005</v>
      </c>
    </row>
    <row r="21" spans="1:33" ht="43.5" x14ac:dyDescent="0.35">
      <c r="A21" s="43" t="s">
        <v>3988</v>
      </c>
      <c r="B21" s="2" t="s">
        <v>1797</v>
      </c>
      <c r="C21" s="71" t="s">
        <v>300</v>
      </c>
      <c r="D21" s="74" t="s">
        <v>4037</v>
      </c>
      <c r="E21" s="71">
        <v>36892</v>
      </c>
      <c r="F21" s="2" t="s">
        <v>88</v>
      </c>
      <c r="G21" s="112" t="s">
        <v>4038</v>
      </c>
      <c r="H21" s="42">
        <v>10544299</v>
      </c>
      <c r="I21" s="26" t="s">
        <v>4039</v>
      </c>
      <c r="J21" s="28">
        <v>900834</v>
      </c>
      <c r="K21" s="28">
        <v>171159</v>
      </c>
      <c r="L21" s="3">
        <v>1071993</v>
      </c>
      <c r="M21" s="69" t="s">
        <v>301</v>
      </c>
      <c r="N21" s="116">
        <v>197064000</v>
      </c>
      <c r="O21" s="28">
        <v>198135993</v>
      </c>
      <c r="P21" s="4">
        <v>364</v>
      </c>
      <c r="Q21" s="70" t="s">
        <v>301</v>
      </c>
      <c r="R21" s="101">
        <v>9131</v>
      </c>
      <c r="S21" s="70" t="s">
        <v>302</v>
      </c>
      <c r="T21" s="70"/>
      <c r="U21" s="71">
        <v>36892</v>
      </c>
      <c r="V21" s="118">
        <v>37256</v>
      </c>
      <c r="W21" s="118">
        <v>46387</v>
      </c>
      <c r="X21" s="43" t="s">
        <v>303</v>
      </c>
      <c r="Y21" s="71"/>
      <c r="Z21" s="70"/>
      <c r="AA21" s="30">
        <v>1</v>
      </c>
      <c r="AB21" s="30">
        <v>1</v>
      </c>
      <c r="AC21" s="31">
        <v>94248000</v>
      </c>
      <c r="AD21" s="32" t="s">
        <v>4040</v>
      </c>
      <c r="AE21" s="44">
        <v>2001</v>
      </c>
    </row>
    <row r="22" spans="1:33" ht="44.5" customHeight="1" x14ac:dyDescent="0.35">
      <c r="A22" s="43" t="s">
        <v>3988</v>
      </c>
      <c r="B22" s="2" t="s">
        <v>305</v>
      </c>
      <c r="C22" s="71" t="s">
        <v>300</v>
      </c>
      <c r="D22" s="74" t="s">
        <v>4041</v>
      </c>
      <c r="E22" s="71">
        <v>36000</v>
      </c>
      <c r="F22" s="2" t="s">
        <v>88</v>
      </c>
      <c r="G22" s="112" t="s">
        <v>4042</v>
      </c>
      <c r="H22" s="42" t="s">
        <v>4058</v>
      </c>
      <c r="I22" s="26" t="s">
        <v>4043</v>
      </c>
      <c r="J22" s="28">
        <v>87079345</v>
      </c>
      <c r="K22" s="28">
        <v>16545075</v>
      </c>
      <c r="L22" s="3">
        <v>103624420</v>
      </c>
      <c r="M22" s="69" t="s">
        <v>301</v>
      </c>
      <c r="N22" s="116">
        <v>113240766</v>
      </c>
      <c r="O22" s="28">
        <v>216865186</v>
      </c>
      <c r="P22" s="4">
        <v>9496</v>
      </c>
      <c r="Q22" s="70" t="s">
        <v>301</v>
      </c>
      <c r="R22" s="101">
        <v>730</v>
      </c>
      <c r="S22" s="70" t="s">
        <v>302</v>
      </c>
      <c r="T22" s="70"/>
      <c r="U22" s="71">
        <v>35977</v>
      </c>
      <c r="V22" s="118">
        <v>45473</v>
      </c>
      <c r="W22" s="118">
        <v>46203</v>
      </c>
      <c r="X22" s="43" t="s">
        <v>303</v>
      </c>
      <c r="Y22" s="71"/>
      <c r="Z22" s="70"/>
      <c r="AA22" s="30">
        <v>1</v>
      </c>
      <c r="AB22" s="30">
        <v>1</v>
      </c>
      <c r="AC22" s="31">
        <v>95160308</v>
      </c>
      <c r="AD22" s="32" t="s">
        <v>2644</v>
      </c>
      <c r="AE22" s="44">
        <v>1998</v>
      </c>
    </row>
    <row r="23" spans="1:33" ht="49.5" customHeight="1" x14ac:dyDescent="0.35">
      <c r="A23" s="43" t="s">
        <v>3988</v>
      </c>
      <c r="B23" s="26" t="s">
        <v>299</v>
      </c>
      <c r="C23" s="71" t="s">
        <v>300</v>
      </c>
      <c r="D23" s="74" t="s">
        <v>4044</v>
      </c>
      <c r="E23" s="71">
        <v>35674</v>
      </c>
      <c r="F23" s="2" t="s">
        <v>88</v>
      </c>
      <c r="G23" s="112" t="s">
        <v>4045</v>
      </c>
      <c r="H23" s="42">
        <v>51973011</v>
      </c>
      <c r="I23" s="26" t="s">
        <v>4046</v>
      </c>
      <c r="J23" s="28">
        <v>4158110</v>
      </c>
      <c r="K23" s="28">
        <v>0</v>
      </c>
      <c r="L23" s="28">
        <v>4158110</v>
      </c>
      <c r="M23" s="69" t="s">
        <v>301</v>
      </c>
      <c r="N23" s="116">
        <v>47788524</v>
      </c>
      <c r="O23" s="28">
        <v>51946634</v>
      </c>
      <c r="P23" s="4">
        <v>10227</v>
      </c>
      <c r="Q23" s="70" t="s">
        <v>301</v>
      </c>
      <c r="R23" s="101">
        <v>365</v>
      </c>
      <c r="S23" s="70" t="s">
        <v>302</v>
      </c>
      <c r="T23" s="70"/>
      <c r="U23" s="71">
        <v>35674</v>
      </c>
      <c r="V23" s="118">
        <v>45901</v>
      </c>
      <c r="W23" s="118">
        <v>46266</v>
      </c>
      <c r="X23" s="43" t="s">
        <v>303</v>
      </c>
      <c r="Y23" s="71"/>
      <c r="Z23" s="70"/>
      <c r="AA23" s="30">
        <f>5/12</f>
        <v>0.41666666666666669</v>
      </c>
      <c r="AB23" s="30">
        <f>5/12</f>
        <v>0.41666666666666669</v>
      </c>
      <c r="AC23" s="28">
        <f>+Tabla151324[[#This Row],[VALOR TOTAL DEL CONTRATO
(en pesos)
CON IVA
(inicial)]]*5</f>
        <v>20790550</v>
      </c>
      <c r="AD23" s="32" t="s">
        <v>2644</v>
      </c>
      <c r="AE23" s="44">
        <v>1997</v>
      </c>
    </row>
    <row r="24" spans="1:33" ht="43.5" x14ac:dyDescent="0.35">
      <c r="A24" s="43" t="s">
        <v>3988</v>
      </c>
      <c r="B24" s="2" t="s">
        <v>304</v>
      </c>
      <c r="C24" s="71" t="s">
        <v>300</v>
      </c>
      <c r="D24" s="74" t="s">
        <v>4047</v>
      </c>
      <c r="E24" s="71">
        <v>35749</v>
      </c>
      <c r="F24" s="2" t="s">
        <v>88</v>
      </c>
      <c r="G24" s="112" t="s">
        <v>4048</v>
      </c>
      <c r="H24" s="42">
        <v>14206224</v>
      </c>
      <c r="I24" s="26" t="s">
        <v>4030</v>
      </c>
      <c r="J24" s="28">
        <v>15126000</v>
      </c>
      <c r="K24" s="28">
        <v>2874000</v>
      </c>
      <c r="L24" s="3">
        <v>18000000</v>
      </c>
      <c r="M24" s="69" t="s">
        <v>301</v>
      </c>
      <c r="N24" s="116">
        <v>646749063</v>
      </c>
      <c r="O24" s="28">
        <v>664749063</v>
      </c>
      <c r="P24" s="4">
        <v>9862</v>
      </c>
      <c r="Q24" s="70" t="s">
        <v>301</v>
      </c>
      <c r="R24" s="101">
        <v>730</v>
      </c>
      <c r="S24" s="70" t="s">
        <v>302</v>
      </c>
      <c r="T24" s="70"/>
      <c r="U24" s="71">
        <v>35749</v>
      </c>
      <c r="V24" s="118">
        <v>45611</v>
      </c>
      <c r="W24" s="118">
        <v>46341</v>
      </c>
      <c r="X24" s="43" t="s">
        <v>303</v>
      </c>
      <c r="Y24" s="71"/>
      <c r="Z24" s="70"/>
      <c r="AA24" s="30">
        <v>0.17</v>
      </c>
      <c r="AB24" s="30">
        <v>0.17</v>
      </c>
      <c r="AC24" s="31">
        <v>15824679.949999999</v>
      </c>
      <c r="AD24" s="32" t="s">
        <v>2644</v>
      </c>
      <c r="AE24" s="44">
        <v>1997</v>
      </c>
    </row>
    <row r="25" spans="1:33" ht="27.5" customHeight="1" x14ac:dyDescent="0.35">
      <c r="A25" s="24">
        <f>SUBTOTAL(103,Tabla151324[CM / SUC.])</f>
        <v>21</v>
      </c>
      <c r="B25" s="24">
        <f>SUBTOTAL(103,Tabla151324[[ÁREA QUE CONTRATA ]])</f>
        <v>21</v>
      </c>
      <c r="C25" s="24">
        <f>SUBTOTAL(103,Tabla151324[MODALIDAD CONTRATACIÓN])</f>
        <v>21</v>
      </c>
      <c r="D25" s="24">
        <f>SUBTOTAL(103,Tabla151324[N° DE CONTRATO])</f>
        <v>21</v>
      </c>
      <c r="E25" s="24">
        <f>SUBTOTAL(103,Tabla151324[FECHA SUSCRIPCIÓN DEL CONTRATO])</f>
        <v>21</v>
      </c>
      <c r="F25" s="24">
        <f>SUBTOTAL(103,Tabla151324[CLASE DE CONTRATO])</f>
        <v>21</v>
      </c>
      <c r="G25" s="24">
        <f>SUBTOTAL(103,Tabla151324[OBJETO DEL CONTRATO])</f>
        <v>21</v>
      </c>
      <c r="H25" s="24">
        <f>SUBTOTAL(103,Tabla151324[N° DE IDENTIFICACIÓN DEL CONTRATISTA])</f>
        <v>21</v>
      </c>
      <c r="I25" s="24">
        <f>SUBTOTAL(103,Tabla151324[RAZÓN SOCIAL DEL CONTRATISTA])</f>
        <v>21</v>
      </c>
      <c r="J25" s="25">
        <f>SUBTOTAL(109,Tabla151324[VALOR INICIAL DEL CONTRATO
 (en pesos) 
SIN IVA])</f>
        <v>3149504683.487</v>
      </c>
      <c r="K25" s="25">
        <f>SUBTOTAL(109,Tabla151324[VALOR IVA
(si aplica)])</f>
        <v>441233296.51249999</v>
      </c>
      <c r="L25" s="25">
        <f>SUBTOTAL(109,Tabla151324[VALOR TOTAL DEL CONTRATO
(en pesos)
CON IVA
(inicial)])</f>
        <v>3605556326</v>
      </c>
      <c r="M25" s="24">
        <f>SUBTOTAL(103,Tabla151324[ADICIONES
(SI / NO)])</f>
        <v>21</v>
      </c>
      <c r="N25" s="25">
        <f>SUBTOTAL(109,Tabla151324[VALOR DE LAS ADICIONES
(en pesos)
CON IVA])</f>
        <v>11874670604</v>
      </c>
      <c r="O25" s="25">
        <f>SUBTOTAL(109,Tabla151324[VALOR TOTAL CONTRATO CON IVA (VALOR INICIAL + ADICIONES) ])</f>
        <v>15480226930</v>
      </c>
      <c r="P25" s="24">
        <f>SUBTOTAL(102,P4:P24)</f>
        <v>21</v>
      </c>
      <c r="Q25" s="24">
        <f>SUBTOTAL(103,Tabla151324[PRÓRROGA
(SI / NO)])</f>
        <v>21</v>
      </c>
      <c r="R25" s="24">
        <f>SUBTOTAL(103,Tabla151324[ADICIONES: NÚMERO DE DÍAS])</f>
        <v>17</v>
      </c>
      <c r="S25" s="24">
        <f>SUBTOTAL(103,Tabla151324[SUSPENSIÓN (SI/NO)])</f>
        <v>21</v>
      </c>
      <c r="T25" s="24"/>
      <c r="U25" s="24">
        <f>SUBTOTAL(103,Tabla151324[FECHA INICIO CONTRATO])</f>
        <v>21</v>
      </c>
      <c r="V25" s="24">
        <f>SUBTOTAL(103,Tabla151324[FECHA TERMINACIÓN DEL CONTRATO
(inicial)])</f>
        <v>21</v>
      </c>
      <c r="W25" s="24">
        <f>SUBTOTAL(103,Tabla151324[FECHA TERMINACIÓN DEL CONTRATO
(inicial + prórrogas)])</f>
        <v>21</v>
      </c>
      <c r="X25" s="24">
        <f>SUBTOTAL(103,Tabla151324[ESTADO DEL CONTRATO (EN EJECUCIÓN EN LIQUIDACIÓN POR LIQUIDAR NO SE LIQUIDA)])</f>
        <v>21</v>
      </c>
      <c r="Y25" s="24">
        <f>SUBTOTAL(103,Tabla151324[FECHA LIQUIDACIÓN DEL CONTRATO])</f>
        <v>0</v>
      </c>
      <c r="Z25" s="24">
        <f>SUBTOTAL(103,Tabla151324[CAUSAL DE TERMINACIÓN])</f>
        <v>0</v>
      </c>
      <c r="AA25" s="24">
        <f>SUBTOTAL(103,Tabla151324[PORCENTAJE DE EJECUCIÓN FÍSICA 
A 31 DICIEMBRE 2025])</f>
        <v>21</v>
      </c>
      <c r="AB25" s="24">
        <f>SUBTOTAL(103,Tabla151324[PORCENTAJE DE EJECUCIÓN PRESUPUESTAL
A 31 DICIEMBRE 20252025])</f>
        <v>21</v>
      </c>
      <c r="AC25" s="25">
        <f>SUBTOTAL(109,Tabla151324[VALOR PAGADO (en pesos)
A 31 DICIEMBRE 2025])</f>
        <v>7467406746.0899992</v>
      </c>
      <c r="AD25" s="24"/>
      <c r="AE25" s="24">
        <f>SUBTOTAL(103,Tabla151324[AÑO SUSCRIPCIÓN])</f>
        <v>21</v>
      </c>
    </row>
    <row r="26" spans="1:33" x14ac:dyDescent="0.35">
      <c r="A26" s="26"/>
      <c r="B26" s="26"/>
      <c r="C26" s="26"/>
      <c r="D26" s="26"/>
      <c r="E26" s="26"/>
      <c r="F26" s="26"/>
      <c r="G26" s="28"/>
      <c r="I26" s="26"/>
      <c r="J26" s="26"/>
      <c r="K26" s="26"/>
      <c r="L26" s="28"/>
      <c r="M26" s="28"/>
      <c r="N26" s="35"/>
      <c r="O26" s="28"/>
      <c r="P26" s="28"/>
      <c r="Q26" s="28"/>
      <c r="R26" s="29"/>
      <c r="S26" s="26"/>
      <c r="T26" s="26"/>
      <c r="U26" s="26"/>
      <c r="V26" s="26"/>
      <c r="W26" s="26"/>
      <c r="X26" s="26"/>
      <c r="Y26" s="42"/>
      <c r="Z26" s="42"/>
      <c r="AA26" s="39"/>
      <c r="AB26" s="39"/>
      <c r="AC26" s="39"/>
      <c r="AD26" s="40"/>
      <c r="AF26" s="26"/>
      <c r="AG26" s="26"/>
    </row>
    <row r="27" spans="1:33" x14ac:dyDescent="0.35">
      <c r="N27" s="35"/>
    </row>
  </sheetData>
  <sheetProtection autoFilter="0"/>
  <protectedRanges>
    <protectedRange sqref="F4:F24" name="Rango1"/>
  </protectedRanges>
  <autoFilter ref="M33" xr:uid="{632A1C6B-7F6F-4B21-9F30-EDEFA05ABDAD}"/>
  <phoneticPr fontId="8" type="noConversion"/>
  <conditionalFormatting sqref="A1:A2">
    <cfRule type="containsText" dxfId="47" priority="1" operator="containsText" text="Faltan menos de 15 días para Terminar">
      <formula>NOT(ISERROR(SEARCH("Faltan menos de 15 días para Terminar",A1)))</formula>
    </cfRule>
    <cfRule type="containsText" dxfId="46" priority="2" operator="containsText" text="Faltan menos de 15 días para Terminar">
      <formula>NOT(ISERROR(SEARCH("Faltan menos de 15 días para Terminar",A1)))</formula>
    </cfRule>
    <cfRule type="containsText" dxfId="45" priority="3" operator="containsText" text="Terminado">
      <formula>NOT(ISERROR(SEARCH("Terminado",A1)))</formula>
    </cfRule>
    <cfRule type="containsText" dxfId="44" priority="4" operator="containsText" text="Faltan menos de 15 días para Terminar">
      <formula>NOT(ISERROR(SEARCH("Faltan menos de 15 días para Terminar",A1)))</formula>
    </cfRule>
    <cfRule type="containsText" dxfId="43" priority="5" operator="containsText" text="Faltan menos de 30 días para Terminar">
      <formula>NOT(ISERROR(SEARCH("Faltan menos de 30 días para Terminar",A1)))</formula>
    </cfRule>
    <cfRule type="containsText" dxfId="42" priority="6" operator="containsText" text="Faltan menos de 30 días para Terminar">
      <formula>NOT(ISERROR(SEARCH("Faltan menos de 30 días para Terminar",A1)))</formula>
    </cfRule>
  </conditionalFormatting>
  <dataValidations count="4">
    <dataValidation type="list" allowBlank="1" showInputMessage="1" showErrorMessage="1" sqref="C4:C24" xr:uid="{86206447-8C7D-46A9-86C0-B9D18FF9E9B7}">
      <formula1>"SIMPLIFICADA, INVITACIÓN ABIERTA, INVITACIÓN CERRADA, INVITACIÓN DIRECTA,CONTRATACIÓN DIRECTA"</formula1>
    </dataValidation>
    <dataValidation type="list" allowBlank="1" showInputMessage="1" showErrorMessage="1" sqref="S4:T24 M4:M24 Q4:Q24" xr:uid="{E2EADA73-54DA-454F-B784-690542760D8E}">
      <formula1>"SI, NO"</formula1>
    </dataValidation>
    <dataValidation type="list" allowBlank="1" showInputMessage="1" showErrorMessage="1" sqref="A4:A24" xr:uid="{CEF50963-A743-4777-ABEB-B811DBE3B3EF}">
      <formula1>"Casa Matriz, Sucursal"</formula1>
    </dataValidation>
    <dataValidation type="list" allowBlank="1" showInputMessage="1" showErrorMessage="1" sqref="X4:X24" xr:uid="{6D75F546-B12A-4A1D-8C02-014790B39E09}">
      <formula1>"En ejecución, Finalizado, En Liquidación, Liquidado, Por Liquidar,No se Liquida"</formula1>
    </dataValidation>
  </dataValidations>
  <pageMargins left="0.51181102362204722" right="0.51181102362204722" top="0.74803149606299213" bottom="0.74803149606299213" header="0.31496062992125984" footer="0.31496062992125984"/>
  <pageSetup scale="90" orientation="landscape" r:id="rId1"/>
  <headerFooter>
    <oddFooter>&amp;C_x000D_&amp;1#&amp;"Calibri"&amp;10&amp;K000000 DOCUMENTO DE USO INTERNO</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4CD9F-4215-4307-B0B9-1AF1CBB95810}">
  <sheetPr codeName="Hoja3"/>
  <dimension ref="A1:E30"/>
  <sheetViews>
    <sheetView zoomScale="60" zoomScaleNormal="60" workbookViewId="0">
      <selection activeCell="A17" sqref="A17"/>
    </sheetView>
  </sheetViews>
  <sheetFormatPr baseColWidth="10" defaultColWidth="11.453125" defaultRowHeight="14.5" x14ac:dyDescent="0.35"/>
  <cols>
    <col min="1" max="1" width="50.1796875" bestFit="1" customWidth="1"/>
    <col min="2" max="2" width="56.453125" customWidth="1"/>
    <col min="3" max="3" width="64.453125" customWidth="1"/>
    <col min="4" max="4" width="23.81640625" customWidth="1"/>
    <col min="5" max="5" width="44.453125" bestFit="1" customWidth="1"/>
  </cols>
  <sheetData>
    <row r="1" spans="1:5" x14ac:dyDescent="0.35">
      <c r="A1" t="s">
        <v>82</v>
      </c>
      <c r="B1" t="s">
        <v>83</v>
      </c>
      <c r="C1" t="s">
        <v>84</v>
      </c>
      <c r="D1" t="s">
        <v>85</v>
      </c>
      <c r="E1" t="s">
        <v>86</v>
      </c>
    </row>
    <row r="2" spans="1:5" x14ac:dyDescent="0.35">
      <c r="A2" t="s">
        <v>88</v>
      </c>
      <c r="B2" t="s">
        <v>89</v>
      </c>
      <c r="C2" t="s">
        <v>90</v>
      </c>
      <c r="D2" t="s">
        <v>91</v>
      </c>
      <c r="E2" t="s">
        <v>92</v>
      </c>
    </row>
    <row r="3" spans="1:5" x14ac:dyDescent="0.35">
      <c r="A3" t="s">
        <v>94</v>
      </c>
      <c r="B3" t="s">
        <v>95</v>
      </c>
      <c r="C3" t="s">
        <v>96</v>
      </c>
      <c r="D3" t="s">
        <v>97</v>
      </c>
      <c r="E3" t="s">
        <v>98</v>
      </c>
    </row>
    <row r="4" spans="1:5" x14ac:dyDescent="0.35">
      <c r="A4" t="s">
        <v>100</v>
      </c>
      <c r="B4" t="s">
        <v>101</v>
      </c>
      <c r="C4" t="s">
        <v>102</v>
      </c>
      <c r="D4" t="s">
        <v>103</v>
      </c>
      <c r="E4" t="s">
        <v>104</v>
      </c>
    </row>
    <row r="5" spans="1:5" x14ac:dyDescent="0.35">
      <c r="A5" t="s">
        <v>106</v>
      </c>
      <c r="C5" t="s">
        <v>107</v>
      </c>
      <c r="D5" t="s">
        <v>108</v>
      </c>
    </row>
    <row r="6" spans="1:5" x14ac:dyDescent="0.35">
      <c r="A6" t="s">
        <v>110</v>
      </c>
      <c r="D6" t="s">
        <v>111</v>
      </c>
    </row>
    <row r="7" spans="1:5" x14ac:dyDescent="0.35">
      <c r="A7" t="s">
        <v>113</v>
      </c>
      <c r="D7" t="s">
        <v>114</v>
      </c>
    </row>
    <row r="8" spans="1:5" x14ac:dyDescent="0.35">
      <c r="A8" t="s">
        <v>116</v>
      </c>
      <c r="D8" t="s">
        <v>117</v>
      </c>
    </row>
    <row r="9" spans="1:5" x14ac:dyDescent="0.35">
      <c r="A9" t="s">
        <v>119</v>
      </c>
      <c r="D9" t="s">
        <v>120</v>
      </c>
    </row>
    <row r="10" spans="1:5" x14ac:dyDescent="0.35">
      <c r="A10" t="s">
        <v>122</v>
      </c>
      <c r="D10" t="s">
        <v>123</v>
      </c>
    </row>
    <row r="11" spans="1:5" x14ac:dyDescent="0.35">
      <c r="A11" t="s">
        <v>125</v>
      </c>
      <c r="D11" t="s">
        <v>126</v>
      </c>
    </row>
    <row r="12" spans="1:5" x14ac:dyDescent="0.35">
      <c r="A12" t="s">
        <v>128</v>
      </c>
    </row>
    <row r="13" spans="1:5" x14ac:dyDescent="0.35">
      <c r="A13" t="s">
        <v>130</v>
      </c>
    </row>
    <row r="14" spans="1:5" x14ac:dyDescent="0.35">
      <c r="A14" t="s">
        <v>132</v>
      </c>
    </row>
    <row r="15" spans="1:5" x14ac:dyDescent="0.35">
      <c r="A15" t="s">
        <v>134</v>
      </c>
    </row>
    <row r="16" spans="1:5" x14ac:dyDescent="0.35">
      <c r="A16" t="s">
        <v>136</v>
      </c>
    </row>
    <row r="17" spans="1:1" x14ac:dyDescent="0.35">
      <c r="A17" t="s">
        <v>138</v>
      </c>
    </row>
    <row r="18" spans="1:1" x14ac:dyDescent="0.35">
      <c r="A18" t="s">
        <v>140</v>
      </c>
    </row>
    <row r="19" spans="1:1" x14ac:dyDescent="0.35">
      <c r="A19" t="s">
        <v>142</v>
      </c>
    </row>
    <row r="20" spans="1:1" x14ac:dyDescent="0.35">
      <c r="A20" t="s">
        <v>144</v>
      </c>
    </row>
    <row r="21" spans="1:1" x14ac:dyDescent="0.35">
      <c r="A21" t="s">
        <v>146</v>
      </c>
    </row>
    <row r="22" spans="1:1" x14ac:dyDescent="0.35">
      <c r="A22" t="s">
        <v>148</v>
      </c>
    </row>
    <row r="23" spans="1:1" x14ac:dyDescent="0.35">
      <c r="A23" t="s">
        <v>150</v>
      </c>
    </row>
    <row r="24" spans="1:1" x14ac:dyDescent="0.35">
      <c r="A24" t="s">
        <v>152</v>
      </c>
    </row>
    <row r="25" spans="1:1" x14ac:dyDescent="0.35">
      <c r="A25" t="s">
        <v>154</v>
      </c>
    </row>
    <row r="26" spans="1:1" x14ac:dyDescent="0.35">
      <c r="A26" t="s">
        <v>156</v>
      </c>
    </row>
    <row r="27" spans="1:1" x14ac:dyDescent="0.35">
      <c r="A27" t="s">
        <v>158</v>
      </c>
    </row>
    <row r="28" spans="1:1" x14ac:dyDescent="0.35">
      <c r="A28" t="s">
        <v>160</v>
      </c>
    </row>
    <row r="29" spans="1:1" x14ac:dyDescent="0.35">
      <c r="A29" t="s">
        <v>162</v>
      </c>
    </row>
    <row r="30" spans="1:1" x14ac:dyDescent="0.35">
      <c r="A30" t="s">
        <v>164</v>
      </c>
    </row>
  </sheetData>
  <pageMargins left="0.7" right="0.7" top="0.75" bottom="0.75" header="0.3" footer="0.3"/>
  <headerFooter>
    <oddFooter>&amp;C_x000D_&amp;1#&amp;"Calibri"&amp;10&amp;K000000 DOCUMENTO DE USO INTERNO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7" ma:contentTypeDescription="Crear nuevo documento." ma:contentTypeScope="" ma:versionID="a3c5fe0f7970ddeebed6333dfbf8dffd">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fa497ce3d717a3af05b81d8f94093923"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c1b2135-da83-4796-ab8b-f4b5c7d889fa">
      <Terms xmlns="http://schemas.microsoft.com/office/infopath/2007/PartnerControls"/>
    </lcf76f155ced4ddcb4097134ff3c332f>
    <TaxCatchAll xmlns="17ceb74a-49b8-4359-9c49-a5591ddf3cd6" xsi:nil="true"/>
  </documentManagement>
</p:properties>
</file>

<file path=customXml/itemProps1.xml><?xml version="1.0" encoding="utf-8"?>
<ds:datastoreItem xmlns:ds="http://schemas.openxmlformats.org/officeDocument/2006/customXml" ds:itemID="{F442A399-718B-41F3-AD58-E4D91390821F}">
  <ds:schemaRefs>
    <ds:schemaRef ds:uri="http://schemas.microsoft.com/sharepoint/v3/contenttype/forms"/>
  </ds:schemaRefs>
</ds:datastoreItem>
</file>

<file path=customXml/itemProps2.xml><?xml version="1.0" encoding="utf-8"?>
<ds:datastoreItem xmlns:ds="http://schemas.openxmlformats.org/officeDocument/2006/customXml" ds:itemID="{B102C077-9159-4299-9570-AC01FAD29B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B186DA-C931-4033-9F16-FED16AB43AE4}">
  <ds:schemaRefs>
    <ds:schemaRef ds:uri="http://schemas.microsoft.com/office/infopath/2007/PartnerControls"/>
    <ds:schemaRef ds:uri="http://purl.org/dc/terms/"/>
    <ds:schemaRef ds:uri="17ceb74a-49b8-4359-9c49-a5591ddf3cd6"/>
    <ds:schemaRef ds:uri="http://schemas.microsoft.com/office/2006/documentManagement/types"/>
    <ds:schemaRef ds:uri="http://purl.org/dc/elements/1.1/"/>
    <ds:schemaRef ds:uri="2c1b2135-da83-4796-ab8b-f4b5c7d889fa"/>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CASA MATRIZ 2025 </vt:lpstr>
      <vt:lpstr>SUCURSALES 2025 </vt:lpstr>
      <vt:lpstr>Vig. anteriores Casa Matriz</vt:lpstr>
      <vt:lpstr>Vig. anteriores Sucursales </vt:lpstr>
      <vt:lpstr>Referencias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JANET RAMIREZ SAYAGO</dc:creator>
  <cp:keywords/>
  <dc:description/>
  <cp:lastModifiedBy>SANDRA JANET RAMIREZ SAYAGO</cp:lastModifiedBy>
  <cp:revision/>
  <dcterms:created xsi:type="dcterms:W3CDTF">2023-05-15T20:58:08Z</dcterms:created>
  <dcterms:modified xsi:type="dcterms:W3CDTF">2026-02-16T20:20:25Z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2023-07-21T19:20:50Z</vt:lpwstr>
  </property>
  <property fmtid="{D5CDD505-2E9C-101B-9397-08002B2CF9AE}" pid="4" name="MSIP_Label_1f9f3886-688c-41ec-beb5-f6c446299e5f_Method">
    <vt:lpwstr>Privileged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b2315eb4-a7f0-4ace-8f07-940d322a0957</vt:lpwstr>
  </property>
  <property fmtid="{D5CDD505-2E9C-101B-9397-08002B2CF9AE}" pid="8" name="MSIP_Label_1f9f3886-688c-41ec-beb5-f6c446299e5f_ContentBits">
    <vt:lpwstr>2</vt:lpwstr>
  </property>
  <property fmtid="{D5CDD505-2E9C-101B-9397-08002B2CF9AE}" pid="9" name="ContentTypeId">
    <vt:lpwstr>0x0101009E592C7C312C034BAC689B41BA9BC27F</vt:lpwstr>
  </property>
  <property fmtid="{D5CDD505-2E9C-101B-9397-08002B2CF9AE}" pid="10" name="MediaServiceImageTags">
    <vt:lpwstr/>
  </property>
</Properties>
</file>